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730"/>
  <workbookPr codeName="ThisWorkbook" defaultThemeVersion="124226"/>
  <mc:AlternateContent xmlns:mc="http://schemas.openxmlformats.org/markup-compatibility/2006">
    <mc:Choice Requires="x15">
      <x15ac:absPath xmlns:x15ac="http://schemas.microsoft.com/office/spreadsheetml/2010/11/ac" url="\\IRI-FS1\Users\joe.ebsworth\My Documents\0 - WEB SITES\INDUSTRIAL REVOLUTION\2016 - SANA\Dealer Tools\"/>
    </mc:Choice>
  </mc:AlternateContent>
  <bookViews>
    <workbookView xWindow="0" yWindow="0" windowWidth="23880" windowHeight="9990" tabRatio="548" xr2:uid="{00000000-000D-0000-FFFF-FFFF00000000}"/>
  </bookViews>
  <sheets>
    <sheet name="UCO" sheetId="5" r:id="rId1"/>
    <sheet name="Light My Fire" sheetId="3" r:id="rId2"/>
    <sheet name="Morakniv" sheetId="4" r:id="rId3"/>
    <sheet name="Esbit" sheetId="8" r:id="rId4"/>
    <sheet name="Intova" sheetId="12" r:id="rId5"/>
    <sheet name="YayLabs!" sheetId="7" r:id="rId6"/>
    <sheet name="Disco." sheetId="9" r:id="rId7"/>
    <sheet name="Tariff Code condensed" sheetId="2" r:id="rId8"/>
    <sheet name="Proposed changes" sheetId="10" state="hidden" r:id="rId9"/>
    <sheet name="2017 Pricelist" sheetId="13" state="hidden" r:id="rId10"/>
  </sheets>
  <definedNames>
    <definedName name="_xlnm._FilterDatabase" localSheetId="3" hidden="1">Esbit!$A$2:$AR$39</definedName>
    <definedName name="_xlnm._FilterDatabase" localSheetId="2" hidden="1">Morakniv!$A$2:$AR$225</definedName>
    <definedName name="_xlnm.Print_Titles" localSheetId="3">Esbit!$C:$C,Esbit!$1:$1</definedName>
    <definedName name="_xlnm.Print_Titles" localSheetId="4">Intova!$2:$2</definedName>
    <definedName name="_xlnm.Print_Titles" localSheetId="1">'Light My Fire'!$2:$2</definedName>
    <definedName name="_xlnm.Print_Titles" localSheetId="2">Morakniv!$2:$2</definedName>
    <definedName name="_xlnm.Print_Titles" localSheetId="0">UCO!$2:$2</definedName>
    <definedName name="_xlnm.Print_Titles" localSheetId="5">'YayLabs!'!$2:$2</definedName>
  </definedNames>
  <calcPr calcId="171027"/>
  <fileRecoveryPr autoRecover="0"/>
</workbook>
</file>

<file path=xl/calcChain.xml><?xml version="1.0" encoding="utf-8"?>
<calcChain xmlns="http://schemas.openxmlformats.org/spreadsheetml/2006/main">
  <c r="AG12" i="4" l="1"/>
  <c r="S12" i="4"/>
  <c r="R12" i="4"/>
  <c r="Q12" i="4"/>
  <c r="AH231" i="3"/>
  <c r="AH232" i="3"/>
  <c r="AH233" i="3"/>
  <c r="R231" i="3"/>
  <c r="S231" i="3"/>
  <c r="T231" i="3"/>
  <c r="U231" i="3"/>
  <c r="R232" i="3"/>
  <c r="S232" i="3"/>
  <c r="T232" i="3"/>
  <c r="U232" i="3"/>
  <c r="R233" i="3"/>
  <c r="S233" i="3"/>
  <c r="T233" i="3"/>
  <c r="U233" i="3"/>
  <c r="O231" i="3"/>
  <c r="Q231" i="3"/>
  <c r="O232" i="3"/>
  <c r="Q232" i="3"/>
  <c r="O233" i="3"/>
  <c r="Q233" i="3"/>
  <c r="L469" i="9"/>
  <c r="O469" i="9"/>
  <c r="P469" i="9"/>
  <c r="Q469" i="9"/>
  <c r="AE469" i="9"/>
  <c r="O230" i="3"/>
  <c r="O227" i="3"/>
  <c r="O226" i="3"/>
  <c r="O223" i="3"/>
  <c r="O222" i="3"/>
  <c r="O221" i="3"/>
  <c r="O218" i="3"/>
  <c r="O217" i="3"/>
  <c r="O216" i="3"/>
  <c r="O215" i="3"/>
  <c r="O214" i="3"/>
  <c r="O213" i="3"/>
  <c r="O212" i="3"/>
  <c r="O211" i="3"/>
  <c r="O210" i="3"/>
  <c r="O209" i="3"/>
  <c r="O208" i="3"/>
  <c r="O207" i="3"/>
  <c r="O206" i="3"/>
  <c r="O205" i="3"/>
  <c r="O204" i="3"/>
  <c r="O203" i="3"/>
  <c r="O202" i="3"/>
  <c r="O201" i="3"/>
  <c r="O200" i="3"/>
  <c r="O199" i="3"/>
  <c r="O198" i="3"/>
  <c r="O197" i="3"/>
  <c r="O196" i="3"/>
  <c r="O195" i="3"/>
  <c r="O194" i="3"/>
  <c r="O193" i="3"/>
  <c r="O192" i="3"/>
  <c r="O191" i="3"/>
  <c r="O190" i="3"/>
  <c r="O186" i="3"/>
  <c r="O185" i="3"/>
  <c r="O184" i="3"/>
  <c r="O183" i="3"/>
  <c r="O182" i="3"/>
  <c r="O181" i="3"/>
  <c r="O180" i="3"/>
  <c r="O179" i="3"/>
  <c r="O178" i="3"/>
  <c r="O177" i="3"/>
  <c r="O176" i="3"/>
  <c r="O175" i="3"/>
  <c r="O174" i="3"/>
  <c r="O173" i="3"/>
  <c r="O172" i="3"/>
  <c r="O171" i="3"/>
  <c r="O170" i="3"/>
  <c r="O169" i="3"/>
  <c r="O168" i="3"/>
  <c r="O167" i="3"/>
  <c r="O166" i="3"/>
  <c r="O165" i="3"/>
  <c r="O164" i="3"/>
  <c r="O163" i="3"/>
  <c r="O162" i="3"/>
  <c r="O161" i="3"/>
  <c r="O160" i="3"/>
  <c r="O159" i="3"/>
  <c r="O158" i="3"/>
  <c r="O157" i="3"/>
  <c r="O156" i="3"/>
  <c r="O155" i="3"/>
  <c r="O154" i="3"/>
  <c r="O153" i="3"/>
  <c r="O152" i="3"/>
  <c r="O151" i="3"/>
  <c r="O150" i="3"/>
  <c r="O149" i="3"/>
  <c r="O148" i="3"/>
  <c r="O147" i="3"/>
  <c r="O146" i="3"/>
  <c r="O145" i="3"/>
  <c r="O144" i="3"/>
  <c r="O143" i="3"/>
  <c r="O142" i="3"/>
  <c r="O141" i="3"/>
  <c r="O140" i="3"/>
  <c r="O139" i="3"/>
  <c r="O138" i="3"/>
  <c r="O137" i="3"/>
  <c r="O136" i="3"/>
  <c r="O135" i="3"/>
  <c r="O134" i="3"/>
  <c r="O133" i="3"/>
  <c r="O132" i="3"/>
  <c r="O131" i="3"/>
  <c r="O130" i="3"/>
  <c r="O129" i="3"/>
  <c r="O128" i="3"/>
  <c r="O127" i="3"/>
  <c r="O126" i="3"/>
  <c r="O125" i="3"/>
  <c r="O124" i="3"/>
  <c r="O123" i="3"/>
  <c r="O122" i="3"/>
  <c r="O121" i="3"/>
  <c r="O120" i="3"/>
  <c r="O119" i="3"/>
  <c r="O118" i="3"/>
  <c r="O117" i="3"/>
  <c r="O116" i="3"/>
  <c r="O114" i="3"/>
  <c r="O113" i="3"/>
  <c r="O112" i="3"/>
  <c r="O111" i="3"/>
  <c r="O109" i="3"/>
  <c r="O108" i="3"/>
  <c r="O106" i="3"/>
  <c r="O105" i="3"/>
  <c r="O104"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58" i="3"/>
  <c r="O55" i="3"/>
  <c r="O54" i="3"/>
  <c r="O53" i="3"/>
  <c r="O52" i="3"/>
  <c r="O49" i="3"/>
  <c r="O48" i="3"/>
  <c r="O47" i="3"/>
  <c r="O46" i="3"/>
  <c r="O43" i="3"/>
  <c r="O42" i="3"/>
  <c r="O39" i="3"/>
  <c r="O38" i="3"/>
  <c r="O37" i="3"/>
  <c r="O35" i="3"/>
  <c r="O34" i="3"/>
  <c r="O33" i="3"/>
  <c r="O32" i="3"/>
  <c r="O31" i="3"/>
  <c r="O30" i="3"/>
  <c r="O29" i="3"/>
  <c r="O28" i="3"/>
  <c r="O27" i="3"/>
  <c r="O11" i="3"/>
  <c r="O10" i="3"/>
  <c r="O9" i="3"/>
  <c r="O8" i="3"/>
  <c r="O7" i="3"/>
  <c r="O6" i="3"/>
  <c r="O5" i="3"/>
  <c r="O4" i="3"/>
  <c r="N225" i="4"/>
  <c r="N224" i="4"/>
  <c r="N223" i="4"/>
  <c r="N222" i="4"/>
  <c r="N221" i="4"/>
  <c r="N220" i="4"/>
  <c r="N219" i="4"/>
  <c r="N218" i="4"/>
  <c r="N217" i="4"/>
  <c r="N216" i="4"/>
  <c r="N215" i="4"/>
  <c r="N214" i="4"/>
  <c r="N213" i="4"/>
  <c r="N212" i="4"/>
  <c r="N211" i="4"/>
  <c r="N210" i="4"/>
  <c r="N209" i="4"/>
  <c r="N208" i="4"/>
  <c r="N207" i="4"/>
  <c r="N205" i="4"/>
  <c r="N204" i="4"/>
  <c r="N203" i="4"/>
  <c r="N202" i="4"/>
  <c r="N201" i="4"/>
  <c r="N200" i="4"/>
  <c r="N199" i="4"/>
  <c r="N198" i="4"/>
  <c r="N197" i="4"/>
  <c r="N196" i="4"/>
  <c r="N195" i="4"/>
  <c r="N194" i="4"/>
  <c r="N193" i="4"/>
  <c r="N192" i="4"/>
  <c r="N190" i="4"/>
  <c r="N189" i="4"/>
  <c r="N188" i="4"/>
  <c r="N187" i="4"/>
  <c r="N186" i="4"/>
  <c r="N185" i="4"/>
  <c r="N184" i="4"/>
  <c r="N183" i="4"/>
  <c r="N182" i="4"/>
  <c r="N181" i="4"/>
  <c r="N180" i="4"/>
  <c r="N179" i="4"/>
  <c r="N178" i="4"/>
  <c r="N177" i="4"/>
  <c r="N176" i="4"/>
  <c r="N175" i="4"/>
  <c r="N174" i="4"/>
  <c r="N173" i="4"/>
  <c r="N170" i="4"/>
  <c r="N169" i="4"/>
  <c r="N168" i="4"/>
  <c r="N167" i="4"/>
  <c r="N166" i="4"/>
  <c r="N165" i="4"/>
  <c r="N164" i="4"/>
  <c r="N163" i="4"/>
  <c r="N162" i="4"/>
  <c r="N161" i="4"/>
  <c r="N159" i="4"/>
  <c r="N158" i="4"/>
  <c r="N157" i="4"/>
  <c r="N155" i="4"/>
  <c r="N154" i="4"/>
  <c r="N153" i="4"/>
  <c r="N152" i="4"/>
  <c r="N151" i="4"/>
  <c r="N150" i="4"/>
  <c r="N149" i="4"/>
  <c r="N148" i="4"/>
  <c r="N147" i="4"/>
  <c r="N146" i="4"/>
  <c r="N145" i="4"/>
  <c r="N144" i="4"/>
  <c r="N143" i="4"/>
  <c r="N142" i="4"/>
  <c r="N139" i="4"/>
  <c r="N138" i="4"/>
  <c r="N137" i="4"/>
  <c r="N136" i="4"/>
  <c r="N135" i="4"/>
  <c r="N134" i="4"/>
  <c r="N133" i="4"/>
  <c r="N132" i="4"/>
  <c r="N131" i="4"/>
  <c r="N130" i="4"/>
  <c r="N129" i="4"/>
  <c r="N128" i="4"/>
  <c r="N127" i="4"/>
  <c r="N126" i="4"/>
  <c r="N125" i="4"/>
  <c r="N124" i="4"/>
  <c r="N123" i="4"/>
  <c r="N122" i="4"/>
  <c r="N121" i="4"/>
  <c r="N120" i="4"/>
  <c r="N119" i="4"/>
  <c r="N118" i="4"/>
  <c r="N116" i="4"/>
  <c r="N115" i="4"/>
  <c r="N114" i="4"/>
  <c r="N113" i="4"/>
  <c r="N112" i="4"/>
  <c r="N111" i="4"/>
  <c r="N110" i="4"/>
  <c r="N109" i="4"/>
  <c r="N108" i="4"/>
  <c r="N107" i="4"/>
  <c r="N106" i="4"/>
  <c r="N105" i="4"/>
  <c r="N104" i="4"/>
  <c r="N102" i="4"/>
  <c r="N101" i="4"/>
  <c r="N99" i="4"/>
  <c r="N98" i="4"/>
  <c r="N97" i="4"/>
  <c r="N96" i="4"/>
  <c r="N95" i="4"/>
  <c r="N94" i="4"/>
  <c r="N93" i="4"/>
  <c r="N89" i="4"/>
  <c r="N88" i="4"/>
  <c r="N87" i="4"/>
  <c r="N86" i="4"/>
  <c r="N82" i="4"/>
  <c r="N81" i="4"/>
  <c r="N80" i="4"/>
  <c r="N79" i="4"/>
  <c r="N78"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0" i="4"/>
  <c r="N39" i="4"/>
  <c r="N38" i="4"/>
  <c r="N37" i="4"/>
  <c r="N36" i="4"/>
  <c r="N35" i="4"/>
  <c r="N34" i="4"/>
  <c r="N33" i="4"/>
  <c r="N32" i="4"/>
  <c r="N31" i="4"/>
  <c r="N30" i="4"/>
  <c r="N29" i="4"/>
  <c r="N28" i="4"/>
  <c r="N27" i="4"/>
  <c r="N26" i="4"/>
  <c r="N25" i="4"/>
  <c r="N24" i="4"/>
  <c r="N23" i="4"/>
  <c r="N22" i="4"/>
  <c r="N21" i="4"/>
  <c r="N20" i="4"/>
  <c r="N18" i="4"/>
  <c r="N16" i="4"/>
  <c r="N14" i="4"/>
  <c r="N13" i="4"/>
  <c r="N11" i="4"/>
  <c r="N10" i="4"/>
  <c r="N9" i="4"/>
  <c r="N8" i="4"/>
  <c r="N7" i="4"/>
  <c r="N6" i="4"/>
  <c r="N5" i="4"/>
  <c r="N4" i="4"/>
  <c r="N39" i="8"/>
  <c r="N38" i="8"/>
  <c r="N37" i="8"/>
  <c r="N36" i="8"/>
  <c r="N35" i="8"/>
  <c r="N34" i="8"/>
  <c r="N32" i="8"/>
  <c r="N29" i="8"/>
  <c r="N27" i="8"/>
  <c r="N26" i="8"/>
  <c r="N25" i="8"/>
  <c r="N24" i="8"/>
  <c r="N22" i="8"/>
  <c r="N21" i="8"/>
  <c r="N20" i="8"/>
  <c r="N19" i="8"/>
  <c r="N18" i="8"/>
  <c r="N17" i="8"/>
  <c r="N13" i="8"/>
  <c r="N12" i="8"/>
  <c r="N10" i="8"/>
  <c r="N9" i="8"/>
  <c r="N6" i="8"/>
  <c r="N5" i="8"/>
  <c r="N4" i="8"/>
  <c r="N114" i="12"/>
  <c r="N113" i="12"/>
  <c r="N110" i="12"/>
  <c r="N108" i="12"/>
  <c r="N107" i="12"/>
  <c r="N105" i="12"/>
  <c r="N103" i="12"/>
  <c r="N102" i="12"/>
  <c r="N101" i="12"/>
  <c r="N100" i="12"/>
  <c r="N98" i="12"/>
  <c r="N97" i="12"/>
  <c r="N96" i="12"/>
  <c r="N47" i="12"/>
  <c r="N46" i="12"/>
  <c r="N45" i="12"/>
  <c r="N44" i="12"/>
  <c r="N43" i="12"/>
  <c r="N42" i="12"/>
  <c r="N37" i="12"/>
  <c r="N35" i="12"/>
  <c r="N34" i="12"/>
  <c r="N33" i="12"/>
  <c r="N15" i="12"/>
  <c r="N16" i="12"/>
  <c r="N17" i="12"/>
  <c r="N20" i="12"/>
  <c r="N12" i="12"/>
  <c r="N13" i="12"/>
  <c r="N5" i="12"/>
  <c r="N6" i="12"/>
  <c r="N7" i="12"/>
  <c r="N8" i="12"/>
  <c r="N9" i="12"/>
  <c r="N10" i="12"/>
  <c r="N11" i="12"/>
  <c r="N5" i="7"/>
  <c r="N6" i="7"/>
  <c r="N7" i="7"/>
  <c r="N8" i="7"/>
  <c r="N9" i="7"/>
  <c r="N10" i="7"/>
  <c r="N11" i="7"/>
  <c r="N12" i="7"/>
  <c r="N15" i="7"/>
  <c r="N4" i="7"/>
  <c r="N4" i="12"/>
  <c r="N3" i="12"/>
  <c r="N3" i="8"/>
  <c r="N3" i="4"/>
  <c r="O3" i="3"/>
  <c r="P285" i="9"/>
  <c r="Q285" i="9"/>
  <c r="T285" i="9"/>
  <c r="U285" i="9"/>
  <c r="V285" i="9"/>
  <c r="W285" i="9"/>
  <c r="X285" i="9"/>
  <c r="Y285" i="9"/>
  <c r="Z285" i="9"/>
  <c r="AA285" i="9"/>
  <c r="AB285" i="9"/>
  <c r="AC285" i="9"/>
  <c r="AF285" i="9" s="1"/>
  <c r="AD285" i="9"/>
  <c r="AE285" i="9"/>
  <c r="P284" i="9"/>
  <c r="Q284" i="9"/>
  <c r="T284" i="9"/>
  <c r="U284" i="9"/>
  <c r="V284" i="9"/>
  <c r="W284" i="9"/>
  <c r="X284" i="9"/>
  <c r="Y284" i="9"/>
  <c r="Z284" i="9"/>
  <c r="AA284" i="9"/>
  <c r="AB284" i="9"/>
  <c r="AC284" i="9"/>
  <c r="AD284" i="9"/>
  <c r="AE284" i="9"/>
  <c r="AF284" i="9" s="1"/>
  <c r="P283" i="9"/>
  <c r="Q283" i="9"/>
  <c r="T283" i="9"/>
  <c r="U283" i="9"/>
  <c r="V283" i="9"/>
  <c r="W283" i="9"/>
  <c r="X283" i="9"/>
  <c r="Y283" i="9"/>
  <c r="Z283" i="9"/>
  <c r="AA283" i="9"/>
  <c r="AB283" i="9"/>
  <c r="AC283" i="9"/>
  <c r="AD283" i="9"/>
  <c r="AE283" i="9"/>
  <c r="P282" i="9"/>
  <c r="Q282" i="9"/>
  <c r="T282" i="9"/>
  <c r="U282" i="9"/>
  <c r="V282" i="9"/>
  <c r="W282" i="9"/>
  <c r="X282" i="9"/>
  <c r="Y282" i="9"/>
  <c r="Z282" i="9"/>
  <c r="AA282" i="9"/>
  <c r="AB282" i="9"/>
  <c r="AC282" i="9"/>
  <c r="AD282" i="9"/>
  <c r="AE282" i="9"/>
  <c r="P280" i="9"/>
  <c r="Q280" i="9"/>
  <c r="T280" i="9"/>
  <c r="AF280" i="9"/>
  <c r="P281" i="9"/>
  <c r="Q281" i="9"/>
  <c r="T281" i="9"/>
  <c r="AF281" i="9"/>
  <c r="P277" i="9"/>
  <c r="Q277" i="9"/>
  <c r="T277" i="9"/>
  <c r="U277" i="9"/>
  <c r="V277" i="9"/>
  <c r="W277" i="9"/>
  <c r="X277" i="9"/>
  <c r="Y277" i="9"/>
  <c r="Z277" i="9"/>
  <c r="AA277" i="9"/>
  <c r="AB277" i="9"/>
  <c r="AC277" i="9"/>
  <c r="AF277" i="9" s="1"/>
  <c r="AD277" i="9"/>
  <c r="AE277" i="9"/>
  <c r="P278" i="9"/>
  <c r="Q278" i="9"/>
  <c r="T278" i="9"/>
  <c r="U278" i="9"/>
  <c r="V278" i="9"/>
  <c r="W278" i="9"/>
  <c r="X278" i="9"/>
  <c r="Y278" i="9"/>
  <c r="Z278" i="9"/>
  <c r="AA278" i="9"/>
  <c r="AB278" i="9"/>
  <c r="AC278" i="9"/>
  <c r="AD278" i="9"/>
  <c r="AE278" i="9"/>
  <c r="AF278" i="9" s="1"/>
  <c r="P279" i="9"/>
  <c r="Q279" i="9"/>
  <c r="T279" i="9"/>
  <c r="U279" i="9"/>
  <c r="V279" i="9"/>
  <c r="W279" i="9"/>
  <c r="X279" i="9"/>
  <c r="Y279" i="9"/>
  <c r="Z279" i="9"/>
  <c r="AA279" i="9"/>
  <c r="AB279" i="9"/>
  <c r="AC279" i="9"/>
  <c r="AD279" i="9"/>
  <c r="AE279" i="9"/>
  <c r="P276" i="9"/>
  <c r="Q276" i="9"/>
  <c r="R276" i="9"/>
  <c r="T276" i="9"/>
  <c r="X276" i="9"/>
  <c r="AB276" i="9"/>
  <c r="AF276" i="9"/>
  <c r="P275" i="9"/>
  <c r="Q275" i="9"/>
  <c r="R275" i="9"/>
  <c r="T275" i="9"/>
  <c r="X275" i="9"/>
  <c r="AB275" i="9"/>
  <c r="AF275" i="9"/>
  <c r="P270" i="9"/>
  <c r="Q270" i="9"/>
  <c r="R270" i="9"/>
  <c r="AF270" i="9"/>
  <c r="P271" i="9"/>
  <c r="Q271" i="9"/>
  <c r="R271" i="9"/>
  <c r="T271" i="9"/>
  <c r="AB271" i="9"/>
  <c r="AF271" i="9"/>
  <c r="P267" i="9"/>
  <c r="T267" i="9"/>
  <c r="X267" i="9"/>
  <c r="AF267" i="9"/>
  <c r="P268" i="9"/>
  <c r="T268" i="9"/>
  <c r="X268" i="9"/>
  <c r="AF268" i="9"/>
  <c r="P269" i="9"/>
  <c r="T269" i="9"/>
  <c r="X269" i="9"/>
  <c r="AF269" i="9"/>
  <c r="P266" i="9"/>
  <c r="AF266" i="9"/>
  <c r="P265" i="9"/>
  <c r="AF265" i="9"/>
  <c r="P264" i="9"/>
  <c r="T264" i="9"/>
  <c r="AF264" i="9"/>
  <c r="P263" i="9"/>
  <c r="T263" i="9"/>
  <c r="AB263" i="9"/>
  <c r="AF263" i="9"/>
  <c r="P262" i="9"/>
  <c r="AF262" i="9"/>
  <c r="P261" i="9"/>
  <c r="T261" i="9"/>
  <c r="X261" i="9"/>
  <c r="AF261" i="9"/>
  <c r="P258" i="9"/>
  <c r="T258" i="9"/>
  <c r="X258" i="9"/>
  <c r="AF258" i="9"/>
  <c r="P259" i="9"/>
  <c r="Q259" i="9"/>
  <c r="R259" i="9"/>
  <c r="T259" i="9"/>
  <c r="X259" i="9"/>
  <c r="AF259" i="9"/>
  <c r="P260" i="9"/>
  <c r="Q260" i="9"/>
  <c r="R260" i="9"/>
  <c r="T260" i="9"/>
  <c r="X260" i="9"/>
  <c r="AF260" i="9"/>
  <c r="P257" i="9"/>
  <c r="Q257" i="9"/>
  <c r="R257" i="9"/>
  <c r="T257" i="9"/>
  <c r="X257" i="9"/>
  <c r="AF257" i="9"/>
  <c r="P255" i="9"/>
  <c r="T255" i="9"/>
  <c r="X255" i="9"/>
  <c r="AF255" i="9"/>
  <c r="P256" i="9"/>
  <c r="T256" i="9"/>
  <c r="X256" i="9"/>
  <c r="AF256" i="9"/>
  <c r="P253" i="9"/>
  <c r="T253" i="9"/>
  <c r="X253" i="9"/>
  <c r="AF253" i="9"/>
  <c r="P254" i="9"/>
  <c r="AF254" i="9"/>
  <c r="AF252" i="9"/>
  <c r="T252" i="9"/>
  <c r="P252" i="9"/>
  <c r="AF251" i="9"/>
  <c r="AB251" i="9"/>
  <c r="T251" i="9"/>
  <c r="O470" i="9"/>
  <c r="Q470" i="9"/>
  <c r="AE470" i="9"/>
  <c r="O468" i="9"/>
  <c r="AE468" i="9"/>
  <c r="O467" i="9"/>
  <c r="P467" i="9"/>
  <c r="Q467" i="9"/>
  <c r="AE467" i="9"/>
  <c r="O466" i="9"/>
  <c r="P466" i="9"/>
  <c r="Q466" i="9"/>
  <c r="AE466" i="9"/>
  <c r="O465" i="9"/>
  <c r="P465" i="9"/>
  <c r="Q465" i="9"/>
  <c r="AE465" i="9"/>
  <c r="O464" i="9"/>
  <c r="P464" i="9"/>
  <c r="Q464" i="9"/>
  <c r="AE464" i="9"/>
  <c r="O463" i="9"/>
  <c r="P463" i="9"/>
  <c r="Q463" i="9"/>
  <c r="AE463" i="9"/>
  <c r="O462" i="9"/>
  <c r="P462" i="9"/>
  <c r="Q462" i="9"/>
  <c r="AE462" i="9"/>
  <c r="O461" i="9"/>
  <c r="P461" i="9"/>
  <c r="Q461" i="9"/>
  <c r="O459" i="9"/>
  <c r="P459" i="9"/>
  <c r="Q459" i="9"/>
  <c r="O460" i="9"/>
  <c r="P460" i="9"/>
  <c r="Q460" i="9"/>
  <c r="O458" i="9"/>
  <c r="P458" i="9"/>
  <c r="Q458" i="9"/>
  <c r="AE458" i="9"/>
  <c r="O456" i="9"/>
  <c r="P456" i="9"/>
  <c r="Q456" i="9"/>
  <c r="AE456" i="9"/>
  <c r="O455" i="9"/>
  <c r="P455" i="9"/>
  <c r="Q455" i="9"/>
  <c r="AE455" i="9"/>
  <c r="O417" i="9"/>
  <c r="S417" i="9"/>
  <c r="AE417" i="9"/>
  <c r="S418" i="9"/>
  <c r="AE418" i="9"/>
  <c r="AE415" i="9"/>
  <c r="AE416" i="9"/>
  <c r="O414" i="9"/>
  <c r="S414" i="9"/>
  <c r="AE414" i="9"/>
  <c r="O403" i="9"/>
  <c r="S403" i="9"/>
  <c r="AA403" i="9"/>
  <c r="AE403" i="9"/>
  <c r="O404" i="9"/>
  <c r="S404" i="9"/>
  <c r="AA404" i="9"/>
  <c r="AE404" i="9"/>
  <c r="O401" i="9"/>
  <c r="AA401" i="9"/>
  <c r="AE401" i="9"/>
  <c r="O402" i="9"/>
  <c r="AA402" i="9"/>
  <c r="AE402" i="9"/>
  <c r="O405" i="9"/>
  <c r="AA405" i="9"/>
  <c r="AE405" i="9"/>
  <c r="AF279" i="9"/>
  <c r="AF283" i="9"/>
  <c r="AF282" i="9"/>
  <c r="AF249" i="9"/>
  <c r="AF250" i="9"/>
  <c r="P248" i="9"/>
  <c r="Q248" i="9"/>
  <c r="R248" i="9"/>
  <c r="S248" i="9"/>
  <c r="T248" i="9"/>
  <c r="U248" i="9"/>
  <c r="V248" i="9"/>
  <c r="W248" i="9"/>
  <c r="X248" i="9"/>
  <c r="Y248" i="9"/>
  <c r="Z248" i="9"/>
  <c r="AA248" i="9"/>
  <c r="AB248" i="9"/>
  <c r="AC248" i="9"/>
  <c r="AD248" i="9"/>
  <c r="AF248" i="9" s="1"/>
  <c r="AE248" i="9"/>
  <c r="O341" i="9"/>
  <c r="W341" i="9"/>
  <c r="AA341" i="9"/>
  <c r="AB341" i="9"/>
  <c r="AC341" i="9"/>
  <c r="AE341" i="9" s="1"/>
  <c r="AD341" i="9"/>
  <c r="O342" i="9"/>
  <c r="W342" i="9"/>
  <c r="AA342" i="9"/>
  <c r="AB342" i="9"/>
  <c r="AC342" i="9"/>
  <c r="AE342" i="9" s="1"/>
  <c r="AD342" i="9"/>
  <c r="O343" i="9"/>
  <c r="W343" i="9"/>
  <c r="AA343" i="9"/>
  <c r="AB343" i="9"/>
  <c r="AC343" i="9"/>
  <c r="AD343" i="9"/>
  <c r="O340" i="9"/>
  <c r="AB340" i="9"/>
  <c r="AC340" i="9"/>
  <c r="AD340" i="9"/>
  <c r="O337" i="9"/>
  <c r="AA337" i="9"/>
  <c r="AB337" i="9"/>
  <c r="AC337" i="9"/>
  <c r="AD337" i="9"/>
  <c r="AE337" i="9" s="1"/>
  <c r="O338" i="9"/>
  <c r="AA338" i="9"/>
  <c r="AB338" i="9"/>
  <c r="AC338" i="9"/>
  <c r="AD338" i="9"/>
  <c r="O339" i="9"/>
  <c r="AE339" i="9"/>
  <c r="O334" i="9"/>
  <c r="AE334" i="9"/>
  <c r="O335" i="9"/>
  <c r="AE335" i="9"/>
  <c r="O336" i="9"/>
  <c r="S336" i="9"/>
  <c r="AE336" i="9"/>
  <c r="O333" i="9"/>
  <c r="AE333" i="9"/>
  <c r="O332" i="9"/>
  <c r="O329" i="9"/>
  <c r="AE329" i="9"/>
  <c r="O330" i="9"/>
  <c r="AE330" i="9"/>
  <c r="O326" i="9"/>
  <c r="AE326" i="9"/>
  <c r="O327" i="9"/>
  <c r="AE327" i="9"/>
  <c r="O328" i="9"/>
  <c r="AE328" i="9"/>
  <c r="O331" i="9"/>
  <c r="AE331" i="9"/>
  <c r="AE343" i="9"/>
  <c r="AE340" i="9"/>
  <c r="AE338" i="9"/>
  <c r="AC190" i="5"/>
  <c r="AC191" i="5"/>
  <c r="AC153" i="5"/>
  <c r="AC154" i="5"/>
  <c r="AC155" i="5"/>
  <c r="AC156" i="5"/>
  <c r="AC157" i="5"/>
  <c r="AC158" i="5"/>
  <c r="AC159" i="5"/>
  <c r="AC160" i="5"/>
  <c r="AC161" i="5"/>
  <c r="AC162" i="5"/>
  <c r="AC148" i="5"/>
  <c r="AC149" i="5"/>
  <c r="AC150" i="5"/>
  <c r="AC151" i="5"/>
  <c r="AC152" i="5"/>
  <c r="AC189" i="5"/>
  <c r="Y190" i="5"/>
  <c r="Y191" i="5"/>
  <c r="Y153" i="5"/>
  <c r="Y154" i="5"/>
  <c r="Y155" i="5"/>
  <c r="Y156" i="5"/>
  <c r="Y157" i="5"/>
  <c r="Y158" i="5"/>
  <c r="Y159" i="5"/>
  <c r="Y160" i="5"/>
  <c r="Y161" i="5"/>
  <c r="Y162" i="5"/>
  <c r="Y148" i="5"/>
  <c r="Y149" i="5"/>
  <c r="Y150" i="5"/>
  <c r="Y151" i="5"/>
  <c r="Y152" i="5"/>
  <c r="Y189" i="5"/>
  <c r="AG114" i="12"/>
  <c r="U114" i="12"/>
  <c r="Q114" i="12"/>
  <c r="AG113" i="12"/>
  <c r="U113" i="12"/>
  <c r="Q113" i="12"/>
  <c r="AF112" i="12"/>
  <c r="AG112" i="12" s="1"/>
  <c r="AE112" i="12"/>
  <c r="AD112" i="12"/>
  <c r="AC112" i="12"/>
  <c r="AB112" i="12"/>
  <c r="AA112" i="12"/>
  <c r="Z112" i="12"/>
  <c r="Y112" i="12"/>
  <c r="U112" i="12"/>
  <c r="Q112" i="12"/>
  <c r="AG111" i="12"/>
  <c r="Q111" i="12"/>
  <c r="AG110" i="12"/>
  <c r="U110" i="12"/>
  <c r="Q110" i="12"/>
  <c r="AG109" i="12"/>
  <c r="Q109" i="12"/>
  <c r="AG108" i="12"/>
  <c r="U108" i="12"/>
  <c r="Q108" i="12"/>
  <c r="AF107" i="12"/>
  <c r="AE107" i="12"/>
  <c r="AG107" i="12" s="1"/>
  <c r="AD107" i="12"/>
  <c r="AC107" i="12"/>
  <c r="U107" i="12"/>
  <c r="Q107" i="12"/>
  <c r="AF106" i="12"/>
  <c r="AE106" i="12"/>
  <c r="AD106" i="12"/>
  <c r="AC106" i="12"/>
  <c r="Q106" i="12"/>
  <c r="AF105" i="12"/>
  <c r="AE105" i="12"/>
  <c r="AG105" i="12" s="1"/>
  <c r="AD105" i="12"/>
  <c r="AC105" i="12"/>
  <c r="U105" i="12"/>
  <c r="Q105" i="12"/>
  <c r="AG104" i="12"/>
  <c r="U104" i="12"/>
  <c r="Q104" i="12"/>
  <c r="AF103" i="12"/>
  <c r="AG103" i="12" s="1"/>
  <c r="AE103" i="12"/>
  <c r="AD103" i="12"/>
  <c r="AC103" i="12"/>
  <c r="U103" i="12"/>
  <c r="Q103" i="12"/>
  <c r="AF102" i="12"/>
  <c r="AE102" i="12"/>
  <c r="AD102" i="12"/>
  <c r="AG102" i="12" s="1"/>
  <c r="AC102" i="12"/>
  <c r="U102" i="12"/>
  <c r="Q102" i="12"/>
  <c r="AG101" i="12"/>
  <c r="Q101" i="12"/>
  <c r="AF100" i="12"/>
  <c r="AE100" i="12"/>
  <c r="AD100" i="12"/>
  <c r="AG100" i="12" s="1"/>
  <c r="AC100" i="12"/>
  <c r="Q100" i="12"/>
  <c r="AG99" i="12"/>
  <c r="Q99" i="12"/>
  <c r="AG98" i="12"/>
  <c r="Q98" i="12"/>
  <c r="AG97" i="12"/>
  <c r="U97" i="12"/>
  <c r="Q97" i="12"/>
  <c r="AF96" i="12"/>
  <c r="AE96" i="12"/>
  <c r="AD96" i="12"/>
  <c r="AG96" i="12" s="1"/>
  <c r="Q96" i="12"/>
  <c r="AG95" i="12"/>
  <c r="U95" i="12"/>
  <c r="Q95" i="12"/>
  <c r="S85" i="4"/>
  <c r="R85" i="4"/>
  <c r="Q85" i="4"/>
  <c r="AG106" i="12"/>
  <c r="AG128" i="4"/>
  <c r="AG127" i="4"/>
  <c r="S128" i="4"/>
  <c r="R128" i="4"/>
  <c r="Q128" i="4"/>
  <c r="S127" i="4"/>
  <c r="R127" i="4"/>
  <c r="Q127" i="4"/>
  <c r="S87" i="4"/>
  <c r="R87" i="4"/>
  <c r="Q87" i="4"/>
  <c r="S86" i="4"/>
  <c r="R86" i="4"/>
  <c r="Q86" i="4"/>
  <c r="AG118" i="4"/>
  <c r="AG119" i="4"/>
  <c r="AG120" i="4"/>
  <c r="AG121" i="4"/>
  <c r="AG122" i="4"/>
  <c r="AG123" i="4"/>
  <c r="AG124" i="4"/>
  <c r="AG125" i="4"/>
  <c r="AG126" i="4"/>
  <c r="AG129" i="4"/>
  <c r="AG130" i="4"/>
  <c r="AG131" i="4"/>
  <c r="AG132" i="4"/>
  <c r="AG71" i="4"/>
  <c r="S71" i="4"/>
  <c r="R71" i="4"/>
  <c r="Q71" i="4"/>
  <c r="AG18" i="8"/>
  <c r="AE5" i="9"/>
  <c r="S5" i="9"/>
  <c r="P5" i="9"/>
  <c r="O5" i="9"/>
  <c r="AE6" i="9"/>
  <c r="V6" i="9"/>
  <c r="U6" i="9"/>
  <c r="T6" i="9"/>
  <c r="S6" i="9"/>
  <c r="P6" i="9"/>
  <c r="O6" i="9"/>
  <c r="AE287" i="9"/>
  <c r="AG11" i="12"/>
  <c r="AG4" i="12"/>
  <c r="AG5" i="12"/>
  <c r="AG6" i="12"/>
  <c r="AG7" i="12"/>
  <c r="AG162" i="4"/>
  <c r="AG96" i="4"/>
  <c r="AG120" i="5"/>
  <c r="AG119" i="5"/>
  <c r="AG118" i="5"/>
  <c r="AG117" i="5"/>
  <c r="AG116" i="5"/>
  <c r="AG143" i="5"/>
  <c r="AG144" i="5"/>
  <c r="AG145" i="5"/>
  <c r="AG146" i="5"/>
  <c r="AG147" i="5"/>
  <c r="AG111" i="5"/>
  <c r="AG110" i="5"/>
  <c r="AG102" i="5"/>
  <c r="AG121" i="5"/>
  <c r="AG122" i="5"/>
  <c r="AG70" i="4"/>
  <c r="AG43" i="4"/>
  <c r="AG45" i="4"/>
  <c r="AG46" i="4"/>
  <c r="AG47" i="4"/>
  <c r="AG48" i="4"/>
  <c r="AG49" i="4"/>
  <c r="AG50" i="4"/>
  <c r="AG56" i="4"/>
  <c r="AG57" i="4"/>
  <c r="AG58" i="4"/>
  <c r="AG59" i="4"/>
  <c r="AG60" i="4"/>
  <c r="AG61" i="4"/>
  <c r="AG42" i="4"/>
  <c r="Q130" i="12"/>
  <c r="Q129" i="12"/>
  <c r="Q128" i="12"/>
  <c r="Q123" i="12"/>
  <c r="Q122" i="12"/>
  <c r="Q121" i="12"/>
  <c r="Q120" i="12"/>
  <c r="Q119" i="12"/>
  <c r="Q118" i="12"/>
  <c r="U117" i="12"/>
  <c r="Q117" i="12"/>
  <c r="Q92" i="12"/>
  <c r="Q91" i="12"/>
  <c r="Q89" i="12"/>
  <c r="Q88" i="12"/>
  <c r="Q85" i="12"/>
  <c r="Q83" i="12"/>
  <c r="Q82" i="12"/>
  <c r="Q81" i="12"/>
  <c r="Q80" i="12"/>
  <c r="Q78" i="12"/>
  <c r="Q75" i="12"/>
  <c r="Q74" i="12"/>
  <c r="U73" i="12"/>
  <c r="Q73" i="12"/>
  <c r="Q72" i="12"/>
  <c r="Q67" i="12"/>
  <c r="Q66" i="12"/>
  <c r="Q65" i="12"/>
  <c r="Q64" i="12"/>
  <c r="Q63" i="12"/>
  <c r="Q62" i="12"/>
  <c r="Q61" i="12"/>
  <c r="Q60" i="12"/>
  <c r="Q59" i="12"/>
  <c r="Q57" i="12"/>
  <c r="Q56" i="12"/>
  <c r="Q55" i="12"/>
  <c r="Q54" i="12"/>
  <c r="Q52" i="12"/>
  <c r="Q51" i="12"/>
  <c r="Q50" i="12"/>
  <c r="Q49" i="12"/>
  <c r="Q47" i="12"/>
  <c r="Q46" i="12"/>
  <c r="Q45" i="12"/>
  <c r="Q44" i="12"/>
  <c r="Q42" i="12"/>
  <c r="Q41" i="12"/>
  <c r="Q39" i="12"/>
  <c r="Q38" i="12"/>
  <c r="AG17" i="12"/>
  <c r="AG16" i="12"/>
  <c r="AG10" i="12"/>
  <c r="AG9" i="12"/>
  <c r="AG8" i="12"/>
  <c r="Y165" i="5"/>
  <c r="Y166" i="5"/>
  <c r="Y167" i="5"/>
  <c r="Y168" i="5"/>
  <c r="AC144" i="5"/>
  <c r="AC145" i="5"/>
  <c r="AC146" i="5"/>
  <c r="AC147" i="5"/>
  <c r="AC110" i="5"/>
  <c r="AC111" i="5"/>
  <c r="AC112" i="5"/>
  <c r="AC113" i="5"/>
  <c r="AC143" i="5"/>
  <c r="Y144" i="5"/>
  <c r="Y145" i="5"/>
  <c r="Y146" i="5"/>
  <c r="Y147" i="5"/>
  <c r="Y110" i="5"/>
  <c r="Y111" i="5"/>
  <c r="Y112" i="5"/>
  <c r="Y113" i="5"/>
  <c r="Y102" i="5"/>
  <c r="Y143" i="5"/>
  <c r="Q91" i="4"/>
  <c r="AG170" i="5"/>
  <c r="AG78" i="5"/>
  <c r="Q44" i="5"/>
  <c r="AH230" i="3"/>
  <c r="U230" i="3"/>
  <c r="T230" i="3"/>
  <c r="S230" i="3"/>
  <c r="R230" i="3"/>
  <c r="Q230" i="3"/>
  <c r="R153" i="3"/>
  <c r="T203" i="3"/>
  <c r="T204" i="3"/>
  <c r="T205" i="3"/>
  <c r="S203" i="3"/>
  <c r="S204" i="3"/>
  <c r="S205" i="3"/>
  <c r="R203" i="3"/>
  <c r="R204" i="3"/>
  <c r="R205" i="3"/>
  <c r="R200" i="3"/>
  <c r="R201" i="3"/>
  <c r="R202" i="3"/>
  <c r="S132" i="3"/>
  <c r="T132" i="3"/>
  <c r="S133" i="3"/>
  <c r="T133" i="3"/>
  <c r="T131" i="3"/>
  <c r="S131" i="3"/>
  <c r="R133" i="3"/>
  <c r="R132" i="3"/>
  <c r="R131" i="3"/>
  <c r="S127" i="3"/>
  <c r="T127" i="3"/>
  <c r="S128" i="3"/>
  <c r="T128" i="3"/>
  <c r="S129" i="3"/>
  <c r="T129" i="3"/>
  <c r="T126" i="3"/>
  <c r="S126" i="3"/>
  <c r="R127" i="3"/>
  <c r="R128" i="3"/>
  <c r="R129" i="3"/>
  <c r="R126" i="3"/>
  <c r="T124" i="3"/>
  <c r="T123" i="3"/>
  <c r="T122" i="3"/>
  <c r="T121" i="3"/>
  <c r="T120" i="3"/>
  <c r="T119" i="3"/>
  <c r="T118" i="3"/>
  <c r="T117" i="3"/>
  <c r="T116" i="3"/>
  <c r="S124" i="3"/>
  <c r="S123" i="3"/>
  <c r="S122" i="3"/>
  <c r="S121" i="3"/>
  <c r="S120" i="3"/>
  <c r="S119" i="3"/>
  <c r="S118" i="3"/>
  <c r="S117" i="3"/>
  <c r="S116" i="3"/>
  <c r="R124" i="3"/>
  <c r="R123" i="3"/>
  <c r="R122" i="3"/>
  <c r="R121" i="3"/>
  <c r="R117" i="3"/>
  <c r="R118" i="3"/>
  <c r="R119" i="3"/>
  <c r="R120" i="3"/>
  <c r="R116" i="3"/>
  <c r="S109" i="3"/>
  <c r="R109" i="3"/>
  <c r="S108" i="3"/>
  <c r="R108" i="3"/>
  <c r="S106" i="3"/>
  <c r="S105" i="3"/>
  <c r="S104"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63" i="3"/>
  <c r="R68" i="3"/>
  <c r="R67" i="3"/>
  <c r="R66" i="3"/>
  <c r="R65" i="3"/>
  <c r="R64" i="3"/>
  <c r="R63" i="3"/>
  <c r="R76" i="3"/>
  <c r="R75" i="3"/>
  <c r="R74" i="3"/>
  <c r="R73" i="3"/>
  <c r="R72" i="3"/>
  <c r="R71" i="3"/>
  <c r="R70" i="3"/>
  <c r="R69" i="3"/>
  <c r="R77" i="3"/>
  <c r="Y95" i="5"/>
  <c r="U95" i="5"/>
  <c r="Y94" i="5"/>
  <c r="U94" i="5"/>
  <c r="Y91" i="5"/>
  <c r="U91" i="5"/>
  <c r="Y89" i="5"/>
  <c r="Y87" i="5"/>
  <c r="U87" i="5"/>
  <c r="Y85" i="5"/>
  <c r="Y84" i="5"/>
  <c r="Y83" i="5"/>
  <c r="U83" i="5"/>
  <c r="U82" i="5"/>
  <c r="Y82" i="5"/>
  <c r="AG75" i="4"/>
  <c r="S75" i="4"/>
  <c r="R75" i="4"/>
  <c r="Q75" i="4"/>
  <c r="U39" i="5"/>
  <c r="Q29" i="5"/>
  <c r="Q28" i="5"/>
  <c r="Q27" i="5"/>
  <c r="U29" i="5"/>
  <c r="U28" i="5"/>
  <c r="U27" i="5"/>
  <c r="Y134" i="5"/>
  <c r="U134" i="5"/>
  <c r="Q125" i="5"/>
  <c r="Q124" i="5"/>
  <c r="Q123" i="5"/>
  <c r="U125" i="5"/>
  <c r="U124" i="5"/>
  <c r="U123" i="5"/>
  <c r="O247" i="9"/>
  <c r="Q247" i="9"/>
  <c r="AE247" i="9"/>
  <c r="U28" i="8"/>
  <c r="U17" i="8"/>
  <c r="AF79" i="5"/>
  <c r="AG79" i="5" s="1"/>
  <c r="AE79" i="5"/>
  <c r="AD79" i="5"/>
  <c r="AC79" i="5"/>
  <c r="U52" i="5"/>
  <c r="Q11" i="5"/>
  <c r="O454" i="9"/>
  <c r="AE454" i="9"/>
  <c r="O453" i="9"/>
  <c r="AE453" i="9"/>
  <c r="S70" i="4"/>
  <c r="R70" i="4"/>
  <c r="Q70" i="4"/>
  <c r="O452" i="9"/>
  <c r="P452" i="9"/>
  <c r="Q452" i="9"/>
  <c r="AE452" i="9"/>
  <c r="O451" i="9"/>
  <c r="P451" i="9"/>
  <c r="Q451" i="9"/>
  <c r="AE451" i="9"/>
  <c r="AE246" i="9"/>
  <c r="O245" i="9"/>
  <c r="AE245" i="9"/>
  <c r="O400" i="9"/>
  <c r="AE400" i="9"/>
  <c r="O359" i="9"/>
  <c r="AE359" i="9"/>
  <c r="O325" i="9"/>
  <c r="R218" i="4"/>
  <c r="R217" i="4"/>
  <c r="R213" i="4"/>
  <c r="R212" i="4"/>
  <c r="R211" i="4"/>
  <c r="R210" i="4"/>
  <c r="R207" i="4"/>
  <c r="R206" i="4"/>
  <c r="R203" i="4"/>
  <c r="R202" i="4"/>
  <c r="R201" i="4"/>
  <c r="R200" i="4"/>
  <c r="R197" i="4"/>
  <c r="R196" i="4"/>
  <c r="Q196" i="4"/>
  <c r="R195" i="4"/>
  <c r="R192" i="4"/>
  <c r="R191" i="4"/>
  <c r="R190" i="4"/>
  <c r="R189" i="4"/>
  <c r="R188" i="4"/>
  <c r="R187" i="4"/>
  <c r="R180" i="4"/>
  <c r="R179" i="4"/>
  <c r="R194" i="4"/>
  <c r="S158" i="4"/>
  <c r="R157" i="4"/>
  <c r="R96" i="4"/>
  <c r="S131" i="4"/>
  <c r="Q88" i="4"/>
  <c r="S88" i="4"/>
  <c r="Q16" i="4"/>
  <c r="U6" i="4"/>
  <c r="U133" i="5"/>
  <c r="O450" i="9"/>
  <c r="P450" i="9"/>
  <c r="Q450" i="9"/>
  <c r="AE450" i="9"/>
  <c r="Q84" i="4"/>
  <c r="R68" i="4"/>
  <c r="S22" i="4"/>
  <c r="S23" i="4"/>
  <c r="S24" i="4"/>
  <c r="S25" i="4"/>
  <c r="S26" i="4"/>
  <c r="S27" i="4"/>
  <c r="S28" i="4"/>
  <c r="S29" i="4"/>
  <c r="S21" i="4"/>
  <c r="S20" i="4"/>
  <c r="AE244" i="9"/>
  <c r="O244" i="9"/>
  <c r="Q225" i="4"/>
  <c r="S225" i="4"/>
  <c r="S224" i="4"/>
  <c r="Q224" i="4"/>
  <c r="S223" i="4"/>
  <c r="Q223" i="4"/>
  <c r="Q222" i="4"/>
  <c r="S222" i="4"/>
  <c r="S221" i="4"/>
  <c r="Q221" i="4"/>
  <c r="S220" i="4"/>
  <c r="Q220" i="4"/>
  <c r="S218" i="4"/>
  <c r="Q218" i="4"/>
  <c r="S217" i="4"/>
  <c r="Q217" i="4"/>
  <c r="S216" i="4"/>
  <c r="Q216" i="4"/>
  <c r="S215" i="4"/>
  <c r="Q215" i="4"/>
  <c r="S213" i="4"/>
  <c r="S212" i="4"/>
  <c r="Q213" i="4"/>
  <c r="Q212" i="4"/>
  <c r="S211" i="4"/>
  <c r="Q211" i="4"/>
  <c r="S210" i="4"/>
  <c r="Q210" i="4"/>
  <c r="S209" i="4"/>
  <c r="Q209" i="4"/>
  <c r="S208" i="4"/>
  <c r="Q208" i="4"/>
  <c r="S207" i="4"/>
  <c r="Q207" i="4"/>
  <c r="S206" i="4"/>
  <c r="Q206" i="4"/>
  <c r="S203" i="4"/>
  <c r="AG203" i="4"/>
  <c r="Q203" i="4"/>
  <c r="S202" i="4"/>
  <c r="Q202" i="4"/>
  <c r="Q201" i="4"/>
  <c r="S201" i="4"/>
  <c r="Q200" i="4"/>
  <c r="S200" i="4"/>
  <c r="S199" i="4"/>
  <c r="Q199" i="4"/>
  <c r="Q198" i="4"/>
  <c r="S198" i="4"/>
  <c r="S197" i="4"/>
  <c r="Q197" i="4"/>
  <c r="S196" i="4"/>
  <c r="Q195" i="4"/>
  <c r="S195" i="4"/>
  <c r="S194" i="4"/>
  <c r="Q194" i="4"/>
  <c r="S192" i="4"/>
  <c r="Q192" i="4"/>
  <c r="S191" i="4"/>
  <c r="Q191" i="4"/>
  <c r="S190" i="4"/>
  <c r="Q190" i="4"/>
  <c r="S189" i="4"/>
  <c r="Q189" i="4"/>
  <c r="S188" i="4"/>
  <c r="Q188" i="4"/>
  <c r="S187" i="4"/>
  <c r="Q187" i="4"/>
  <c r="S186" i="4"/>
  <c r="Q186" i="4"/>
  <c r="Q184" i="4"/>
  <c r="S184" i="4"/>
  <c r="S183" i="4"/>
  <c r="Q183" i="4"/>
  <c r="Q182" i="4"/>
  <c r="S182" i="4"/>
  <c r="S181" i="4"/>
  <c r="Q181" i="4"/>
  <c r="S180" i="4"/>
  <c r="Q180" i="4"/>
  <c r="S178" i="4"/>
  <c r="Q178" i="4"/>
  <c r="S179" i="4"/>
  <c r="Q179" i="4"/>
  <c r="S177" i="4"/>
  <c r="Q177" i="4"/>
  <c r="AG177" i="4"/>
  <c r="Q176" i="4"/>
  <c r="S176" i="4"/>
  <c r="R175" i="4"/>
  <c r="Q175" i="4"/>
  <c r="S174" i="4"/>
  <c r="Q174" i="4"/>
  <c r="S173" i="4"/>
  <c r="Q173" i="4"/>
  <c r="S170" i="4"/>
  <c r="Q170" i="4"/>
  <c r="S169" i="4"/>
  <c r="Q169" i="4"/>
  <c r="S168" i="4"/>
  <c r="Q168" i="4"/>
  <c r="S167" i="4"/>
  <c r="Q167" i="4"/>
  <c r="S166" i="4"/>
  <c r="Q166" i="4"/>
  <c r="S165" i="4"/>
  <c r="Q165" i="4"/>
  <c r="Q164" i="4"/>
  <c r="S164" i="4"/>
  <c r="S163" i="4"/>
  <c r="Q163" i="4"/>
  <c r="S162" i="4"/>
  <c r="Q162" i="4"/>
  <c r="S161" i="4"/>
  <c r="Q161" i="4"/>
  <c r="Q159" i="4"/>
  <c r="R159" i="4"/>
  <c r="S159" i="4"/>
  <c r="Q158" i="4"/>
  <c r="R158" i="4"/>
  <c r="S157" i="4"/>
  <c r="Q157" i="4"/>
  <c r="S155" i="4"/>
  <c r="R155" i="4"/>
  <c r="Q155" i="4"/>
  <c r="Q154" i="4"/>
  <c r="S154" i="4"/>
  <c r="R154" i="4"/>
  <c r="S151" i="4"/>
  <c r="R151" i="4"/>
  <c r="Q151" i="4"/>
  <c r="S150" i="4"/>
  <c r="R150" i="4"/>
  <c r="Q150" i="4"/>
  <c r="S149" i="4"/>
  <c r="R149" i="4"/>
  <c r="Q149" i="4"/>
  <c r="S148" i="4"/>
  <c r="R148" i="4"/>
  <c r="Q148" i="4"/>
  <c r="S147" i="4"/>
  <c r="R147" i="4"/>
  <c r="Q147" i="4"/>
  <c r="S146" i="4"/>
  <c r="R146" i="4"/>
  <c r="Q146" i="4"/>
  <c r="S145" i="4"/>
  <c r="R145" i="4"/>
  <c r="Q145" i="4"/>
  <c r="S144" i="4"/>
  <c r="R144" i="4"/>
  <c r="Q144" i="4"/>
  <c r="S143" i="4"/>
  <c r="R143" i="4"/>
  <c r="Q143" i="4"/>
  <c r="S142" i="4"/>
  <c r="R142" i="4"/>
  <c r="Q142" i="4"/>
  <c r="S139" i="4"/>
  <c r="R139" i="4"/>
  <c r="Q139" i="4"/>
  <c r="S138" i="4"/>
  <c r="R138" i="4"/>
  <c r="Q138" i="4"/>
  <c r="S137" i="4"/>
  <c r="R137" i="4"/>
  <c r="Q137" i="4"/>
  <c r="S136" i="4"/>
  <c r="R136" i="4"/>
  <c r="Q136" i="4"/>
  <c r="S135" i="4"/>
  <c r="R135" i="4"/>
  <c r="Q135" i="4"/>
  <c r="S134" i="4"/>
  <c r="R134" i="4"/>
  <c r="Q134" i="4"/>
  <c r="S133" i="4"/>
  <c r="R133" i="4"/>
  <c r="Q133" i="4"/>
  <c r="R131" i="4"/>
  <c r="Q131" i="4"/>
  <c r="S130" i="4"/>
  <c r="R130" i="4"/>
  <c r="Q130" i="4"/>
  <c r="Q129" i="4"/>
  <c r="S129" i="4"/>
  <c r="R129" i="4"/>
  <c r="Q126" i="4"/>
  <c r="S126" i="4"/>
  <c r="R126" i="4"/>
  <c r="Q125" i="4"/>
  <c r="S125" i="4"/>
  <c r="R125" i="4"/>
  <c r="S124" i="4"/>
  <c r="R124" i="4"/>
  <c r="Q124" i="4"/>
  <c r="S123" i="4"/>
  <c r="R123" i="4"/>
  <c r="Q123" i="4"/>
  <c r="S122" i="4"/>
  <c r="R122" i="4"/>
  <c r="Q122" i="4"/>
  <c r="S121" i="4"/>
  <c r="R121" i="4"/>
  <c r="Q121" i="4"/>
  <c r="S120" i="4"/>
  <c r="R120" i="4"/>
  <c r="Q120" i="4"/>
  <c r="S119" i="4"/>
  <c r="R119" i="4"/>
  <c r="Q119" i="4"/>
  <c r="S118" i="4"/>
  <c r="R118" i="4"/>
  <c r="Q118" i="4"/>
  <c r="AE449" i="9"/>
  <c r="S116" i="4"/>
  <c r="R116" i="4"/>
  <c r="Q116" i="4"/>
  <c r="S109" i="4"/>
  <c r="R109" i="4"/>
  <c r="Q109" i="4"/>
  <c r="S108" i="4"/>
  <c r="R108" i="4"/>
  <c r="Q108" i="4"/>
  <c r="S107" i="4"/>
  <c r="R107" i="4"/>
  <c r="Q107" i="4"/>
  <c r="S106" i="4"/>
  <c r="R106" i="4"/>
  <c r="Q106" i="4"/>
  <c r="S105" i="4"/>
  <c r="R105" i="4"/>
  <c r="Q105" i="4"/>
  <c r="S103" i="4"/>
  <c r="R103" i="4"/>
  <c r="Q103" i="4"/>
  <c r="S99" i="4"/>
  <c r="R99" i="4"/>
  <c r="Q99" i="4"/>
  <c r="S98" i="4"/>
  <c r="R98" i="4"/>
  <c r="Q98" i="4"/>
  <c r="Q97" i="4"/>
  <c r="S97" i="4"/>
  <c r="R97" i="4"/>
  <c r="Q96" i="4"/>
  <c r="S96" i="4"/>
  <c r="S95" i="4"/>
  <c r="R95" i="4"/>
  <c r="Q95" i="4"/>
  <c r="S94" i="4"/>
  <c r="R94" i="4"/>
  <c r="Q94" i="4"/>
  <c r="S93" i="4"/>
  <c r="R93" i="4"/>
  <c r="Q93" i="4"/>
  <c r="S92" i="4"/>
  <c r="R92" i="4"/>
  <c r="Q92" i="4"/>
  <c r="Q89" i="4"/>
  <c r="R88" i="4"/>
  <c r="S84" i="4"/>
  <c r="R84" i="4"/>
  <c r="S82" i="4"/>
  <c r="R82" i="4"/>
  <c r="Q82" i="4"/>
  <c r="S81" i="4"/>
  <c r="R81" i="4"/>
  <c r="Q81" i="4"/>
  <c r="S80" i="4"/>
  <c r="R80" i="4"/>
  <c r="Q80" i="4"/>
  <c r="S79" i="4"/>
  <c r="R79" i="4"/>
  <c r="Q79" i="4"/>
  <c r="S78" i="4"/>
  <c r="R78" i="4"/>
  <c r="Q78" i="4"/>
  <c r="S76" i="4"/>
  <c r="R76" i="4"/>
  <c r="Q76" i="4"/>
  <c r="S73" i="4"/>
  <c r="R73" i="4"/>
  <c r="Q73" i="4"/>
  <c r="S72" i="4"/>
  <c r="R72" i="4"/>
  <c r="Q72" i="4"/>
  <c r="S69" i="4"/>
  <c r="R69" i="4"/>
  <c r="Q69" i="4"/>
  <c r="S68" i="4"/>
  <c r="Q68" i="4"/>
  <c r="S40" i="4"/>
  <c r="R40" i="4"/>
  <c r="Q40" i="4"/>
  <c r="S39" i="4"/>
  <c r="R39" i="4"/>
  <c r="Q39" i="4"/>
  <c r="S38" i="4"/>
  <c r="R38" i="4"/>
  <c r="Q38" i="4"/>
  <c r="R37" i="4"/>
  <c r="Q37" i="4"/>
  <c r="S37" i="4"/>
  <c r="Q36" i="4"/>
  <c r="S36" i="4"/>
  <c r="R36" i="4"/>
  <c r="Q35" i="4"/>
  <c r="S35" i="4"/>
  <c r="R35" i="4"/>
  <c r="S34" i="4"/>
  <c r="R34" i="4"/>
  <c r="Q34" i="4"/>
  <c r="S33" i="4"/>
  <c r="R33" i="4"/>
  <c r="Q33" i="4"/>
  <c r="S32" i="4"/>
  <c r="R32" i="4"/>
  <c r="Q32" i="4"/>
  <c r="R31" i="4"/>
  <c r="Q31" i="4"/>
  <c r="S31" i="4"/>
  <c r="S30" i="4"/>
  <c r="Q30" i="4"/>
  <c r="R30" i="4"/>
  <c r="R29" i="4"/>
  <c r="Q29" i="4"/>
  <c r="R28" i="4"/>
  <c r="Q28" i="4"/>
  <c r="R27" i="4"/>
  <c r="Q27" i="4"/>
  <c r="R26" i="4"/>
  <c r="Q26" i="4"/>
  <c r="R25" i="4"/>
  <c r="Q25" i="4"/>
  <c r="R24" i="4"/>
  <c r="Q24" i="4"/>
  <c r="R22" i="4"/>
  <c r="Q22" i="4"/>
  <c r="R23" i="4"/>
  <c r="Q23" i="4"/>
  <c r="R21" i="4"/>
  <c r="Q21" i="4"/>
  <c r="R20" i="4"/>
  <c r="Q20" i="4"/>
  <c r="S18" i="4"/>
  <c r="R18" i="4"/>
  <c r="Q18" i="4"/>
  <c r="S16" i="4"/>
  <c r="R16" i="4"/>
  <c r="S15" i="4"/>
  <c r="R15" i="4"/>
  <c r="Q15" i="4"/>
  <c r="S14" i="4"/>
  <c r="R14" i="4"/>
  <c r="Q14" i="4"/>
  <c r="Q13" i="4"/>
  <c r="S13" i="4"/>
  <c r="R13" i="4"/>
  <c r="Q11" i="4"/>
  <c r="S11" i="4"/>
  <c r="R11" i="4"/>
  <c r="S10" i="4"/>
  <c r="R10" i="4"/>
  <c r="Q10" i="4"/>
  <c r="S9" i="4"/>
  <c r="R9" i="4"/>
  <c r="Q9" i="4"/>
  <c r="Q6" i="4"/>
  <c r="Q7" i="4"/>
  <c r="Q8" i="4"/>
  <c r="S8" i="4"/>
  <c r="R8" i="4"/>
  <c r="S7" i="4"/>
  <c r="R7" i="4"/>
  <c r="S6" i="4"/>
  <c r="R6" i="4"/>
  <c r="U99" i="5"/>
  <c r="AG190" i="4"/>
  <c r="AG186" i="4"/>
  <c r="AG184" i="4"/>
  <c r="AG181" i="4"/>
  <c r="AG182" i="4"/>
  <c r="AE448" i="9"/>
  <c r="AE243" i="9"/>
  <c r="W243" i="9"/>
  <c r="S243" i="9"/>
  <c r="O243" i="9"/>
  <c r="AE242" i="9"/>
  <c r="W242" i="9"/>
  <c r="S242" i="9"/>
  <c r="O242" i="9"/>
  <c r="O240" i="9"/>
  <c r="S240" i="9"/>
  <c r="W240" i="9"/>
  <c r="AE240" i="9"/>
  <c r="S241" i="9"/>
  <c r="W241" i="9"/>
  <c r="AE241" i="9"/>
  <c r="AH75" i="3"/>
  <c r="Q29" i="8"/>
  <c r="Q30" i="8"/>
  <c r="Q31" i="8"/>
  <c r="Q32" i="8"/>
  <c r="O324" i="9"/>
  <c r="AE324" i="9"/>
  <c r="AG126" i="5"/>
  <c r="AG127" i="5"/>
  <c r="AG128" i="5"/>
  <c r="AG11" i="5"/>
  <c r="AG23" i="5"/>
  <c r="AG89" i="5"/>
  <c r="AG90" i="5"/>
  <c r="AG85" i="5"/>
  <c r="Q26" i="8"/>
  <c r="Q25" i="8"/>
  <c r="Q21" i="8"/>
  <c r="U12" i="8"/>
  <c r="Q4" i="8"/>
  <c r="O239" i="9"/>
  <c r="AE239" i="9"/>
  <c r="O237" i="9"/>
  <c r="S237" i="9"/>
  <c r="AA237" i="9"/>
  <c r="AE237" i="9"/>
  <c r="O238" i="9"/>
  <c r="S238" i="9"/>
  <c r="AA238" i="9"/>
  <c r="AE238" i="9"/>
  <c r="O236" i="9"/>
  <c r="S236" i="9"/>
  <c r="T236" i="9"/>
  <c r="U236" i="9"/>
  <c r="V236" i="9"/>
  <c r="W236" i="9"/>
  <c r="X236" i="9"/>
  <c r="Y236" i="9"/>
  <c r="Z236" i="9"/>
  <c r="AA236" i="9"/>
  <c r="AB236" i="9"/>
  <c r="AC236" i="9"/>
  <c r="AD236" i="9"/>
  <c r="AE236" i="9" s="1"/>
  <c r="U172" i="5"/>
  <c r="Q172" i="5"/>
  <c r="Q173" i="5"/>
  <c r="Y133" i="5"/>
  <c r="AF133" i="5"/>
  <c r="AE133" i="5"/>
  <c r="AG133" i="5" s="1"/>
  <c r="AD133" i="5"/>
  <c r="AF131" i="5"/>
  <c r="AE131" i="5"/>
  <c r="AD131" i="5"/>
  <c r="AF130" i="5"/>
  <c r="AE130" i="5"/>
  <c r="AD130" i="5"/>
  <c r="AF129" i="5"/>
  <c r="AG129" i="5" s="1"/>
  <c r="AE129" i="5"/>
  <c r="AD129" i="5"/>
  <c r="Y131" i="5"/>
  <c r="Y130" i="5"/>
  <c r="Y129" i="5"/>
  <c r="U131" i="5"/>
  <c r="U130" i="5"/>
  <c r="U129" i="5"/>
  <c r="AF99" i="5"/>
  <c r="AE99" i="5"/>
  <c r="AD99" i="5"/>
  <c r="AC99" i="5"/>
  <c r="Y99" i="5"/>
  <c r="Q99" i="5"/>
  <c r="Q75" i="5"/>
  <c r="Q74" i="5"/>
  <c r="Q73" i="5"/>
  <c r="Q72" i="5"/>
  <c r="AE323" i="9"/>
  <c r="AC39" i="8"/>
  <c r="AC38" i="8"/>
  <c r="AC37" i="8"/>
  <c r="AC36" i="8"/>
  <c r="AC35" i="8"/>
  <c r="AC34" i="8"/>
  <c r="Y5" i="8"/>
  <c r="U39" i="8"/>
  <c r="U38" i="8"/>
  <c r="U37" i="8"/>
  <c r="U36" i="8"/>
  <c r="U35" i="8"/>
  <c r="U34" i="8"/>
  <c r="U27" i="8"/>
  <c r="U26" i="8"/>
  <c r="U25" i="8"/>
  <c r="U24" i="8"/>
  <c r="U22" i="8"/>
  <c r="U21" i="8"/>
  <c r="U20" i="8"/>
  <c r="U19" i="8"/>
  <c r="U13" i="8"/>
  <c r="U10" i="8"/>
  <c r="U9" i="8"/>
  <c r="U4" i="8"/>
  <c r="AE412" i="9"/>
  <c r="AF11" i="8"/>
  <c r="AE11" i="8"/>
  <c r="AD11" i="8"/>
  <c r="AC11" i="8"/>
  <c r="X11" i="8"/>
  <c r="W11" i="8"/>
  <c r="V11" i="8"/>
  <c r="U11" i="8"/>
  <c r="AB11" i="8"/>
  <c r="AA11" i="8"/>
  <c r="Z11" i="8"/>
  <c r="Y11" i="8"/>
  <c r="T11" i="8"/>
  <c r="S11" i="8"/>
  <c r="R11" i="8"/>
  <c r="Q11" i="8"/>
  <c r="AF6" i="8"/>
  <c r="AE6" i="8"/>
  <c r="AD6" i="8"/>
  <c r="AC6" i="8"/>
  <c r="X6" i="8"/>
  <c r="W6" i="8"/>
  <c r="V6" i="8"/>
  <c r="U6" i="8"/>
  <c r="AB6" i="8"/>
  <c r="AA6" i="8"/>
  <c r="Z6" i="8"/>
  <c r="Y6" i="8"/>
  <c r="T6" i="8"/>
  <c r="S6" i="8"/>
  <c r="R6" i="8"/>
  <c r="Q6" i="8"/>
  <c r="R5" i="8"/>
  <c r="S5" i="8"/>
  <c r="T5" i="8"/>
  <c r="Q5" i="8"/>
  <c r="AG14" i="8"/>
  <c r="AG24" i="8"/>
  <c r="AG12" i="8"/>
  <c r="AG13" i="8"/>
  <c r="AG10" i="8"/>
  <c r="AG37" i="8"/>
  <c r="AG38" i="8"/>
  <c r="AG39" i="8"/>
  <c r="AG34" i="8"/>
  <c r="AG35" i="8"/>
  <c r="AG36" i="8"/>
  <c r="AG32" i="8"/>
  <c r="AG31" i="8"/>
  <c r="AG30" i="8"/>
  <c r="AG29" i="8"/>
  <c r="U20" i="7"/>
  <c r="Q20" i="7"/>
  <c r="AF17" i="7"/>
  <c r="AE17" i="7"/>
  <c r="AD17" i="7"/>
  <c r="AG17" i="7"/>
  <c r="AC17" i="7"/>
  <c r="AC16" i="7"/>
  <c r="AF16" i="7"/>
  <c r="AE16" i="7"/>
  <c r="AD16" i="7"/>
  <c r="AF14" i="7"/>
  <c r="AE14" i="7"/>
  <c r="AD14" i="7"/>
  <c r="AG14" i="7" s="1"/>
  <c r="AC14" i="7"/>
  <c r="AC13" i="7"/>
  <c r="AF13" i="7"/>
  <c r="AE13" i="7"/>
  <c r="AD13" i="7"/>
  <c r="U14" i="7"/>
  <c r="U13" i="7"/>
  <c r="Q13" i="8"/>
  <c r="AC10" i="7"/>
  <c r="AD10" i="7"/>
  <c r="AE10" i="7"/>
  <c r="AF10" i="7"/>
  <c r="AC11" i="7"/>
  <c r="AD11" i="7"/>
  <c r="AE11" i="7"/>
  <c r="AF11" i="7"/>
  <c r="AG11" i="7" s="1"/>
  <c r="AF9" i="7"/>
  <c r="AE9" i="7"/>
  <c r="AD9" i="7"/>
  <c r="AC9" i="7"/>
  <c r="AG20" i="7"/>
  <c r="U5" i="7"/>
  <c r="AC5" i="7"/>
  <c r="AD5" i="7"/>
  <c r="AG5" i="7" s="1"/>
  <c r="AE5" i="7"/>
  <c r="AF5" i="7"/>
  <c r="U6" i="7"/>
  <c r="AC6" i="7"/>
  <c r="AD6" i="7"/>
  <c r="AE6" i="7"/>
  <c r="AF6" i="7"/>
  <c r="U7" i="7"/>
  <c r="AC7" i="7"/>
  <c r="AD7" i="7"/>
  <c r="AE7" i="7"/>
  <c r="AF7" i="7"/>
  <c r="Y227" i="3"/>
  <c r="X227" i="3"/>
  <c r="W227" i="3"/>
  <c r="V227" i="3"/>
  <c r="Y226" i="3"/>
  <c r="X226" i="3"/>
  <c r="W226" i="3"/>
  <c r="V226" i="3"/>
  <c r="T39" i="3"/>
  <c r="T38" i="3"/>
  <c r="T37" i="3"/>
  <c r="V62" i="3"/>
  <c r="R23" i="3"/>
  <c r="R22" i="3"/>
  <c r="R21" i="3"/>
  <c r="R20" i="3"/>
  <c r="R19" i="3"/>
  <c r="R18" i="3"/>
  <c r="R17" i="3"/>
  <c r="Q225" i="3"/>
  <c r="Q224" i="3"/>
  <c r="Q223" i="3"/>
  <c r="Q221" i="3"/>
  <c r="Q222" i="3"/>
  <c r="AH175" i="3"/>
  <c r="R175" i="3"/>
  <c r="AH174" i="3"/>
  <c r="R174" i="3"/>
  <c r="AH176" i="3"/>
  <c r="R176" i="3"/>
  <c r="AG218" i="3"/>
  <c r="AF218" i="3"/>
  <c r="AH218" i="3" s="1"/>
  <c r="AE218" i="3"/>
  <c r="AD218" i="3"/>
  <c r="AG217" i="3"/>
  <c r="AF217" i="3"/>
  <c r="AE217" i="3"/>
  <c r="AD217" i="3"/>
  <c r="AG216" i="3"/>
  <c r="AF216" i="3"/>
  <c r="AE216" i="3"/>
  <c r="AD216" i="3"/>
  <c r="Y218" i="3"/>
  <c r="X218" i="3"/>
  <c r="W218" i="3"/>
  <c r="V218" i="3"/>
  <c r="Y217" i="3"/>
  <c r="X217" i="3"/>
  <c r="W217" i="3"/>
  <c r="V217" i="3"/>
  <c r="Y216" i="3"/>
  <c r="X216" i="3"/>
  <c r="W216" i="3"/>
  <c r="V216" i="3"/>
  <c r="R218" i="3"/>
  <c r="R217" i="3"/>
  <c r="R216" i="3"/>
  <c r="AE106" i="3"/>
  <c r="AF106" i="3"/>
  <c r="AG106" i="3"/>
  <c r="AD106" i="3"/>
  <c r="V106" i="3"/>
  <c r="R106" i="3"/>
  <c r="AH76" i="3"/>
  <c r="AE102" i="3"/>
  <c r="AF102" i="3"/>
  <c r="AG102" i="3"/>
  <c r="AD102" i="3"/>
  <c r="AC102" i="3"/>
  <c r="AB102" i="3"/>
  <c r="AA102" i="3"/>
  <c r="Z102" i="3"/>
  <c r="Y102" i="3"/>
  <c r="X102" i="3"/>
  <c r="W102" i="3"/>
  <c r="V102" i="3"/>
  <c r="AE101" i="3"/>
  <c r="AF101" i="3"/>
  <c r="AG101" i="3"/>
  <c r="AD101" i="3"/>
  <c r="AC101" i="3"/>
  <c r="AB101" i="3"/>
  <c r="AA101" i="3"/>
  <c r="Z101" i="3"/>
  <c r="Y101" i="3"/>
  <c r="X101" i="3"/>
  <c r="W101" i="3"/>
  <c r="V101" i="3"/>
  <c r="AE100" i="3"/>
  <c r="AF100" i="3"/>
  <c r="AG100" i="3"/>
  <c r="AD100" i="3"/>
  <c r="AC100" i="3"/>
  <c r="AB100" i="3"/>
  <c r="AA100" i="3"/>
  <c r="Z100" i="3"/>
  <c r="Y100" i="3"/>
  <c r="X100" i="3"/>
  <c r="W100" i="3"/>
  <c r="V100" i="3"/>
  <c r="AH77" i="3"/>
  <c r="AE68" i="3"/>
  <c r="AF68" i="3"/>
  <c r="AG68" i="3"/>
  <c r="AH68" i="3" s="1"/>
  <c r="AD68" i="3"/>
  <c r="AC68" i="3"/>
  <c r="AB68" i="3"/>
  <c r="AA68" i="3"/>
  <c r="Z68" i="3"/>
  <c r="Y68" i="3"/>
  <c r="X68" i="3"/>
  <c r="W68" i="3"/>
  <c r="V68" i="3"/>
  <c r="R102" i="3"/>
  <c r="R101" i="3"/>
  <c r="R100" i="3"/>
  <c r="AH227" i="3"/>
  <c r="R227" i="3"/>
  <c r="AH226" i="3"/>
  <c r="R226" i="3"/>
  <c r="U225" i="3"/>
  <c r="T225" i="3"/>
  <c r="S225" i="3"/>
  <c r="R225" i="3"/>
  <c r="R224" i="3"/>
  <c r="AH221" i="3"/>
  <c r="AH222" i="3"/>
  <c r="AH223" i="3"/>
  <c r="AH224" i="3"/>
  <c r="AH225" i="3"/>
  <c r="AH236" i="3"/>
  <c r="AE235" i="9"/>
  <c r="W235" i="9"/>
  <c r="S235" i="9"/>
  <c r="O235" i="9"/>
  <c r="AE234" i="9"/>
  <c r="W234" i="9"/>
  <c r="S234" i="9"/>
  <c r="O234" i="9"/>
  <c r="AE233" i="9"/>
  <c r="W233" i="9"/>
  <c r="S233" i="9"/>
  <c r="O233" i="9"/>
  <c r="O232" i="9"/>
  <c r="S232" i="9"/>
  <c r="W232" i="9"/>
  <c r="AE232" i="9"/>
  <c r="R192" i="3"/>
  <c r="R173" i="3"/>
  <c r="R172" i="3"/>
  <c r="R171" i="3"/>
  <c r="R170" i="3"/>
  <c r="R169" i="3"/>
  <c r="R168" i="3"/>
  <c r="R167" i="3"/>
  <c r="R162" i="3"/>
  <c r="R161" i="3"/>
  <c r="R160" i="3"/>
  <c r="R159" i="3"/>
  <c r="R158" i="3"/>
  <c r="R157" i="3"/>
  <c r="R156" i="3"/>
  <c r="R164" i="3"/>
  <c r="O231" i="9"/>
  <c r="S231" i="9"/>
  <c r="AE231" i="9"/>
  <c r="AH152" i="3"/>
  <c r="V152" i="3"/>
  <c r="R152" i="3"/>
  <c r="AH151" i="3"/>
  <c r="Z151" i="3"/>
  <c r="V151" i="3"/>
  <c r="R151" i="3"/>
  <c r="AH133" i="3"/>
  <c r="O230" i="9"/>
  <c r="AE230" i="9"/>
  <c r="AG109" i="3"/>
  <c r="AF109" i="3"/>
  <c r="AE109" i="3"/>
  <c r="AD109" i="3"/>
  <c r="AG108" i="3"/>
  <c r="AF108" i="3"/>
  <c r="AE108" i="3"/>
  <c r="AD108" i="3"/>
  <c r="AC109" i="3"/>
  <c r="AB109" i="3"/>
  <c r="AA109" i="3"/>
  <c r="Z109" i="3"/>
  <c r="AC108" i="3"/>
  <c r="AB108" i="3"/>
  <c r="AA108" i="3"/>
  <c r="Z108" i="3"/>
  <c r="Y109" i="3"/>
  <c r="X109" i="3"/>
  <c r="W109" i="3"/>
  <c r="V109" i="3"/>
  <c r="Y108" i="3"/>
  <c r="X108" i="3"/>
  <c r="W108" i="3"/>
  <c r="V108" i="3"/>
  <c r="O229" i="9"/>
  <c r="S229" i="9"/>
  <c r="AE229" i="9"/>
  <c r="O228" i="9"/>
  <c r="S228" i="9"/>
  <c r="AE228" i="9"/>
  <c r="O227" i="9"/>
  <c r="S227" i="9"/>
  <c r="AA227" i="9"/>
  <c r="AB227" i="9"/>
  <c r="AC227" i="9"/>
  <c r="AD227" i="9"/>
  <c r="O226" i="9"/>
  <c r="S226" i="9"/>
  <c r="AA226" i="9"/>
  <c r="AB226" i="9"/>
  <c r="AE226" i="9" s="1"/>
  <c r="AC226" i="9"/>
  <c r="AD226" i="9"/>
  <c r="AD104" i="3"/>
  <c r="AE104" i="3"/>
  <c r="AF104" i="3"/>
  <c r="AG104" i="3"/>
  <c r="AD105" i="3"/>
  <c r="AE105" i="3"/>
  <c r="AH105" i="3" s="1"/>
  <c r="AF105" i="3"/>
  <c r="AG105" i="3"/>
  <c r="AD99" i="3"/>
  <c r="V104" i="3"/>
  <c r="R104" i="3"/>
  <c r="R47" i="3"/>
  <c r="R48" i="3"/>
  <c r="R49" i="3"/>
  <c r="R46" i="3"/>
  <c r="V79" i="3"/>
  <c r="W79" i="3"/>
  <c r="X79" i="3"/>
  <c r="Y79" i="3"/>
  <c r="Z79" i="3"/>
  <c r="AA79" i="3"/>
  <c r="AB79" i="3"/>
  <c r="AC79" i="3"/>
  <c r="AD79" i="3"/>
  <c r="AE79" i="3"/>
  <c r="AF79" i="3"/>
  <c r="AG79" i="3"/>
  <c r="V80" i="3"/>
  <c r="W80" i="3"/>
  <c r="X80" i="3"/>
  <c r="Y80" i="3"/>
  <c r="Z80" i="3"/>
  <c r="AA80" i="3"/>
  <c r="AB80" i="3"/>
  <c r="AC80" i="3"/>
  <c r="AD80" i="3"/>
  <c r="AE80" i="3"/>
  <c r="AF80" i="3"/>
  <c r="AH80" i="3" s="1"/>
  <c r="AG80" i="3"/>
  <c r="V81" i="3"/>
  <c r="W81" i="3"/>
  <c r="X81" i="3"/>
  <c r="Y81" i="3"/>
  <c r="Z81" i="3"/>
  <c r="AA81" i="3"/>
  <c r="AB81" i="3"/>
  <c r="AC81" i="3"/>
  <c r="AD81" i="3"/>
  <c r="AE81" i="3"/>
  <c r="AF81" i="3"/>
  <c r="AG81" i="3"/>
  <c r="V82" i="3"/>
  <c r="W82" i="3"/>
  <c r="X82" i="3"/>
  <c r="Y82" i="3"/>
  <c r="Z82" i="3"/>
  <c r="AA82" i="3"/>
  <c r="AB82" i="3"/>
  <c r="AC82" i="3"/>
  <c r="AD82" i="3"/>
  <c r="AE82" i="3"/>
  <c r="AF82" i="3"/>
  <c r="AH82" i="3" s="1"/>
  <c r="AG82" i="3"/>
  <c r="V83" i="3"/>
  <c r="W83" i="3"/>
  <c r="X83" i="3"/>
  <c r="Y83" i="3"/>
  <c r="Z83" i="3"/>
  <c r="AA83" i="3"/>
  <c r="AB83" i="3"/>
  <c r="AC83" i="3"/>
  <c r="AD83" i="3"/>
  <c r="AE83" i="3"/>
  <c r="AF83" i="3"/>
  <c r="AG83" i="3"/>
  <c r="V84" i="3"/>
  <c r="W84" i="3"/>
  <c r="X84" i="3"/>
  <c r="Y84" i="3"/>
  <c r="Z84" i="3"/>
  <c r="AA84" i="3"/>
  <c r="AB84" i="3"/>
  <c r="AC84" i="3"/>
  <c r="AD84" i="3"/>
  <c r="AE84" i="3"/>
  <c r="AF84" i="3"/>
  <c r="AH84" i="3" s="1"/>
  <c r="AG84" i="3"/>
  <c r="V85" i="3"/>
  <c r="W85" i="3"/>
  <c r="X85" i="3"/>
  <c r="Y85" i="3"/>
  <c r="Z85" i="3"/>
  <c r="AA85" i="3"/>
  <c r="AB85" i="3"/>
  <c r="AC85" i="3"/>
  <c r="AD85" i="3"/>
  <c r="AE85" i="3"/>
  <c r="AF85" i="3"/>
  <c r="AG85" i="3"/>
  <c r="V86" i="3"/>
  <c r="W86" i="3"/>
  <c r="X86" i="3"/>
  <c r="Y86" i="3"/>
  <c r="Z86" i="3"/>
  <c r="AA86" i="3"/>
  <c r="AB86" i="3"/>
  <c r="AC86" i="3"/>
  <c r="AD86" i="3"/>
  <c r="AE86" i="3"/>
  <c r="AF86" i="3"/>
  <c r="AH86" i="3" s="1"/>
  <c r="AG86" i="3"/>
  <c r="V87" i="3"/>
  <c r="W87" i="3"/>
  <c r="X87" i="3"/>
  <c r="Y87" i="3"/>
  <c r="Z87" i="3"/>
  <c r="AA87" i="3"/>
  <c r="AB87" i="3"/>
  <c r="AC87" i="3"/>
  <c r="AD87" i="3"/>
  <c r="AE87" i="3"/>
  <c r="AF87" i="3"/>
  <c r="AG87" i="3"/>
  <c r="V88" i="3"/>
  <c r="W88" i="3"/>
  <c r="X88" i="3"/>
  <c r="Y88" i="3"/>
  <c r="Z88" i="3"/>
  <c r="AA88" i="3"/>
  <c r="AB88" i="3"/>
  <c r="AC88" i="3"/>
  <c r="AD88" i="3"/>
  <c r="AE88" i="3"/>
  <c r="AF88" i="3"/>
  <c r="AH88" i="3" s="1"/>
  <c r="AG88" i="3"/>
  <c r="V89" i="3"/>
  <c r="W89" i="3"/>
  <c r="X89" i="3"/>
  <c r="Y89" i="3"/>
  <c r="Z89" i="3"/>
  <c r="AA89" i="3"/>
  <c r="AB89" i="3"/>
  <c r="AC89" i="3"/>
  <c r="AD89" i="3"/>
  <c r="AE89" i="3"/>
  <c r="AF89" i="3"/>
  <c r="AG89" i="3"/>
  <c r="V90" i="3"/>
  <c r="W90" i="3"/>
  <c r="X90" i="3"/>
  <c r="Y90" i="3"/>
  <c r="Z90" i="3"/>
  <c r="AA90" i="3"/>
  <c r="AB90" i="3"/>
  <c r="AC90" i="3"/>
  <c r="AD90" i="3"/>
  <c r="AE90" i="3"/>
  <c r="AF90" i="3"/>
  <c r="AG90" i="3"/>
  <c r="V91" i="3"/>
  <c r="W91" i="3"/>
  <c r="X91" i="3"/>
  <c r="Y91" i="3"/>
  <c r="Z91" i="3"/>
  <c r="AA91" i="3"/>
  <c r="AB91" i="3"/>
  <c r="AC91" i="3"/>
  <c r="AD91" i="3"/>
  <c r="AE91" i="3"/>
  <c r="AF91" i="3"/>
  <c r="AG91" i="3"/>
  <c r="V92" i="3"/>
  <c r="W92" i="3"/>
  <c r="X92" i="3"/>
  <c r="Y92" i="3"/>
  <c r="Z92" i="3"/>
  <c r="AA92" i="3"/>
  <c r="AB92" i="3"/>
  <c r="AC92" i="3"/>
  <c r="AD92" i="3"/>
  <c r="AE92" i="3"/>
  <c r="AF92" i="3"/>
  <c r="AH92" i="3" s="1"/>
  <c r="AG92" i="3"/>
  <c r="V93" i="3"/>
  <c r="W93" i="3"/>
  <c r="X93" i="3"/>
  <c r="Y93" i="3"/>
  <c r="Z93" i="3"/>
  <c r="AA93" i="3"/>
  <c r="AB93" i="3"/>
  <c r="AC93" i="3"/>
  <c r="AD93" i="3"/>
  <c r="AE93" i="3"/>
  <c r="AF93" i="3"/>
  <c r="AG93" i="3"/>
  <c r="V94" i="3"/>
  <c r="W94" i="3"/>
  <c r="X94" i="3"/>
  <c r="Y94" i="3"/>
  <c r="Z94" i="3"/>
  <c r="AA94" i="3"/>
  <c r="AB94" i="3"/>
  <c r="AC94" i="3"/>
  <c r="AD94" i="3"/>
  <c r="AE94" i="3"/>
  <c r="AF94" i="3"/>
  <c r="AH94" i="3" s="1"/>
  <c r="AG94" i="3"/>
  <c r="V95" i="3"/>
  <c r="W95" i="3"/>
  <c r="X95" i="3"/>
  <c r="Y95" i="3"/>
  <c r="Z95" i="3"/>
  <c r="AA95" i="3"/>
  <c r="AB95" i="3"/>
  <c r="AC95" i="3"/>
  <c r="AD95" i="3"/>
  <c r="AE95" i="3"/>
  <c r="AF95" i="3"/>
  <c r="AG95" i="3"/>
  <c r="V96" i="3"/>
  <c r="W96" i="3"/>
  <c r="X96" i="3"/>
  <c r="Y96" i="3"/>
  <c r="Z96" i="3"/>
  <c r="AA96" i="3"/>
  <c r="AB96" i="3"/>
  <c r="AC96" i="3"/>
  <c r="AD96" i="3"/>
  <c r="AE96" i="3"/>
  <c r="AF96" i="3"/>
  <c r="AH96" i="3" s="1"/>
  <c r="AG96" i="3"/>
  <c r="V97" i="3"/>
  <c r="W97" i="3"/>
  <c r="X97" i="3"/>
  <c r="Y97" i="3"/>
  <c r="Z97" i="3"/>
  <c r="AA97" i="3"/>
  <c r="AB97" i="3"/>
  <c r="AC97" i="3"/>
  <c r="AD97" i="3"/>
  <c r="AE97" i="3"/>
  <c r="AF97" i="3"/>
  <c r="AG97" i="3"/>
  <c r="V98" i="3"/>
  <c r="W98" i="3"/>
  <c r="X98" i="3"/>
  <c r="Y98" i="3"/>
  <c r="Z98" i="3"/>
  <c r="AA98" i="3"/>
  <c r="AB98" i="3"/>
  <c r="AC98" i="3"/>
  <c r="AD98" i="3"/>
  <c r="AE98" i="3"/>
  <c r="AF98" i="3"/>
  <c r="AH98" i="3" s="1"/>
  <c r="AG98" i="3"/>
  <c r="V99" i="3"/>
  <c r="W99" i="3"/>
  <c r="X99" i="3"/>
  <c r="Y99" i="3"/>
  <c r="Z99" i="3"/>
  <c r="AA99" i="3"/>
  <c r="AB99" i="3"/>
  <c r="AC99" i="3"/>
  <c r="AE99" i="3"/>
  <c r="AF99" i="3"/>
  <c r="AG99" i="3"/>
  <c r="AG78" i="3"/>
  <c r="AF78" i="3"/>
  <c r="AH78" i="3" s="1"/>
  <c r="AE78" i="3"/>
  <c r="AD78" i="3"/>
  <c r="AC78" i="3"/>
  <c r="AB78" i="3"/>
  <c r="AA78" i="3"/>
  <c r="Z78" i="3"/>
  <c r="Y78" i="3"/>
  <c r="X78" i="3"/>
  <c r="W78" i="3"/>
  <c r="V78" i="3"/>
  <c r="AE225" i="9"/>
  <c r="S225" i="9"/>
  <c r="O225" i="9"/>
  <c r="R98" i="3"/>
  <c r="R97" i="3"/>
  <c r="AD64" i="3"/>
  <c r="AE64" i="3"/>
  <c r="AF64" i="3"/>
  <c r="AH64" i="3" s="1"/>
  <c r="AG64" i="3"/>
  <c r="AD65" i="3"/>
  <c r="AE65" i="3"/>
  <c r="AF65" i="3"/>
  <c r="AG65" i="3"/>
  <c r="AH65" i="3" s="1"/>
  <c r="AD66" i="3"/>
  <c r="AE66" i="3"/>
  <c r="AF66" i="3"/>
  <c r="AH66" i="3" s="1"/>
  <c r="AG66" i="3"/>
  <c r="AD67" i="3"/>
  <c r="AE67" i="3"/>
  <c r="AF67" i="3"/>
  <c r="AG67" i="3"/>
  <c r="AH67" i="3" s="1"/>
  <c r="AG63" i="3"/>
  <c r="AF63" i="3"/>
  <c r="AE63" i="3"/>
  <c r="AH63" i="3" s="1"/>
  <c r="AD63" i="3"/>
  <c r="Z64" i="3"/>
  <c r="AA64" i="3"/>
  <c r="AB64" i="3"/>
  <c r="AC64" i="3"/>
  <c r="Z65" i="3"/>
  <c r="AA65" i="3"/>
  <c r="AB65" i="3"/>
  <c r="AC65" i="3"/>
  <c r="Z66" i="3"/>
  <c r="AA66" i="3"/>
  <c r="AB66" i="3"/>
  <c r="AC66" i="3"/>
  <c r="Z67" i="3"/>
  <c r="AA67" i="3"/>
  <c r="AB67" i="3"/>
  <c r="AC67" i="3"/>
  <c r="AB63" i="3"/>
  <c r="AA63" i="3"/>
  <c r="AC63" i="3"/>
  <c r="Z63" i="3"/>
  <c r="Y67" i="3"/>
  <c r="X67" i="3"/>
  <c r="W67" i="3"/>
  <c r="V67" i="3"/>
  <c r="Y66" i="3"/>
  <c r="X66" i="3"/>
  <c r="W66" i="3"/>
  <c r="V66" i="3"/>
  <c r="Y65" i="3"/>
  <c r="X65" i="3"/>
  <c r="W65" i="3"/>
  <c r="V65" i="3"/>
  <c r="Y64" i="3"/>
  <c r="X64" i="3"/>
  <c r="W64" i="3"/>
  <c r="V64" i="3"/>
  <c r="Y63" i="3"/>
  <c r="X63" i="3"/>
  <c r="W63" i="3"/>
  <c r="V63" i="3"/>
  <c r="Z62" i="3"/>
  <c r="AD62" i="3"/>
  <c r="AG58" i="3"/>
  <c r="AF58" i="3"/>
  <c r="AE58" i="3"/>
  <c r="AH58" i="3" s="1"/>
  <c r="AB58" i="3"/>
  <c r="AA58" i="3"/>
  <c r="AC58" i="3"/>
  <c r="AD58" i="3"/>
  <c r="Z58" i="3"/>
  <c r="Y58" i="3"/>
  <c r="X58" i="3"/>
  <c r="W58" i="3"/>
  <c r="V58" i="3"/>
  <c r="Z55" i="3"/>
  <c r="AA55" i="3"/>
  <c r="AB55" i="3"/>
  <c r="AC55" i="3"/>
  <c r="AD55" i="3"/>
  <c r="AE55" i="3"/>
  <c r="AF55" i="3"/>
  <c r="AG55" i="3"/>
  <c r="AD53" i="3"/>
  <c r="AE53" i="3"/>
  <c r="AF53" i="3"/>
  <c r="AG53" i="3"/>
  <c r="AD54" i="3"/>
  <c r="AE54" i="3"/>
  <c r="AF54" i="3"/>
  <c r="AH54" i="3" s="1"/>
  <c r="AG54" i="3"/>
  <c r="AF52" i="3"/>
  <c r="AH52" i="3" s="1"/>
  <c r="AE52" i="3"/>
  <c r="AG52" i="3"/>
  <c r="AD52" i="3"/>
  <c r="Z53" i="3"/>
  <c r="AA53" i="3"/>
  <c r="AB53" i="3"/>
  <c r="AC53" i="3"/>
  <c r="Z54" i="3"/>
  <c r="AA54" i="3"/>
  <c r="AB54" i="3"/>
  <c r="AC54" i="3"/>
  <c r="AA52" i="3"/>
  <c r="AB52" i="3"/>
  <c r="AC52" i="3"/>
  <c r="Z52" i="3"/>
  <c r="V55" i="3"/>
  <c r="W55" i="3"/>
  <c r="X55" i="3"/>
  <c r="Y55" i="3"/>
  <c r="V53" i="3"/>
  <c r="W53" i="3"/>
  <c r="X53" i="3"/>
  <c r="Y53" i="3"/>
  <c r="V54" i="3"/>
  <c r="W54" i="3"/>
  <c r="X54" i="3"/>
  <c r="Y54" i="3"/>
  <c r="X52" i="3"/>
  <c r="W52" i="3"/>
  <c r="Y52" i="3"/>
  <c r="V52" i="3"/>
  <c r="AD47" i="3"/>
  <c r="AE47" i="3"/>
  <c r="AF47" i="3"/>
  <c r="AG47" i="3"/>
  <c r="AD48" i="3"/>
  <c r="AE48" i="3"/>
  <c r="AF48" i="3"/>
  <c r="AG48" i="3"/>
  <c r="AD49" i="3"/>
  <c r="AE49" i="3"/>
  <c r="AF49" i="3"/>
  <c r="AG49" i="3"/>
  <c r="AG46" i="3"/>
  <c r="AF46" i="3"/>
  <c r="AE46" i="3"/>
  <c r="AH46" i="3" s="1"/>
  <c r="AD46" i="3"/>
  <c r="V47" i="3"/>
  <c r="W47" i="3"/>
  <c r="X47" i="3"/>
  <c r="Y47" i="3"/>
  <c r="V48" i="3"/>
  <c r="W48" i="3"/>
  <c r="X48" i="3"/>
  <c r="Y48" i="3"/>
  <c r="V49" i="3"/>
  <c r="W49" i="3"/>
  <c r="X49" i="3"/>
  <c r="Y49" i="3"/>
  <c r="Y46" i="3"/>
  <c r="X46" i="3"/>
  <c r="W46" i="3"/>
  <c r="V46" i="3"/>
  <c r="AD43" i="3"/>
  <c r="AE43" i="3"/>
  <c r="AF43" i="3"/>
  <c r="AG43" i="3"/>
  <c r="Z43" i="3"/>
  <c r="AA43" i="3"/>
  <c r="AB43" i="3"/>
  <c r="AC43" i="3"/>
  <c r="V43" i="3"/>
  <c r="R5" i="3"/>
  <c r="S5" i="3"/>
  <c r="T5" i="3"/>
  <c r="U5" i="3"/>
  <c r="R6" i="3"/>
  <c r="S6" i="3"/>
  <c r="T6" i="3"/>
  <c r="U6" i="3"/>
  <c r="R7" i="3"/>
  <c r="S7" i="3"/>
  <c r="T7" i="3"/>
  <c r="U7" i="3"/>
  <c r="R8" i="3"/>
  <c r="S8" i="3"/>
  <c r="T8" i="3"/>
  <c r="U8" i="3"/>
  <c r="R9" i="3"/>
  <c r="S9" i="3"/>
  <c r="T9" i="3"/>
  <c r="U9" i="3"/>
  <c r="R10" i="3"/>
  <c r="S10" i="3"/>
  <c r="T10" i="3"/>
  <c r="U10" i="3"/>
  <c r="R11" i="3"/>
  <c r="S11" i="3"/>
  <c r="T11" i="3"/>
  <c r="U11" i="3"/>
  <c r="R12" i="3"/>
  <c r="S12" i="3"/>
  <c r="T12" i="3"/>
  <c r="U12" i="3"/>
  <c r="R13" i="3"/>
  <c r="S13" i="3"/>
  <c r="T13" i="3"/>
  <c r="U13" i="3"/>
  <c r="R14" i="3"/>
  <c r="S14" i="3"/>
  <c r="T14" i="3"/>
  <c r="U14" i="3"/>
  <c r="R15" i="3"/>
  <c r="S15" i="3"/>
  <c r="T15" i="3"/>
  <c r="U15" i="3"/>
  <c r="R16" i="3"/>
  <c r="S16" i="3"/>
  <c r="T16" i="3"/>
  <c r="U16" i="3"/>
  <c r="R4" i="3"/>
  <c r="S4" i="3"/>
  <c r="T4" i="3"/>
  <c r="U4" i="3"/>
  <c r="AH15" i="3"/>
  <c r="O224" i="9"/>
  <c r="AE224" i="9"/>
  <c r="AE223" i="9"/>
  <c r="AD18" i="3"/>
  <c r="AE18" i="3"/>
  <c r="AF18" i="3"/>
  <c r="AG18" i="3"/>
  <c r="AD19" i="3"/>
  <c r="AE19" i="3"/>
  <c r="AH19" i="3" s="1"/>
  <c r="AF19" i="3"/>
  <c r="AG19" i="3"/>
  <c r="AD20" i="3"/>
  <c r="AE20" i="3"/>
  <c r="AF20" i="3"/>
  <c r="AG20" i="3"/>
  <c r="AD21" i="3"/>
  <c r="AE21" i="3"/>
  <c r="AH21" i="3" s="1"/>
  <c r="AF21" i="3"/>
  <c r="AG21" i="3"/>
  <c r="AD22" i="3"/>
  <c r="AE22" i="3"/>
  <c r="AF22" i="3"/>
  <c r="AG22" i="3"/>
  <c r="AD23" i="3"/>
  <c r="AE23" i="3"/>
  <c r="AH23" i="3" s="1"/>
  <c r="AF23" i="3"/>
  <c r="AG23" i="3"/>
  <c r="AG17" i="3"/>
  <c r="AF17" i="3"/>
  <c r="AE17" i="3"/>
  <c r="AD17" i="3"/>
  <c r="V18" i="3"/>
  <c r="W18" i="3"/>
  <c r="X18" i="3"/>
  <c r="Y18" i="3"/>
  <c r="V19" i="3"/>
  <c r="W19" i="3"/>
  <c r="X19" i="3"/>
  <c r="Y19" i="3"/>
  <c r="V20" i="3"/>
  <c r="W20" i="3"/>
  <c r="X20" i="3"/>
  <c r="Y20" i="3"/>
  <c r="V21" i="3"/>
  <c r="W21" i="3"/>
  <c r="X21" i="3"/>
  <c r="Y21" i="3"/>
  <c r="V22" i="3"/>
  <c r="W22" i="3"/>
  <c r="X22" i="3"/>
  <c r="Y22" i="3"/>
  <c r="V23" i="3"/>
  <c r="W23" i="3"/>
  <c r="X23" i="3"/>
  <c r="Y23" i="3"/>
  <c r="W17" i="3"/>
  <c r="X17" i="3"/>
  <c r="Y17" i="3"/>
  <c r="V17" i="3"/>
  <c r="AD5" i="3"/>
  <c r="AE5" i="3"/>
  <c r="AF5" i="3"/>
  <c r="AG5" i="3"/>
  <c r="AD6" i="3"/>
  <c r="AE6" i="3"/>
  <c r="AH6" i="3" s="1"/>
  <c r="AF6" i="3"/>
  <c r="AG6" i="3"/>
  <c r="AD7" i="3"/>
  <c r="AE7" i="3"/>
  <c r="AF7" i="3"/>
  <c r="AG7" i="3"/>
  <c r="AD8" i="3"/>
  <c r="AE8" i="3"/>
  <c r="AF8" i="3"/>
  <c r="AG8" i="3"/>
  <c r="AD9" i="3"/>
  <c r="AE9" i="3"/>
  <c r="AF9" i="3"/>
  <c r="AG9" i="3"/>
  <c r="AD10" i="3"/>
  <c r="AE10" i="3"/>
  <c r="AF10" i="3"/>
  <c r="AG10" i="3"/>
  <c r="AH10" i="3" s="1"/>
  <c r="AD11" i="3"/>
  <c r="AE11" i="3"/>
  <c r="AF11" i="3"/>
  <c r="AG11" i="3"/>
  <c r="AD4" i="3"/>
  <c r="AE4" i="3"/>
  <c r="AF4" i="3"/>
  <c r="AG4" i="3"/>
  <c r="Z5" i="3"/>
  <c r="AA5" i="3"/>
  <c r="AB5" i="3"/>
  <c r="AC5" i="3"/>
  <c r="Z6" i="3"/>
  <c r="AA6" i="3"/>
  <c r="AB6" i="3"/>
  <c r="AC6" i="3"/>
  <c r="Z7" i="3"/>
  <c r="AA7" i="3"/>
  <c r="AB7" i="3"/>
  <c r="AC7" i="3"/>
  <c r="Z8" i="3"/>
  <c r="AA8" i="3"/>
  <c r="AB8" i="3"/>
  <c r="AC8" i="3"/>
  <c r="Z9" i="3"/>
  <c r="AA9" i="3"/>
  <c r="AB9" i="3"/>
  <c r="AC9" i="3"/>
  <c r="Z10" i="3"/>
  <c r="AA10" i="3"/>
  <c r="AB10" i="3"/>
  <c r="AC10" i="3"/>
  <c r="Z11" i="3"/>
  <c r="AA11" i="3"/>
  <c r="AB11" i="3"/>
  <c r="AC11" i="3"/>
  <c r="Z4" i="3"/>
  <c r="AA4" i="3"/>
  <c r="AB4" i="3"/>
  <c r="AC4" i="3"/>
  <c r="V5" i="3"/>
  <c r="W5" i="3"/>
  <c r="X5" i="3"/>
  <c r="Y5" i="3"/>
  <c r="V6" i="3"/>
  <c r="W6" i="3"/>
  <c r="X6" i="3"/>
  <c r="Y6" i="3"/>
  <c r="V7" i="3"/>
  <c r="W7" i="3"/>
  <c r="X7" i="3"/>
  <c r="Y7" i="3"/>
  <c r="V8" i="3"/>
  <c r="W8" i="3"/>
  <c r="X8" i="3"/>
  <c r="Y8" i="3"/>
  <c r="V9" i="3"/>
  <c r="W9" i="3"/>
  <c r="X9" i="3"/>
  <c r="Y9" i="3"/>
  <c r="V10" i="3"/>
  <c r="W10" i="3"/>
  <c r="X10" i="3"/>
  <c r="Y10" i="3"/>
  <c r="V11" i="3"/>
  <c r="W11" i="3"/>
  <c r="X11" i="3"/>
  <c r="Y11" i="3"/>
  <c r="W4" i="3"/>
  <c r="X4" i="3"/>
  <c r="Y4" i="3"/>
  <c r="V4" i="3"/>
  <c r="AD38" i="3"/>
  <c r="AE38" i="3"/>
  <c r="AF38" i="3"/>
  <c r="AG38" i="3"/>
  <c r="AD39" i="3"/>
  <c r="AE39" i="3"/>
  <c r="AH39" i="3" s="1"/>
  <c r="AF39" i="3"/>
  <c r="AG39" i="3"/>
  <c r="AD37" i="3"/>
  <c r="AE37" i="3"/>
  <c r="AF37" i="3"/>
  <c r="AG37" i="3"/>
  <c r="Z38" i="3"/>
  <c r="AA38" i="3"/>
  <c r="AB38" i="3"/>
  <c r="AC38" i="3"/>
  <c r="Z39" i="3"/>
  <c r="AA39" i="3"/>
  <c r="AB39" i="3"/>
  <c r="AC39" i="3"/>
  <c r="Z37" i="3"/>
  <c r="AA37" i="3"/>
  <c r="AB37" i="3"/>
  <c r="AC37" i="3"/>
  <c r="V38" i="3"/>
  <c r="W38" i="3"/>
  <c r="X38" i="3"/>
  <c r="Y38" i="3"/>
  <c r="V39" i="3"/>
  <c r="W39" i="3"/>
  <c r="X39" i="3"/>
  <c r="Y39" i="3"/>
  <c r="V37" i="3"/>
  <c r="W37" i="3"/>
  <c r="Y37" i="3"/>
  <c r="X37" i="3"/>
  <c r="AD28" i="3"/>
  <c r="AE28" i="3"/>
  <c r="AH28" i="3" s="1"/>
  <c r="AF28" i="3"/>
  <c r="AG28" i="3"/>
  <c r="AD29" i="3"/>
  <c r="AE29" i="3"/>
  <c r="AF29" i="3"/>
  <c r="AG29" i="3"/>
  <c r="AD30" i="3"/>
  <c r="AE30" i="3"/>
  <c r="AH30" i="3" s="1"/>
  <c r="AF30" i="3"/>
  <c r="AG30" i="3"/>
  <c r="AD31" i="3"/>
  <c r="AE31" i="3"/>
  <c r="AF31" i="3"/>
  <c r="AG31" i="3"/>
  <c r="AD32" i="3"/>
  <c r="AE32" i="3"/>
  <c r="AH32" i="3" s="1"/>
  <c r="AF32" i="3"/>
  <c r="AG32" i="3"/>
  <c r="AD33" i="3"/>
  <c r="AE33" i="3"/>
  <c r="AF33" i="3"/>
  <c r="AG33" i="3"/>
  <c r="AD34" i="3"/>
  <c r="AE34" i="3"/>
  <c r="AH34" i="3" s="1"/>
  <c r="AF34" i="3"/>
  <c r="AG34" i="3"/>
  <c r="AD35" i="3"/>
  <c r="AE35" i="3"/>
  <c r="AF35" i="3"/>
  <c r="AG35" i="3"/>
  <c r="AD27" i="3"/>
  <c r="AE27" i="3"/>
  <c r="AH27" i="3" s="1"/>
  <c r="AF27" i="3"/>
  <c r="AG27" i="3"/>
  <c r="Z28" i="3"/>
  <c r="AA28" i="3"/>
  <c r="AB28" i="3"/>
  <c r="AC28" i="3"/>
  <c r="Z29" i="3"/>
  <c r="AA29" i="3"/>
  <c r="AB29" i="3"/>
  <c r="AC29" i="3"/>
  <c r="Z30" i="3"/>
  <c r="AA30" i="3"/>
  <c r="AB30" i="3"/>
  <c r="AC30" i="3"/>
  <c r="Z31" i="3"/>
  <c r="AA31" i="3"/>
  <c r="AB31" i="3"/>
  <c r="AC31" i="3"/>
  <c r="Z32" i="3"/>
  <c r="AA32" i="3"/>
  <c r="AB32" i="3"/>
  <c r="AC32" i="3"/>
  <c r="Z33" i="3"/>
  <c r="AA33" i="3"/>
  <c r="AB33" i="3"/>
  <c r="AC33" i="3"/>
  <c r="Z34" i="3"/>
  <c r="AA34" i="3"/>
  <c r="AB34" i="3"/>
  <c r="AC34" i="3"/>
  <c r="Z35" i="3"/>
  <c r="AA35" i="3"/>
  <c r="AB35" i="3"/>
  <c r="AC35" i="3"/>
  <c r="AA27" i="3"/>
  <c r="AB27" i="3"/>
  <c r="AC27" i="3"/>
  <c r="Z27" i="3"/>
  <c r="W28" i="3"/>
  <c r="X28" i="3"/>
  <c r="Y28" i="3"/>
  <c r="W29" i="3"/>
  <c r="X29" i="3"/>
  <c r="Y29" i="3"/>
  <c r="W30" i="3"/>
  <c r="X30" i="3"/>
  <c r="Y30" i="3"/>
  <c r="W31" i="3"/>
  <c r="X31" i="3"/>
  <c r="Y31" i="3"/>
  <c r="W32" i="3"/>
  <c r="X32" i="3"/>
  <c r="Y32" i="3"/>
  <c r="W33" i="3"/>
  <c r="X33" i="3"/>
  <c r="Y33" i="3"/>
  <c r="W34" i="3"/>
  <c r="X34" i="3"/>
  <c r="Y34" i="3"/>
  <c r="W35" i="3"/>
  <c r="X35" i="3"/>
  <c r="Y35" i="3"/>
  <c r="V35" i="3"/>
  <c r="V27" i="3"/>
  <c r="V28" i="3"/>
  <c r="V29" i="3"/>
  <c r="V30" i="3"/>
  <c r="V31" i="3"/>
  <c r="V32" i="3"/>
  <c r="V33" i="3"/>
  <c r="W27" i="3"/>
  <c r="X27" i="3"/>
  <c r="Y27" i="3"/>
  <c r="V34" i="3"/>
  <c r="R28" i="3"/>
  <c r="R29" i="3"/>
  <c r="R30" i="3"/>
  <c r="R31" i="3"/>
  <c r="R32" i="3"/>
  <c r="R33" i="3"/>
  <c r="R34" i="3"/>
  <c r="R35" i="3"/>
  <c r="R27" i="3"/>
  <c r="S28" i="3"/>
  <c r="T28" i="3"/>
  <c r="S29" i="3"/>
  <c r="T29" i="3"/>
  <c r="S30" i="3"/>
  <c r="T30" i="3"/>
  <c r="S31" i="3"/>
  <c r="T31" i="3"/>
  <c r="S32" i="3"/>
  <c r="T32" i="3"/>
  <c r="S33" i="3"/>
  <c r="T33" i="3"/>
  <c r="S34" i="3"/>
  <c r="T34" i="3"/>
  <c r="S35" i="3"/>
  <c r="T35" i="3"/>
  <c r="S27" i="3"/>
  <c r="T27" i="3"/>
  <c r="U28" i="3"/>
  <c r="U29" i="3"/>
  <c r="U30" i="3"/>
  <c r="U31" i="3"/>
  <c r="U32" i="3"/>
  <c r="U33" i="3"/>
  <c r="U34" i="3"/>
  <c r="U35" i="3"/>
  <c r="U27" i="3"/>
  <c r="Q13" i="5"/>
  <c r="AE222" i="9"/>
  <c r="O221" i="9"/>
  <c r="AE221" i="9"/>
  <c r="AE220" i="9"/>
  <c r="AE219" i="9"/>
  <c r="AE398" i="9"/>
  <c r="AE397" i="9"/>
  <c r="AE396" i="9"/>
  <c r="AE395" i="9"/>
  <c r="AE394" i="9"/>
  <c r="AE393" i="9"/>
  <c r="AE392" i="9"/>
  <c r="AE391" i="9"/>
  <c r="AE390" i="9"/>
  <c r="AE389" i="9"/>
  <c r="AE388" i="9"/>
  <c r="AE387" i="9"/>
  <c r="AE386" i="9"/>
  <c r="AE385" i="9"/>
  <c r="AE181" i="9"/>
  <c r="U89" i="5"/>
  <c r="AG14" i="5"/>
  <c r="Q14" i="5"/>
  <c r="AE198" i="9"/>
  <c r="AE193" i="9"/>
  <c r="AE192" i="9"/>
  <c r="AE216" i="9"/>
  <c r="AE215" i="9"/>
  <c r="AE214" i="9"/>
  <c r="AE212" i="9"/>
  <c r="AE206" i="9"/>
  <c r="AE205" i="9"/>
  <c r="AE204" i="9"/>
  <c r="AE203" i="9"/>
  <c r="AE202" i="9"/>
  <c r="AE201" i="9"/>
  <c r="AE200" i="9"/>
  <c r="AE199" i="9"/>
  <c r="AE197" i="9"/>
  <c r="AE196" i="9"/>
  <c r="AE195" i="9"/>
  <c r="AE194" i="9"/>
  <c r="AE191" i="9"/>
  <c r="AE190" i="9"/>
  <c r="AE189" i="9"/>
  <c r="AE188" i="9"/>
  <c r="AE187" i="9"/>
  <c r="AE186" i="9"/>
  <c r="AE185" i="9"/>
  <c r="AE184" i="9"/>
  <c r="AE183" i="9"/>
  <c r="AE182" i="9"/>
  <c r="AE447" i="9"/>
  <c r="AE446" i="9"/>
  <c r="AE445" i="9"/>
  <c r="AE444" i="9"/>
  <c r="AE443" i="9"/>
  <c r="AE442" i="9"/>
  <c r="AE441" i="9"/>
  <c r="AE440" i="9"/>
  <c r="AE439" i="9"/>
  <c r="AE438" i="9"/>
  <c r="AE437" i="9"/>
  <c r="AE436" i="9"/>
  <c r="AE435" i="9"/>
  <c r="AE434" i="9"/>
  <c r="AE433" i="9"/>
  <c r="AE432" i="9"/>
  <c r="AE431" i="9"/>
  <c r="AE428" i="9"/>
  <c r="AE427" i="9"/>
  <c r="AE426" i="9"/>
  <c r="AE425" i="9"/>
  <c r="AE424" i="9"/>
  <c r="AE413" i="9"/>
  <c r="AE411" i="9"/>
  <c r="AE410" i="9"/>
  <c r="AE409" i="9"/>
  <c r="AE478" i="9"/>
  <c r="AE399" i="9"/>
  <c r="AE376" i="9"/>
  <c r="AE375" i="9"/>
  <c r="AE374" i="9"/>
  <c r="AE373" i="9"/>
  <c r="AE372" i="9"/>
  <c r="AE371" i="9"/>
  <c r="AE370" i="9"/>
  <c r="AE361" i="9"/>
  <c r="AE360" i="9"/>
  <c r="AE358" i="9"/>
  <c r="AE357" i="9"/>
  <c r="AE356" i="9"/>
  <c r="AE355" i="9"/>
  <c r="Q131" i="5"/>
  <c r="Q130" i="5"/>
  <c r="Q129" i="5"/>
  <c r="Q133" i="5"/>
  <c r="Q132" i="5"/>
  <c r="Q174" i="5"/>
  <c r="U175" i="5"/>
  <c r="U174" i="5"/>
  <c r="U173" i="5"/>
  <c r="AF173" i="5"/>
  <c r="AE173" i="5"/>
  <c r="AD173" i="5"/>
  <c r="AG173" i="5" s="1"/>
  <c r="AC173" i="5"/>
  <c r="AF172" i="5"/>
  <c r="AE172" i="5"/>
  <c r="AG172" i="5" s="1"/>
  <c r="AD172" i="5"/>
  <c r="AC172" i="5"/>
  <c r="AF142" i="5"/>
  <c r="AE142" i="5"/>
  <c r="AD142" i="5"/>
  <c r="AG142" i="5" s="1"/>
  <c r="AC142" i="5"/>
  <c r="AF141" i="5"/>
  <c r="AE141" i="5"/>
  <c r="AG141" i="5" s="1"/>
  <c r="AD141" i="5"/>
  <c r="AC141" i="5"/>
  <c r="AF140" i="5"/>
  <c r="AE140" i="5"/>
  <c r="AD140" i="5"/>
  <c r="AG140" i="5" s="1"/>
  <c r="AC140" i="5"/>
  <c r="Y142" i="5"/>
  <c r="Y141" i="5"/>
  <c r="Y140" i="5"/>
  <c r="AF132" i="5"/>
  <c r="AE132" i="5"/>
  <c r="AD132" i="5"/>
  <c r="AC132" i="5"/>
  <c r="Y132" i="5"/>
  <c r="Y90" i="5"/>
  <c r="Q32" i="5"/>
  <c r="Q37" i="5"/>
  <c r="Q36" i="5"/>
  <c r="Q35" i="5"/>
  <c r="Q34" i="5"/>
  <c r="Q33" i="5"/>
  <c r="Q31" i="5"/>
  <c r="Q25" i="5"/>
  <c r="U36" i="4"/>
  <c r="U35" i="4"/>
  <c r="Q27" i="8"/>
  <c r="Q20" i="8"/>
  <c r="Q19" i="8"/>
  <c r="Q17" i="8"/>
  <c r="Q128" i="5"/>
  <c r="Q127" i="5"/>
  <c r="Q126" i="5"/>
  <c r="Q142" i="5"/>
  <c r="Q141" i="5"/>
  <c r="Q140" i="5"/>
  <c r="Q24" i="8"/>
  <c r="Q28" i="8"/>
  <c r="Q10" i="8"/>
  <c r="Q9" i="8"/>
  <c r="Q12" i="8"/>
  <c r="Q39" i="8"/>
  <c r="Q38" i="8"/>
  <c r="Q37" i="8"/>
  <c r="Q36" i="8"/>
  <c r="Q35" i="8"/>
  <c r="Q34" i="8"/>
  <c r="Q22" i="8"/>
  <c r="U5" i="8"/>
  <c r="U137" i="4"/>
  <c r="U89" i="4"/>
  <c r="U74" i="4"/>
  <c r="Q17" i="4"/>
  <c r="U158" i="4"/>
  <c r="Q58" i="5"/>
  <c r="Q54" i="5"/>
  <c r="Q55" i="5"/>
  <c r="Q57" i="5"/>
  <c r="Q56" i="5"/>
  <c r="Q23" i="5"/>
  <c r="Q94" i="5"/>
  <c r="Q91" i="5"/>
  <c r="Q88" i="5"/>
  <c r="Q87" i="5"/>
  <c r="Q86" i="5"/>
  <c r="Q134" i="5"/>
  <c r="Q136" i="5"/>
  <c r="Q137" i="5"/>
  <c r="Q135" i="5"/>
  <c r="Q70" i="5"/>
  <c r="Q68" i="5"/>
  <c r="Q67" i="5"/>
  <c r="Q66" i="5"/>
  <c r="Q65" i="5"/>
  <c r="Q64" i="5"/>
  <c r="Q45" i="5"/>
  <c r="Q43" i="5"/>
  <c r="Q42" i="5"/>
  <c r="Q41" i="5"/>
  <c r="Q39" i="5"/>
  <c r="Q22" i="5"/>
  <c r="Q21" i="5"/>
  <c r="Q20" i="5"/>
  <c r="Q19" i="5"/>
  <c r="Q18" i="5"/>
  <c r="Q17" i="5"/>
  <c r="Q16" i="5"/>
  <c r="Q15" i="5"/>
  <c r="Q9" i="5"/>
  <c r="Q8" i="5"/>
  <c r="Q7" i="5"/>
  <c r="Q6" i="5"/>
  <c r="Q5" i="5"/>
  <c r="R213" i="3"/>
  <c r="R212" i="3"/>
  <c r="R211" i="3"/>
  <c r="R210" i="3"/>
  <c r="R209" i="3"/>
  <c r="R208" i="3"/>
  <c r="R185" i="3"/>
  <c r="R186" i="3"/>
  <c r="R184" i="3"/>
  <c r="R180" i="3"/>
  <c r="R181" i="3"/>
  <c r="R179" i="3"/>
  <c r="R114" i="3"/>
  <c r="R113" i="3"/>
  <c r="R112" i="3"/>
  <c r="R111" i="3"/>
  <c r="R99" i="3"/>
  <c r="R96" i="3"/>
  <c r="R95" i="3"/>
  <c r="R94" i="3"/>
  <c r="R93" i="3"/>
  <c r="R92" i="3"/>
  <c r="R91" i="3"/>
  <c r="R90" i="3"/>
  <c r="R89" i="3"/>
  <c r="R88" i="3"/>
  <c r="R87" i="3"/>
  <c r="R86" i="3"/>
  <c r="R85" i="3"/>
  <c r="R84" i="3"/>
  <c r="R83" i="3"/>
  <c r="R82" i="3"/>
  <c r="R81" i="3"/>
  <c r="R80" i="3"/>
  <c r="R79" i="3"/>
  <c r="R53" i="3"/>
  <c r="R54" i="3"/>
  <c r="R55" i="3"/>
  <c r="R52" i="3"/>
  <c r="R58" i="3"/>
  <c r="R39" i="3"/>
  <c r="R38" i="3"/>
  <c r="R37" i="3"/>
  <c r="AG213" i="4"/>
  <c r="AG212" i="4"/>
  <c r="AG209" i="4"/>
  <c r="AG208" i="4"/>
  <c r="R150" i="3"/>
  <c r="R149" i="3"/>
  <c r="R148" i="3"/>
  <c r="R147" i="3"/>
  <c r="R146" i="3"/>
  <c r="V153" i="3"/>
  <c r="Z150" i="3"/>
  <c r="V150" i="3"/>
  <c r="Z149" i="3"/>
  <c r="V149" i="3"/>
  <c r="Z148" i="3"/>
  <c r="V148" i="3"/>
  <c r="Z147" i="3"/>
  <c r="V147" i="3"/>
  <c r="Z146" i="3"/>
  <c r="V146" i="3"/>
  <c r="R223" i="3"/>
  <c r="R143" i="3"/>
  <c r="R142" i="3"/>
  <c r="R141" i="3"/>
  <c r="R140" i="3"/>
  <c r="R139" i="3"/>
  <c r="R138" i="3"/>
  <c r="R137" i="3"/>
  <c r="R136" i="3"/>
  <c r="R105" i="3"/>
  <c r="R78" i="3"/>
  <c r="V224" i="3"/>
  <c r="V221" i="3"/>
  <c r="V181" i="3"/>
  <c r="V180" i="3"/>
  <c r="V179" i="3"/>
  <c r="AD186" i="3"/>
  <c r="V186" i="3"/>
  <c r="AD185" i="3"/>
  <c r="V185" i="3"/>
  <c r="AD184" i="3"/>
  <c r="V184" i="3"/>
  <c r="AD143" i="3"/>
  <c r="V143" i="3"/>
  <c r="AD142" i="3"/>
  <c r="V142" i="3"/>
  <c r="AD141" i="3"/>
  <c r="V141" i="3"/>
  <c r="AD140" i="3"/>
  <c r="V140" i="3"/>
  <c r="AD139" i="3"/>
  <c r="V139" i="3"/>
  <c r="AD138" i="3"/>
  <c r="V138" i="3"/>
  <c r="AD137" i="3"/>
  <c r="V137" i="3"/>
  <c r="AD136" i="3"/>
  <c r="V136" i="3"/>
  <c r="V114" i="3"/>
  <c r="V113" i="3"/>
  <c r="V112" i="3"/>
  <c r="V111" i="3"/>
  <c r="V105" i="3"/>
  <c r="AD120" i="3"/>
  <c r="Z120" i="3"/>
  <c r="V120" i="3"/>
  <c r="AD119" i="3"/>
  <c r="Z119" i="3"/>
  <c r="V119" i="3"/>
  <c r="AD118" i="3"/>
  <c r="Z118" i="3"/>
  <c r="V118" i="3"/>
  <c r="AD117" i="3"/>
  <c r="Z117" i="3"/>
  <c r="V117" i="3"/>
  <c r="AD116" i="3"/>
  <c r="Z116" i="3"/>
  <c r="V116" i="3"/>
  <c r="Z213" i="3"/>
  <c r="V213" i="3"/>
  <c r="Z212" i="3"/>
  <c r="V212" i="3"/>
  <c r="Z211" i="3"/>
  <c r="V211" i="3"/>
  <c r="Z210" i="3"/>
  <c r="V210" i="3"/>
  <c r="Z209" i="3"/>
  <c r="V209" i="3"/>
  <c r="Z208" i="3"/>
  <c r="V208" i="3"/>
  <c r="Z205" i="3"/>
  <c r="V205" i="3"/>
  <c r="Z204" i="3"/>
  <c r="V204" i="3"/>
  <c r="Z203" i="3"/>
  <c r="V203" i="3"/>
  <c r="Z202" i="3"/>
  <c r="V202" i="3"/>
  <c r="Z201" i="3"/>
  <c r="V201" i="3"/>
  <c r="Z200" i="3"/>
  <c r="V200" i="3"/>
  <c r="AE322" i="9"/>
  <c r="AE7" i="9"/>
  <c r="AE9" i="9"/>
  <c r="AE8" i="9"/>
  <c r="AC68" i="5"/>
  <c r="AF65" i="5"/>
  <c r="AE65" i="5"/>
  <c r="AD65" i="5"/>
  <c r="AC65" i="5"/>
  <c r="AF47" i="5"/>
  <c r="AE47" i="5"/>
  <c r="AG47" i="5" s="1"/>
  <c r="AD47" i="5"/>
  <c r="AC48" i="5"/>
  <c r="AC47" i="5"/>
  <c r="AF137" i="5"/>
  <c r="AF136" i="5"/>
  <c r="AF135" i="5"/>
  <c r="AE136" i="5"/>
  <c r="AE137" i="5"/>
  <c r="AG137" i="5" s="1"/>
  <c r="AE135" i="5"/>
  <c r="AD136" i="5"/>
  <c r="AD137" i="5"/>
  <c r="AD135" i="5"/>
  <c r="AC136" i="5"/>
  <c r="AC137" i="5"/>
  <c r="AC135" i="5"/>
  <c r="AB135" i="5"/>
  <c r="AB137" i="5"/>
  <c r="AB136" i="5"/>
  <c r="AA136" i="5"/>
  <c r="AA137" i="5"/>
  <c r="AA135" i="5"/>
  <c r="Z136" i="5"/>
  <c r="Z137" i="5"/>
  <c r="Z135" i="5"/>
  <c r="Y135" i="5"/>
  <c r="Y137" i="5"/>
  <c r="Y136" i="5"/>
  <c r="AG68" i="5"/>
  <c r="AG88" i="5"/>
  <c r="AG49" i="5"/>
  <c r="AG48" i="5"/>
  <c r="AE180" i="9"/>
  <c r="AE179" i="9"/>
  <c r="AE178" i="9"/>
  <c r="AE177" i="9"/>
  <c r="AE288" i="9"/>
  <c r="AE172" i="9"/>
  <c r="AE171" i="9"/>
  <c r="AE170" i="9"/>
  <c r="AE169" i="9"/>
  <c r="AE380" i="9"/>
  <c r="AE381" i="9"/>
  <c r="AE382" i="9"/>
  <c r="AE377" i="9"/>
  <c r="AE378" i="9"/>
  <c r="AE379" i="9"/>
  <c r="AE476" i="9"/>
  <c r="AE477" i="9"/>
  <c r="AE315" i="9"/>
  <c r="AE314" i="9"/>
  <c r="AE313" i="9"/>
  <c r="AE472" i="9"/>
  <c r="AE311" i="9"/>
  <c r="AE312" i="9"/>
  <c r="AE493" i="9"/>
  <c r="AE495" i="9"/>
  <c r="AG158" i="4"/>
  <c r="AE165" i="9"/>
  <c r="AE164" i="9"/>
  <c r="AE163" i="9"/>
  <c r="AE162" i="9"/>
  <c r="AE161" i="9"/>
  <c r="AE160" i="9"/>
  <c r="AE159" i="9"/>
  <c r="AE158" i="9"/>
  <c r="AE157" i="9"/>
  <c r="AE150" i="9"/>
  <c r="AE149" i="9"/>
  <c r="AE24" i="9"/>
  <c r="AE25" i="9"/>
  <c r="AE23" i="9"/>
  <c r="AE22" i="9"/>
  <c r="AE21" i="9"/>
  <c r="AE20" i="9"/>
  <c r="AE292" i="9"/>
  <c r="AE293" i="9"/>
  <c r="AE294" i="9"/>
  <c r="AE295" i="9"/>
  <c r="AE296" i="9"/>
  <c r="AE297" i="9"/>
  <c r="AE298" i="9"/>
  <c r="AE299" i="9"/>
  <c r="AE300" i="9"/>
  <c r="AE301" i="9"/>
  <c r="AE302" i="9"/>
  <c r="AE303" i="9"/>
  <c r="AG134" i="5"/>
  <c r="AE148" i="9"/>
  <c r="AE147" i="9"/>
  <c r="AE146" i="9"/>
  <c r="AE145" i="9"/>
  <c r="AG9" i="5"/>
  <c r="AG105" i="4"/>
  <c r="AG88" i="4"/>
  <c r="AG40" i="4"/>
  <c r="AG38" i="4"/>
  <c r="AG33" i="4"/>
  <c r="AG21" i="4"/>
  <c r="AG25" i="4"/>
  <c r="AG23" i="4"/>
  <c r="AH69" i="3"/>
  <c r="AE423" i="9"/>
  <c r="AG17" i="4"/>
  <c r="AG191" i="4"/>
  <c r="AG82" i="4"/>
  <c r="AG69" i="4"/>
  <c r="AE144" i="9"/>
  <c r="AE140" i="9"/>
  <c r="AE141" i="9"/>
  <c r="AE142" i="9"/>
  <c r="AE143" i="9"/>
  <c r="AE408" i="9"/>
  <c r="AE407" i="9"/>
  <c r="AE492" i="9"/>
  <c r="AE491" i="9"/>
  <c r="AE490" i="9"/>
  <c r="AE489" i="9"/>
  <c r="AE488" i="9"/>
  <c r="AE487" i="9"/>
  <c r="AE486" i="9"/>
  <c r="AE484" i="9"/>
  <c r="AE483" i="9"/>
  <c r="AE482" i="9"/>
  <c r="AE369" i="9"/>
  <c r="AE368" i="9"/>
  <c r="AE367" i="9"/>
  <c r="AE366" i="9"/>
  <c r="AE365" i="9"/>
  <c r="AE364" i="9"/>
  <c r="AE363" i="9"/>
  <c r="AE362" i="9"/>
  <c r="AE354" i="9"/>
  <c r="AE353" i="9"/>
  <c r="AE352" i="9"/>
  <c r="AE351" i="9"/>
  <c r="AE350" i="9"/>
  <c r="AE349" i="9"/>
  <c r="AE348" i="9"/>
  <c r="AE347" i="9"/>
  <c r="AE346" i="9"/>
  <c r="AE475" i="9"/>
  <c r="AE474" i="9"/>
  <c r="AE473" i="9"/>
  <c r="AE291" i="9"/>
  <c r="AE290" i="9"/>
  <c r="AE289"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19" i="9"/>
  <c r="AE18" i="9"/>
  <c r="AE17" i="9"/>
  <c r="AE16" i="9"/>
  <c r="AE15" i="9"/>
  <c r="AE14" i="9"/>
  <c r="AE13" i="9"/>
  <c r="AE12" i="9"/>
  <c r="AE11" i="9"/>
  <c r="AE10" i="9"/>
  <c r="AE480" i="9"/>
  <c r="AG27" i="8"/>
  <c r="AG28" i="8"/>
  <c r="AG25" i="8"/>
  <c r="AG26" i="8"/>
  <c r="AG20" i="8"/>
  <c r="AG19" i="8"/>
  <c r="AG17" i="8"/>
  <c r="AG22" i="8"/>
  <c r="AG5" i="8"/>
  <c r="AG4" i="8"/>
  <c r="AG21" i="8"/>
  <c r="AG167" i="4"/>
  <c r="AG169" i="4"/>
  <c r="AG170" i="4"/>
  <c r="AG168" i="4"/>
  <c r="AG166" i="4"/>
  <c r="AG161" i="4"/>
  <c r="AG165" i="4"/>
  <c r="AG163" i="4"/>
  <c r="AG164" i="4"/>
  <c r="AG116" i="4"/>
  <c r="AG106" i="4"/>
  <c r="AG109" i="4"/>
  <c r="AG108" i="4"/>
  <c r="AG107" i="4"/>
  <c r="AG103" i="4"/>
  <c r="AG98" i="4"/>
  <c r="AG97" i="4"/>
  <c r="AG95" i="4"/>
  <c r="AG92" i="4"/>
  <c r="AG94" i="4"/>
  <c r="AG93" i="4"/>
  <c r="AG99" i="4"/>
  <c r="AG139" i="4"/>
  <c r="AG138" i="4"/>
  <c r="AG224" i="4"/>
  <c r="AG220" i="4"/>
  <c r="AG137" i="4"/>
  <c r="AG135" i="4"/>
  <c r="AG134" i="4"/>
  <c r="AG133" i="4"/>
  <c r="AG159" i="4"/>
  <c r="AG157" i="4"/>
  <c r="AG211" i="4"/>
  <c r="AG217" i="4"/>
  <c r="AG218" i="4"/>
  <c r="AG216" i="4"/>
  <c r="AG215" i="4"/>
  <c r="AG192" i="4"/>
  <c r="AG189" i="4"/>
  <c r="AG188" i="4"/>
  <c r="AG210" i="4"/>
  <c r="AG202" i="4"/>
  <c r="AG187" i="4"/>
  <c r="AG194" i="4"/>
  <c r="AG197" i="4"/>
  <c r="AG199" i="4"/>
  <c r="AG173" i="4"/>
  <c r="AG183" i="4"/>
  <c r="AG179" i="4"/>
  <c r="AG176" i="4"/>
  <c r="AG174" i="4"/>
  <c r="AG175" i="4"/>
  <c r="AG180" i="4"/>
  <c r="AG178" i="4"/>
  <c r="AG81" i="4"/>
  <c r="AG80" i="4"/>
  <c r="AG89" i="4"/>
  <c r="AG74" i="4"/>
  <c r="AG73" i="4"/>
  <c r="AG72" i="4"/>
  <c r="AG76" i="4"/>
  <c r="AG68" i="4"/>
  <c r="AG39" i="4"/>
  <c r="AG37" i="4"/>
  <c r="AG29" i="4"/>
  <c r="AG28" i="4"/>
  <c r="AG27" i="4"/>
  <c r="AG26" i="4"/>
  <c r="AG24" i="4"/>
  <c r="AG22" i="4"/>
  <c r="AG20" i="4"/>
  <c r="AG30" i="4"/>
  <c r="AG11" i="4"/>
  <c r="AG16" i="4"/>
  <c r="AG7" i="4"/>
  <c r="AG15" i="4"/>
  <c r="AG175" i="5"/>
  <c r="AG174" i="5"/>
  <c r="AG66" i="5"/>
  <c r="AG64" i="5"/>
  <c r="AG101" i="5"/>
  <c r="AG100" i="5"/>
  <c r="AG98" i="5"/>
  <c r="AG97" i="5"/>
  <c r="AG96" i="5"/>
  <c r="AG95" i="5"/>
  <c r="AG94" i="5"/>
  <c r="AG93" i="5"/>
  <c r="AG91" i="5"/>
  <c r="AG87" i="5"/>
  <c r="AG86" i="5"/>
  <c r="AG84" i="5"/>
  <c r="AG83" i="5"/>
  <c r="AG82" i="5"/>
  <c r="AG55" i="5"/>
  <c r="AG54" i="5"/>
  <c r="AG52" i="5"/>
  <c r="AG51" i="5"/>
  <c r="AG50" i="5"/>
  <c r="AG8" i="5"/>
  <c r="AG7" i="5"/>
  <c r="AG6" i="5"/>
  <c r="AG5" i="5"/>
  <c r="AG29" i="5"/>
  <c r="AG28" i="5"/>
  <c r="AG27" i="5"/>
  <c r="AG22" i="5"/>
  <c r="AG21" i="5"/>
  <c r="AG20" i="5"/>
  <c r="AG19" i="5"/>
  <c r="AG18" i="5"/>
  <c r="AG17" i="5"/>
  <c r="AG16" i="5"/>
  <c r="AG15" i="5"/>
  <c r="AG13" i="5"/>
  <c r="AH192" i="3"/>
  <c r="AH181" i="3"/>
  <c r="AH180" i="3"/>
  <c r="AH179" i="3"/>
  <c r="AH186" i="3"/>
  <c r="AH185" i="3"/>
  <c r="AH184" i="3"/>
  <c r="AH143" i="3"/>
  <c r="AH142" i="3"/>
  <c r="AH141" i="3"/>
  <c r="AH140" i="3"/>
  <c r="AH139" i="3"/>
  <c r="AH138" i="3"/>
  <c r="AH137" i="3"/>
  <c r="AH136" i="3"/>
  <c r="AH153" i="3"/>
  <c r="AH150" i="3"/>
  <c r="AH149" i="3"/>
  <c r="AH148" i="3"/>
  <c r="AH147" i="3"/>
  <c r="AH146" i="3"/>
  <c r="AH42" i="3"/>
  <c r="AH114" i="3"/>
  <c r="AH113" i="3"/>
  <c r="AH112" i="3"/>
  <c r="AH111" i="3"/>
  <c r="AH132" i="3"/>
  <c r="AH131" i="3"/>
  <c r="AH129" i="3"/>
  <c r="AH128" i="3"/>
  <c r="AH127" i="3"/>
  <c r="AH126" i="3"/>
  <c r="AH123" i="3"/>
  <c r="AH122" i="3"/>
  <c r="AH121" i="3"/>
  <c r="AH124" i="3"/>
  <c r="AH120" i="3"/>
  <c r="AH119" i="3"/>
  <c r="AH118" i="3"/>
  <c r="AH117" i="3"/>
  <c r="AH116" i="3"/>
  <c r="AH74" i="3"/>
  <c r="AH73" i="3"/>
  <c r="AH72" i="3"/>
  <c r="AH71" i="3"/>
  <c r="AH70" i="3"/>
  <c r="AH62" i="3"/>
  <c r="AH164" i="3"/>
  <c r="AH162" i="3"/>
  <c r="AH161" i="3"/>
  <c r="AH160" i="3"/>
  <c r="AH159" i="3"/>
  <c r="AH158" i="3"/>
  <c r="AH157" i="3"/>
  <c r="AH156" i="3"/>
  <c r="AH173" i="3"/>
  <c r="AH172" i="3"/>
  <c r="AH171" i="3"/>
  <c r="AH170" i="3"/>
  <c r="AH169" i="3"/>
  <c r="AH168" i="3"/>
  <c r="AH167" i="3"/>
  <c r="AH213" i="3"/>
  <c r="AH212" i="3"/>
  <c r="AH211" i="3"/>
  <c r="AH210" i="3"/>
  <c r="AH209" i="3"/>
  <c r="AH208" i="3"/>
  <c r="AH205" i="3"/>
  <c r="AH204" i="3"/>
  <c r="AH203" i="3"/>
  <c r="AH202" i="3"/>
  <c r="AH201" i="3"/>
  <c r="AH200" i="3"/>
  <c r="AH14" i="3"/>
  <c r="AH13" i="3"/>
  <c r="AH16" i="3"/>
  <c r="AH12" i="3"/>
  <c r="AG11" i="8"/>
  <c r="AG7" i="7"/>
  <c r="AG9" i="7"/>
  <c r="AG13" i="7"/>
  <c r="AG16" i="7"/>
  <c r="AG10" i="7"/>
  <c r="AG6" i="7"/>
  <c r="AG6" i="8"/>
  <c r="AH85" i="3"/>
  <c r="AH79" i="3"/>
  <c r="AH49" i="3"/>
  <c r="AH17" i="3"/>
  <c r="AH47" i="3"/>
  <c r="AH216" i="3"/>
  <c r="AH95" i="3"/>
  <c r="AH93" i="3"/>
  <c r="AH91" i="3"/>
  <c r="AH89" i="3"/>
  <c r="AH81" i="3"/>
  <c r="AH217" i="3"/>
  <c r="AH35" i="3"/>
  <c r="AH55" i="3"/>
  <c r="AH38" i="3"/>
  <c r="AH101" i="3"/>
  <c r="AH83" i="3"/>
  <c r="AH102" i="3"/>
  <c r="AH104" i="3"/>
  <c r="AH100" i="3"/>
  <c r="AH5" i="3"/>
  <c r="AH11" i="3"/>
  <c r="AH9" i="3"/>
  <c r="AH22" i="3"/>
  <c r="AH20" i="3"/>
  <c r="AH90" i="3"/>
  <c r="AH87" i="3"/>
  <c r="AH33" i="3"/>
  <c r="AH31" i="3"/>
  <c r="AH43" i="3"/>
  <c r="AH53" i="3"/>
  <c r="AH109" i="3"/>
  <c r="AH106" i="3"/>
  <c r="AH7" i="3"/>
  <c r="AH8" i="3"/>
  <c r="AH99" i="3"/>
  <c r="AH97" i="3"/>
  <c r="AH18" i="3"/>
  <c r="AH4" i="3"/>
  <c r="AH29" i="3"/>
  <c r="AH37" i="3"/>
  <c r="AH48" i="3"/>
  <c r="AH108" i="3"/>
  <c r="AE227" i="9"/>
  <c r="AG65" i="5"/>
  <c r="AG132" i="5"/>
  <c r="AG136" i="5"/>
  <c r="AG99" i="5"/>
  <c r="AG131" i="5"/>
  <c r="AG135" i="5"/>
  <c r="AG13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Candice Randall</author>
    <author>Colin Quinn</author>
  </authors>
  <commentList>
    <comment ref="R140" authorId="0" shapeId="0" xr:uid="{00000000-0006-0000-0000-000001000000}">
      <text>
        <r>
          <rPr>
            <b/>
            <sz val="9"/>
            <color indexed="81"/>
            <rFont val="Tahoma"/>
            <family val="2"/>
          </rPr>
          <t>Candice Randall:</t>
        </r>
        <r>
          <rPr>
            <sz val="9"/>
            <color indexed="81"/>
            <rFont val="Tahoma"/>
            <family val="2"/>
          </rPr>
          <t xml:space="preserve">
head circumference</t>
        </r>
      </text>
    </comment>
    <comment ref="S140" authorId="0" shapeId="0" xr:uid="{00000000-0006-0000-0000-000002000000}">
      <text>
        <r>
          <rPr>
            <b/>
            <sz val="9"/>
            <color indexed="81"/>
            <rFont val="Tahoma"/>
            <family val="2"/>
          </rPr>
          <t>Candice Randall:</t>
        </r>
        <r>
          <rPr>
            <sz val="9"/>
            <color indexed="81"/>
            <rFont val="Tahoma"/>
            <family val="2"/>
          </rPr>
          <t xml:space="preserve">
lamp dimensions</t>
        </r>
      </text>
    </comment>
    <comment ref="R141" authorId="0" shapeId="0" xr:uid="{00000000-0006-0000-0000-000003000000}">
      <text>
        <r>
          <rPr>
            <b/>
            <sz val="9"/>
            <color indexed="81"/>
            <rFont val="Tahoma"/>
            <family val="2"/>
          </rPr>
          <t>Candice Randall:</t>
        </r>
        <r>
          <rPr>
            <sz val="9"/>
            <color indexed="81"/>
            <rFont val="Tahoma"/>
            <family val="2"/>
          </rPr>
          <t xml:space="preserve">
head circumference</t>
        </r>
      </text>
    </comment>
    <comment ref="S141" authorId="0" shapeId="0" xr:uid="{00000000-0006-0000-0000-000004000000}">
      <text>
        <r>
          <rPr>
            <b/>
            <sz val="9"/>
            <color indexed="81"/>
            <rFont val="Tahoma"/>
            <family val="2"/>
          </rPr>
          <t>Candice Randall:</t>
        </r>
        <r>
          <rPr>
            <sz val="9"/>
            <color indexed="81"/>
            <rFont val="Tahoma"/>
            <family val="2"/>
          </rPr>
          <t xml:space="preserve">
lamp dimensions</t>
        </r>
      </text>
    </comment>
    <comment ref="R142" authorId="0" shapeId="0" xr:uid="{00000000-0006-0000-0000-000005000000}">
      <text>
        <r>
          <rPr>
            <b/>
            <sz val="9"/>
            <color indexed="81"/>
            <rFont val="Tahoma"/>
            <family val="2"/>
          </rPr>
          <t>Candice Randall:</t>
        </r>
        <r>
          <rPr>
            <sz val="9"/>
            <color indexed="81"/>
            <rFont val="Tahoma"/>
            <family val="2"/>
          </rPr>
          <t xml:space="preserve">
head circumference</t>
        </r>
      </text>
    </comment>
    <comment ref="S142" authorId="0" shapeId="0" xr:uid="{00000000-0006-0000-0000-000006000000}">
      <text>
        <r>
          <rPr>
            <b/>
            <sz val="9"/>
            <color indexed="81"/>
            <rFont val="Tahoma"/>
            <family val="2"/>
          </rPr>
          <t>Candice Randall:</t>
        </r>
        <r>
          <rPr>
            <sz val="9"/>
            <color indexed="81"/>
            <rFont val="Tahoma"/>
            <family val="2"/>
          </rPr>
          <t xml:space="preserve">
lamp dimensions</t>
        </r>
      </text>
    </comment>
    <comment ref="R189" authorId="1" shapeId="0" xr:uid="{00000000-0006-0000-0000-000007000000}">
      <text>
        <r>
          <rPr>
            <b/>
            <sz val="9"/>
            <color indexed="81"/>
            <rFont val="Tahoma"/>
            <family val="2"/>
          </rPr>
          <t>Colin Quinn:</t>
        </r>
        <r>
          <rPr>
            <sz val="9"/>
            <color indexed="81"/>
            <rFont val="Tahoma"/>
            <family val="2"/>
          </rPr>
          <t xml:space="preserve">
Just the light body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Candice Randall</author>
  </authors>
  <commentList>
    <comment ref="R17" authorId="0" shapeId="0" xr:uid="{00000000-0006-0000-0200-000001000000}">
      <text>
        <r>
          <rPr>
            <b/>
            <sz val="9"/>
            <color indexed="81"/>
            <rFont val="Tahoma"/>
            <family val="2"/>
          </rPr>
          <t>Candice Randall:</t>
        </r>
        <r>
          <rPr>
            <sz val="9"/>
            <color indexed="81"/>
            <rFont val="Tahoma"/>
            <family val="2"/>
          </rPr>
          <t xml:space="preserve">
Length</t>
        </r>
      </text>
    </comment>
    <comment ref="S17" authorId="0" shapeId="0" xr:uid="{00000000-0006-0000-0200-000002000000}">
      <text>
        <r>
          <rPr>
            <b/>
            <sz val="9"/>
            <color indexed="81"/>
            <rFont val="Tahoma"/>
            <family val="2"/>
          </rPr>
          <t>Candice Randall:</t>
        </r>
        <r>
          <rPr>
            <sz val="9"/>
            <color indexed="81"/>
            <rFont val="Tahoma"/>
            <family val="2"/>
          </rPr>
          <t xml:space="preserve">
Width</t>
        </r>
      </text>
    </comment>
    <comment ref="T17" authorId="0" shapeId="0" xr:uid="{00000000-0006-0000-0200-000003000000}">
      <text>
        <r>
          <rPr>
            <b/>
            <sz val="9"/>
            <color indexed="81"/>
            <rFont val="Tahoma"/>
            <family val="2"/>
          </rPr>
          <t>Candice Randall:</t>
        </r>
        <r>
          <rPr>
            <sz val="9"/>
            <color indexed="81"/>
            <rFont val="Tahoma"/>
            <family val="2"/>
          </rPr>
          <t xml:space="preserve">
Height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Candice Randall</author>
  </authors>
  <commentList>
    <comment ref="G246" authorId="0" shapeId="0" xr:uid="{00000000-0006-0000-0600-000001000000}">
      <text>
        <r>
          <rPr>
            <b/>
            <sz val="9"/>
            <color indexed="81"/>
            <rFont val="Tahoma"/>
            <family val="2"/>
          </rPr>
          <t>Candice Randall:</t>
        </r>
        <r>
          <rPr>
            <sz val="9"/>
            <color indexed="81"/>
            <rFont val="Tahoma"/>
            <family val="2"/>
          </rPr>
          <t xml:space="preserve">
Same UPC # for each color</t>
        </r>
      </text>
    </comment>
    <comment ref="P341" authorId="0" shapeId="0" xr:uid="{00000000-0006-0000-0600-000002000000}">
      <text>
        <r>
          <rPr>
            <b/>
            <sz val="9"/>
            <color indexed="81"/>
            <rFont val="Tahoma"/>
            <family val="2"/>
          </rPr>
          <t>Candice Randall:</t>
        </r>
        <r>
          <rPr>
            <sz val="9"/>
            <color indexed="81"/>
            <rFont val="Tahoma"/>
            <family val="2"/>
          </rPr>
          <t xml:space="preserve">
head circumference</t>
        </r>
      </text>
    </comment>
    <comment ref="Q341" authorId="0" shapeId="0" xr:uid="{00000000-0006-0000-0600-000003000000}">
      <text>
        <r>
          <rPr>
            <b/>
            <sz val="9"/>
            <color indexed="81"/>
            <rFont val="Tahoma"/>
            <family val="2"/>
          </rPr>
          <t>Candice Randall:</t>
        </r>
        <r>
          <rPr>
            <sz val="9"/>
            <color indexed="81"/>
            <rFont val="Tahoma"/>
            <family val="2"/>
          </rPr>
          <t xml:space="preserve">
lamp dimensions</t>
        </r>
      </text>
    </comment>
    <comment ref="P342" authorId="0" shapeId="0" xr:uid="{00000000-0006-0000-0600-000004000000}">
      <text>
        <r>
          <rPr>
            <b/>
            <sz val="9"/>
            <color indexed="81"/>
            <rFont val="Tahoma"/>
            <family val="2"/>
          </rPr>
          <t>Candice Randall:</t>
        </r>
        <r>
          <rPr>
            <sz val="9"/>
            <color indexed="81"/>
            <rFont val="Tahoma"/>
            <family val="2"/>
          </rPr>
          <t xml:space="preserve">
head circumference</t>
        </r>
      </text>
    </comment>
    <comment ref="Q342" authorId="0" shapeId="0" xr:uid="{00000000-0006-0000-0600-000005000000}">
      <text>
        <r>
          <rPr>
            <b/>
            <sz val="9"/>
            <color indexed="81"/>
            <rFont val="Tahoma"/>
            <family val="2"/>
          </rPr>
          <t>Candice Randall:</t>
        </r>
        <r>
          <rPr>
            <sz val="9"/>
            <color indexed="81"/>
            <rFont val="Tahoma"/>
            <family val="2"/>
          </rPr>
          <t xml:space="preserve">
lamp dimensions</t>
        </r>
      </text>
    </comment>
    <comment ref="P343" authorId="0" shapeId="0" xr:uid="{00000000-0006-0000-0600-000006000000}">
      <text>
        <r>
          <rPr>
            <b/>
            <sz val="9"/>
            <color indexed="81"/>
            <rFont val="Tahoma"/>
            <family val="2"/>
          </rPr>
          <t>Candice Randall:</t>
        </r>
        <r>
          <rPr>
            <sz val="9"/>
            <color indexed="81"/>
            <rFont val="Tahoma"/>
            <family val="2"/>
          </rPr>
          <t xml:space="preserve">
head circumference</t>
        </r>
      </text>
    </comment>
    <comment ref="Q343" authorId="0" shapeId="0" xr:uid="{00000000-0006-0000-0600-000007000000}">
      <text>
        <r>
          <rPr>
            <b/>
            <sz val="9"/>
            <color indexed="81"/>
            <rFont val="Tahoma"/>
            <family val="2"/>
          </rPr>
          <t>Candice Randall:</t>
        </r>
        <r>
          <rPr>
            <sz val="9"/>
            <color indexed="81"/>
            <rFont val="Tahoma"/>
            <family val="2"/>
          </rPr>
          <t xml:space="preserve">
lamp dimensions</t>
        </r>
      </text>
    </comment>
  </commentList>
</comments>
</file>

<file path=xl/sharedStrings.xml><?xml version="1.0" encoding="utf-8"?>
<sst xmlns="http://schemas.openxmlformats.org/spreadsheetml/2006/main" count="25418" uniqueCount="5470">
  <si>
    <t>Durable - Army model lasts 12000 strikes</t>
  </si>
  <si>
    <t>Available with Black or Oak handles.  For backyard use, look for the Barbeque model.</t>
  </si>
  <si>
    <t>Durable - Barbeque model lasts 12000 strikes</t>
  </si>
  <si>
    <t>For camping use, look for the Army and Scout models.</t>
  </si>
  <si>
    <t>Built-in FireSteel® fire starter</t>
  </si>
  <si>
    <t>8 cm (3.1 inch) blade, 50/50 serrated stainless steel</t>
  </si>
  <si>
    <t>Spear-tip point.  Can be opened and closed with 1 hand.</t>
  </si>
  <si>
    <t>Safety features include emergency whistle and lanyard with fluorescent clip.</t>
  </si>
  <si>
    <t>Notch in knife blade optimized for use with Firesteel.</t>
  </si>
  <si>
    <t>An integrated approach to camping/survival/rescue. Developed by Tool Logic, the SL3 is a complete survival kit weighing only 78 g (2.7 oz). A razor sharp blade with a spear point shape, an all-weather FireSteel fire starter and a loud emergency whistle makes the SL3 the natural choice for all outdoor activities. The blade has sufficient curve for most field chores and can be opened and closed with one hand. The 50/50 serrations add utility in both cutting and sawing. The SL3 is not only well thought out, it is rugged enough to live up to its slogan - Built for Life.</t>
  </si>
  <si>
    <t>Dishwasher and microwave safe and also floats!</t>
  </si>
  <si>
    <t>Spork is an all in one utensil that won't scratch cookware</t>
  </si>
  <si>
    <t>Will not soften at higher temperatures</t>
  </si>
  <si>
    <t>Design by Joachim Nordwall, J. Nordwall Design, Sweden.  9"x8"x3".  12 oz.</t>
  </si>
  <si>
    <t>Swiss-Spice Salt + Pepper Shaker Boxed</t>
  </si>
  <si>
    <t>836514009433</t>
  </si>
  <si>
    <t>836514009426</t>
  </si>
  <si>
    <t>836514009419</t>
  </si>
  <si>
    <t>S-FFORK-BULK</t>
  </si>
  <si>
    <t>023535900058</t>
  </si>
  <si>
    <t>023535905053</t>
  </si>
  <si>
    <t>023535910057</t>
  </si>
  <si>
    <t>023535915052</t>
  </si>
  <si>
    <t>023535917056</t>
  </si>
  <si>
    <t>023535920056</t>
  </si>
  <si>
    <t>023535925051</t>
  </si>
  <si>
    <t>023535930055</t>
  </si>
  <si>
    <t>023535933056</t>
  </si>
  <si>
    <t>023535935050</t>
  </si>
  <si>
    <t>023535940054</t>
  </si>
  <si>
    <t>023535945059</t>
  </si>
  <si>
    <t>BANANA-COC</t>
  </si>
  <si>
    <t>BLACKRASP</t>
  </si>
  <si>
    <t>BUBBLEGUM</t>
  </si>
  <si>
    <t>BUTTERPEC</t>
  </si>
  <si>
    <t>CAKEBATTER</t>
  </si>
  <si>
    <t>CARAMEL</t>
  </si>
  <si>
    <t>CHOCFUDGE</t>
  </si>
  <si>
    <t>CINNAMON</t>
  </si>
  <si>
    <t>FRENCHVAN</t>
  </si>
  <si>
    <t>LEMON</t>
  </si>
  <si>
    <t>MANGO</t>
  </si>
  <si>
    <t>MINTCHOC</t>
  </si>
  <si>
    <t>MOCHA</t>
  </si>
  <si>
    <t>ORANGECRM</t>
  </si>
  <si>
    <t>POMEGRAN</t>
  </si>
  <si>
    <t>STRAWBERRY</t>
  </si>
  <si>
    <t>023535934053</t>
  </si>
  <si>
    <t>023535950053</t>
  </si>
  <si>
    <t>023535953054</t>
  </si>
  <si>
    <t>023535955058</t>
  </si>
  <si>
    <t>Comes with clip and sign</t>
  </si>
  <si>
    <t>The UltraPod I is a small, convenient tripod that can be taken and used anywhere.  Its 3 legs offer a stable base for your small camera, and the strap allows you to attach the UltraPod to a fence, rail, or tree.  The strap is black Velcro "one wrap" and designed to be easily removable. This is designed to be a fun tripod for use with small digital cameras, web cams and more. Can also be used to mount remote flashes to light stands using the Velcro strap.  Weight: 1.7oz.</t>
  </si>
  <si>
    <t>Stretches to fit your camera like a glove - quick Velcro closure</t>
  </si>
  <si>
    <t>Slimmest case – fits in your pocket</t>
  </si>
  <si>
    <t>Protects your digital camera</t>
  </si>
  <si>
    <t>Weighs 1.2 oz.</t>
  </si>
  <si>
    <t>Always on so you’ll never lose it</t>
  </si>
  <si>
    <t>Fits compact digital cameras</t>
  </si>
  <si>
    <t>Gives cameras a stable base</t>
  </si>
  <si>
    <t>This kit includes a Yellow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</si>
  <si>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Green,White,Black</t>
  </si>
  <si>
    <t>For extreme conditions and discerning customers</t>
  </si>
  <si>
    <t>054269000172</t>
  </si>
  <si>
    <t>054269000189</t>
  </si>
  <si>
    <t>054269000141</t>
  </si>
  <si>
    <t>016869050209</t>
  </si>
  <si>
    <t>Happy</t>
  </si>
  <si>
    <t>Spork Plexi + 200 pcs - Happy Colors</t>
  </si>
  <si>
    <t>Transparent</t>
  </si>
  <si>
    <t>Combat</t>
  </si>
  <si>
    <t>Pink Blend</t>
  </si>
  <si>
    <t>Spork Plexi + 200 pcs - Pink Blend Colors</t>
  </si>
  <si>
    <t>Spork Plexi + 200 pcs - Combat Colors</t>
  </si>
  <si>
    <t>Spork Plexi + 60 pcs - Happy Colors</t>
  </si>
  <si>
    <t>054269353209</t>
  </si>
  <si>
    <t>Bistro</t>
  </si>
  <si>
    <t>Case (Inner) Pack Qty</t>
  </si>
  <si>
    <t>Master Carton Qty</t>
  </si>
  <si>
    <t>P-UCA</t>
  </si>
  <si>
    <t xml:space="preserve">The Pedco UltraPod Micro is the smallest and lightest tripod available.  It’s always on your camera as it’s only ¼” thick when not in use.  The UltraPod Micro attaches to the tripod mounting screw on the bottom of your camera.  When needed, instantly extend the legs to provide stability on the trickiest of surfaces.  When you are done with the camera, simply fold up the legs.  The tripod allows you to steady your camera, and use the self timer without placing it in a precarious position.  </t>
  </si>
  <si>
    <t>S-SP-LEFTY</t>
  </si>
  <si>
    <t>S-SP-XM-SMALLPLEXI</t>
  </si>
  <si>
    <t>XM SmallPlexi + 40 pcs</t>
  </si>
  <si>
    <t>This is a package of two magnificent sporks from the Swedish firm Light My Fire.</t>
  </si>
  <si>
    <t>They weigh only 10g each!</t>
  </si>
  <si>
    <t>Sporks are extremely durable and dishwasher safe.</t>
  </si>
  <si>
    <t>Sporks weigh only .36 ounces each!</t>
  </si>
  <si>
    <t>Matches are completely stormproof</t>
  </si>
  <si>
    <t>Burns despite wind or rain</t>
  </si>
  <si>
    <t>Will burn underwater</t>
  </si>
  <si>
    <t>Extra striker included</t>
  </si>
  <si>
    <t>1 box, 25 matches per box</t>
  </si>
  <si>
    <t>2 boxes, 25 matches per box</t>
  </si>
  <si>
    <t>UCO Stormproof Matches are the best matches available for harsh conditions.  Each match burns for about 15 seconds even if it is windy, rainy, or cold.  The matches even burn underwater.  Extra strikers are included.</t>
  </si>
  <si>
    <t>Tube comes with 60 pieces in 4 colors and can be refilled with any variety of colors.</t>
  </si>
  <si>
    <t>Our Plexiglass tube holds Sporks in a way that gets noticed. Light My Fire’s Plexiglass tube allows you to mix and match colors to complement decor. Our most popular combinations are Outdoor and Bistro, but the themes are limited only by your imagination.  Tubes come with 60 pieces in 4 colors.</t>
  </si>
  <si>
    <t>The Pedco Wrap-Up/UltraPod Micro Combo combines two great digital camera accessories into one package.  With the Combo, both the Wrap-Up and the UltraPod Micro are always on your camera so they are there when you need them – no tripod or case left behind! The Wrap-Up is great for protecting your camera  - it stretches to fit like a glove and has a quick Velcro closure.  The UltraPod Micro offers a simple source of stability for tricky surfaces, allowing you to use the self-timer with ease.  Perfect for travel and outdoors.</t>
  </si>
  <si>
    <t>Variant</t>
  </si>
  <si>
    <t>Product Title</t>
  </si>
  <si>
    <t>Color</t>
  </si>
  <si>
    <t>L Plexi + 100 pcs</t>
  </si>
  <si>
    <t>Spork Plexi + 200 pcs - Outdoor Colors</t>
  </si>
  <si>
    <t>Spork Plexi + 200 pcs - Bistro Colors</t>
  </si>
  <si>
    <t>Spork Plexi + 60 pcs - Outdoor Colors</t>
  </si>
  <si>
    <t>Spork Plexi + 60 pcs - Outdoor Colors - Tritan</t>
  </si>
  <si>
    <t>Firefork Plexi + 36 pcs</t>
  </si>
  <si>
    <t>They weigh only .36 ounces (8g) each!</t>
  </si>
  <si>
    <t>Environmentally-friendly PP plastic and completely BPA free</t>
  </si>
  <si>
    <t>You don't have to eat like an animal just because you happen to be dining outdoors. Not when you take along the ingeniously portable, incredibly versatile, spillproof and functional Outdoor Meal Kit. Our one-of-a-kind Meal Kit makes it easy to prepare, clean-up and enjoy the great taste of every campfire meal. Designed especially for Light My Fire by Scandinavian designer Joachim Nordwall, our Meal Kit is perfect for your backpack, boat, picnic basket, even your lunch box. The Meal Kit contains everything you need to prepare and eat a meal anytime, anywhere: two plates, a spill-free cup with lid (300ml), a combined colander and cutting board, a "spork" (combined spoon and serrated fork) and a small waterproof box for all those things that just have to stay dry. The spork is made of a tough and durable Tritan material and the rest is made of PP (polypropylene), an environmentally-friendly plastic.  The whole MealKit is BPA free.</t>
  </si>
  <si>
    <t>Our Plexiglass tube holds Sporks in a way that gets noticed. Light My Fire’s Plexiglass tube allows you to mix and match colors to complement decor. Our most popular combinations are Outdoor and Bistro, but the themes are limited only by your imagination.  Tubes come with 200 pieces in 4 colors.</t>
  </si>
  <si>
    <t>Our Plexiglass tube holds Sporks in a way that gets noticed. Light My Fire’s Plexiglass tube allows you to mix and match colors to complement decor.  Tubes come with 100 pieces in 4 colors.</t>
  </si>
  <si>
    <t>Our Plexiglass tube holds Sporks in a way that gets noticed. Light My Fire’s Plexiglass tube allows you to mix and match colors to complement decor.  Tubes come with 160 pieces in 4 colors.</t>
  </si>
  <si>
    <t>3605.00.0030</t>
  </si>
  <si>
    <t>Deluxe Kit includes an Aluminum Candlelier, a 3-pack of candles, and a padded bag.</t>
  </si>
  <si>
    <t>Three 9-hour candles in spring-loaded candle tubes for extra light and warmth or extra burn time.</t>
  </si>
  <si>
    <t>Also available: Replacement candles (regular, citronella, and beeswax), neoprene covers, reflector.</t>
  </si>
  <si>
    <t>LunchBox</t>
  </si>
  <si>
    <t>Aluminum</t>
  </si>
  <si>
    <t>Brass</t>
  </si>
  <si>
    <t>Grilliput Portable Camping Grill - The Smallest Kitchen in the World</t>
  </si>
  <si>
    <t>Compact Firebowl for the Grilliput - Portable and Collapsible Fire Holder</t>
  </si>
  <si>
    <t>Prevents denting and scratching of lantern.</t>
  </si>
  <si>
    <t>Rugged, durable construction from 1/4" neoprene.</t>
  </si>
  <si>
    <t>Made of impact resistant neoprene, the patented design of the Cocoon is available to fit the UCO Original Candle Lantern and the UCO Mini Candle Lantern. The Cocoon is highly effective at preventing scratching and denting of the lantern body and breakage of the glass chimney during transportation. Weight: 1.5 oz.</t>
  </si>
  <si>
    <t>L-REF</t>
  </si>
  <si>
    <t>L-REF-PACFLAT</t>
  </si>
  <si>
    <t>054269100353</t>
  </si>
  <si>
    <t>054269100988</t>
  </si>
  <si>
    <t>054269100971</t>
  </si>
  <si>
    <t>sw-sp</t>
  </si>
  <si>
    <t>Brand Name</t>
  </si>
  <si>
    <t>MSRP</t>
  </si>
  <si>
    <t>Bullet #1 (Highlight Features)</t>
  </si>
  <si>
    <t>Bullet #2 (Highlight Features)</t>
  </si>
  <si>
    <t>Bullet #3 (Highlight Features)</t>
  </si>
  <si>
    <t>Bullet #4 (Highlight Features)</t>
  </si>
  <si>
    <t>Bullet #5 (Highlight Features)</t>
  </si>
  <si>
    <t>Model/Stock Number</t>
  </si>
  <si>
    <t>6307.90.98</t>
  </si>
  <si>
    <t>4401.30</t>
  </si>
  <si>
    <t>ML-XL</t>
  </si>
  <si>
    <t>ML-Mini</t>
  </si>
  <si>
    <t>S-SP-XM-Blister</t>
  </si>
  <si>
    <t>Paragraph 1</t>
  </si>
  <si>
    <t>Paragraph 2</t>
  </si>
  <si>
    <t>Paragraph 3</t>
  </si>
  <si>
    <t>f-icep-Blue</t>
  </si>
  <si>
    <t>f-iceq-Blue</t>
  </si>
  <si>
    <t>For use in place of candles</t>
  </si>
  <si>
    <t>Burns up to 6 hours</t>
  </si>
  <si>
    <t>Made from sturdy aluminum, brass, and fiberglass-reinforced nylon.</t>
  </si>
  <si>
    <t>The UltraClamp Assembly allows a camera to be solidly attached to a car window, bicycle handlebar, picnic table, or other similar object. Strong enough for any camera or camcorder, the UltraClamp Assembly attaches to round or flat objects up to 1.5 inches thick. The UltraClamp Assembly utilizes the same ball and socket mount found on UltraPods to allow the camera maximum flexibility in framing the subject. Weighs 6 oz. and measures 3.0" x 5.5".</t>
  </si>
  <si>
    <t>S-SP-XM-BLIS-T</t>
  </si>
  <si>
    <t>S-SP-L-BLIS-T</t>
  </si>
  <si>
    <t>SilverMet</t>
  </si>
  <si>
    <t>Includes lantern plus LED, 3-pack of candles, and protective fleece bag</t>
  </si>
  <si>
    <t>Collapsible lantern fits in a small space</t>
  </si>
  <si>
    <t>Burns all varieties of tealight candles</t>
  </si>
  <si>
    <t>054269100902</t>
  </si>
  <si>
    <t>054269100926</t>
  </si>
  <si>
    <t>3923.50.0000</t>
  </si>
  <si>
    <t>Sporks are manufactured from heat-resistant and durable plastics that won't melt in hot or boiling water.  They won't scratch non-stick cookware.  They are Teflon-friendly.</t>
  </si>
  <si>
    <t>Tube comes with 200 pieces in 4 colors and can be refilled with any variety of colors.</t>
  </si>
  <si>
    <t>Tube comes with 100 pieces in 4 colors.</t>
  </si>
  <si>
    <t>Quick Release for UP1</t>
  </si>
  <si>
    <t>Quick Release for UP2</t>
  </si>
  <si>
    <t>The Pedco Quick Release Head easily replaces the original ball head on an Ultrapod I or Mini, allowing simple and fast attaching of Cameras or other devices.  Camera clicks easily into the Quick Release with Camera Button screwed into camera.   The Quick Release also connects to Camera Phones using the universal "belt clip" button on your phone or phone case, or using the included button attached to the back of your phone or other device.  Requires an Ultrapod I or Mini.</t>
  </si>
  <si>
    <t xml:space="preserve">Sturdy tripod holds your camera phone steady </t>
  </si>
  <si>
    <t>Take shake-free photos with your camera phone</t>
  </si>
  <si>
    <t>With tripod and timer, you can get yourself into the picture</t>
  </si>
  <si>
    <t>Attaches using the same standard attachments that hold cell phones to belts</t>
  </si>
  <si>
    <t xml:space="preserve">The Pedco Cellpod is a small yet sturdy tripod that easily attaches to any standard cell phone camera. The Cellpod swivels in different directions for proper photo framing and uses the same standard attachments that people use to hold their cell phone to their belts. Cellpod weighs just two ounces and fits easily in the palm of a hand. It is small enough to be stored in a pocket, purse, briefcase or backpack.  It is also ideal for holding a cell phone for speaker phone usage.  </t>
  </si>
  <si>
    <t>Pedco Cellpod - Camera Phone Tripod</t>
  </si>
  <si>
    <t>054269000134</t>
  </si>
  <si>
    <t>016869131182</t>
  </si>
  <si>
    <t>P-UMOUNT-STD</t>
  </si>
  <si>
    <t>016869030201</t>
  </si>
  <si>
    <t>The Pedco UltraMount is designed to attach to any tripod, or other device that has a standard mounting thread.  Once in place, it allows you to attach a Camera, GPS, or other device and angle it in any possible direction.  The ball head swivels 360 degrees, and the clamp can rotate 180 degrees.  The UltraMount will hold nearly any device, and gives additional functionality to your tools.</t>
  </si>
  <si>
    <t>Strong steel bottle holds 750 ml (25 oz) of water</t>
  </si>
  <si>
    <t>054269000219</t>
  </si>
  <si>
    <t>054269000226</t>
  </si>
  <si>
    <t>ClipCap for Sigg Bottles</t>
  </si>
  <si>
    <t>ClipCap for Klean Kanteen Bottles</t>
  </si>
  <si>
    <t>DJ-CAP-KK</t>
  </si>
  <si>
    <t>DJ-CAP-SG</t>
  </si>
  <si>
    <t>P-CELLPOD</t>
  </si>
  <si>
    <t>Replaces the standard ball head on Ultrapod 1 (UP1) and Ultrapod Minis</t>
  </si>
  <si>
    <t>Quickly attach Cameras, Camera Phones, GPS, etc.</t>
  </si>
  <si>
    <t>Includes button to attach to camera phone or other device</t>
  </si>
  <si>
    <t>7323.93.80</t>
  </si>
  <si>
    <t>easy-slide glass chimney creates a windproof environment for the candle</t>
  </si>
  <si>
    <t>Flavor Fountain</t>
  </si>
  <si>
    <t>f-ff-4pk</t>
  </si>
  <si>
    <t>023535968003</t>
  </si>
  <si>
    <t>Flavor Fountain 4 pack</t>
  </si>
  <si>
    <t xml:space="preserve">Not a syrup. Not an ice cream topping. Flavor Fountain puts the flavoring secrets of major ice cream manufacturers into the hands of home consumers!  Turn plain vanilla recipes into a variety of tasty treats.  Flavors Ice Cream, shakes, smoothies, even diet and nutritional drinks!  LorAnn’s exclusive line of flavorings especially formulated for home-made ice cream, shakes and smoothies. Suitable for use in blenders, smoothie makers and ice cream makers of all types.Each 1.7 oz. bottle flavors 3 quarts of ice cream or 10 shakes. </t>
  </si>
  <si>
    <t xml:space="preserve">Flavors Ice Cream, shakes, smoothies, even diet and nutritional drinks.  </t>
  </si>
  <si>
    <t xml:space="preserve">A perfect match for the Play and Freeze Ice Cream Maker.  </t>
  </si>
  <si>
    <t xml:space="preserve">Each 1.7oz bottle will flavor 3 quarts of ice cream or 10 shakes.  </t>
  </si>
  <si>
    <t>Unsweetened, concentrated, kosher, and non-allergenic.</t>
  </si>
  <si>
    <t xml:space="preserve">Professional Quality for the Home Kitchen.  </t>
  </si>
  <si>
    <t>054269801007</t>
  </si>
  <si>
    <t>054269801403</t>
  </si>
  <si>
    <t>054269801502</t>
  </si>
  <si>
    <t>054269801304</t>
  </si>
  <si>
    <t>054269801205</t>
  </si>
  <si>
    <t>054269801106</t>
  </si>
  <si>
    <t>054269803001</t>
  </si>
  <si>
    <t>054269803506</t>
  </si>
  <si>
    <t>054269803407</t>
  </si>
  <si>
    <t>054269803704</t>
  </si>
  <si>
    <t>054269803100</t>
  </si>
  <si>
    <t>054269803308</t>
  </si>
  <si>
    <t>054269803209</t>
  </si>
  <si>
    <t>Play and Freeze Ice Cream Maker (The Ice Cream Ball), Blue</t>
  </si>
  <si>
    <t>MEGA Play and Freeze Ice Cream Maker (The Quart Ice Cream Ball), Blue</t>
  </si>
  <si>
    <t>Blue</t>
  </si>
  <si>
    <t>Green</t>
  </si>
  <si>
    <t>Orange</t>
  </si>
  <si>
    <t>Pink</t>
  </si>
  <si>
    <t>Purple</t>
  </si>
  <si>
    <t>Red</t>
  </si>
  <si>
    <t>054269100360</t>
  </si>
  <si>
    <t>054269100339</t>
  </si>
  <si>
    <t>UCO 9-Hour Candles, 3-Pack for Candle Lanterns</t>
  </si>
  <si>
    <t>Mightylite XL - LED Torch and Lantern - Red</t>
  </si>
  <si>
    <t>Mightylite MINI - LED Torch and Lantern - Green</t>
  </si>
  <si>
    <t>S-SP-L-Bulk</t>
  </si>
  <si>
    <t>Green Metalic</t>
  </si>
  <si>
    <t>Silver Metalic</t>
  </si>
  <si>
    <t>MealKit Harness</t>
  </si>
  <si>
    <t>Weighs 1.6 oz.</t>
  </si>
  <si>
    <t>Fits larger digital cameras</t>
  </si>
  <si>
    <t>MT-SM*</t>
  </si>
  <si>
    <t>Stormproof Matches</t>
  </si>
  <si>
    <t>DJ-SSB*</t>
  </si>
  <si>
    <t>Stainless Steel, Clip Cap Bottles</t>
  </si>
  <si>
    <t>DAJO Survivor Knife</t>
  </si>
  <si>
    <t>Designed for Left-handed use, the Spork Lefty is reversed from the Original design for more effective and comfortable use.</t>
  </si>
  <si>
    <t>3 piece package of Spork Little from the Swedish firm Light My Fire.</t>
  </si>
  <si>
    <t>Designed for children, both a spoon and a fork are available on the Spork</t>
  </si>
  <si>
    <t>Swedish Firesteel - Barbeque Model Oak</t>
  </si>
  <si>
    <t>Sage</t>
  </si>
  <si>
    <t>S-SPICEBOX-PLEXI</t>
  </si>
  <si>
    <t>ASST</t>
  </si>
  <si>
    <t>This kit includes an Aluminum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</si>
  <si>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Red Candlelier, a 3-pack of candles, and a padded bag.</t>
  </si>
  <si>
    <t>This kit includes a Red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</si>
  <si>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Green Candlelier, a 3-pack of candles, and a padded bag.</t>
  </si>
  <si>
    <t>016869110262</t>
  </si>
  <si>
    <t>016869110231</t>
  </si>
  <si>
    <t>016869110248</t>
  </si>
  <si>
    <t>016869020103</t>
  </si>
  <si>
    <t>Extremely lightweight and compact with sturdy fold-out legs.</t>
  </si>
  <si>
    <t>Unique ball and socket camera mount assembly for easy adjustment.</t>
  </si>
  <si>
    <t>Strong Velcro strap allows attachment to posts, tree limbs, railings, pack frames, or any similar sturdy object.</t>
  </si>
  <si>
    <t>Weighs only 1.7 oz.  Folds to 4" for easy packing.</t>
  </si>
  <si>
    <t>Also available in Orange and Yellow.  Made in the USA.</t>
  </si>
  <si>
    <t>N/A</t>
  </si>
  <si>
    <t>TARIFF CODE</t>
  </si>
  <si>
    <t>3924.10.40</t>
  </si>
  <si>
    <t>9405.50</t>
  </si>
  <si>
    <t>3406.00</t>
  </si>
  <si>
    <t>3302.10</t>
  </si>
  <si>
    <t>9006.91</t>
  </si>
  <si>
    <t>Silver</t>
  </si>
  <si>
    <t>016869120209</t>
  </si>
  <si>
    <t>The UltraPod II Digital is a larger version of the popular UltraPod I and is an excellent platform for camcorders, spotting scopes, medium format cameras, and 35 mm cameras with larger lenses.  The UltraPod II Digital is made of high quality glass-filled Nylon and aluminum threaded components ready to provide years of support for the most demanding photographer. The system can stand on fold-out, no-slip feet, or attach to solid objects with a Velcro strap.  A unique ball and socket camera mount assembly adjusts to multiple positions quickly and easily. Swiftly folds to a compact 7” packages and weighs only 4 oz.</t>
  </si>
  <si>
    <t>ClipCap helps you to to easily attach your Sigg water bottle to a backpack, belt loop, or anything else.  ClipCap is BPA-free, and made from durable, food-grade materials.  Dishwaster safe.</t>
  </si>
  <si>
    <t>Clip cap removes the need for a caribiner on your bottle</t>
  </si>
  <si>
    <t>Attach your water bottle to belt loops, backpacks, anything</t>
  </si>
  <si>
    <t>Dishwasher safe</t>
  </si>
  <si>
    <t>ClipCap helps you to to easily attach your Klean Kanteen Classic water bottle to a backpack, belt loop, or anything else.  ClipCap is BPA-free, and made from durable, food-grade materials.  Dishwaster safe.</t>
  </si>
  <si>
    <t>ML-FLIP</t>
  </si>
  <si>
    <t>DJ-SSB600</t>
  </si>
  <si>
    <t>DJ-SURVIVOR</t>
  </si>
  <si>
    <t xml:space="preserve">Great for medication </t>
  </si>
  <si>
    <t>s-ffork</t>
  </si>
  <si>
    <t>Grandpa's FireFork</t>
  </si>
  <si>
    <t>Code</t>
  </si>
  <si>
    <t>Description</t>
  </si>
  <si>
    <t>Tariff Code</t>
  </si>
  <si>
    <t>Completely safe materials - non-leaching, BPA free, no chemical coating</t>
  </si>
  <si>
    <t>Bottle comes with a caribiner style clip cap</t>
  </si>
  <si>
    <t>Strong steel bottle holds 600 ml (20 oz) of water</t>
  </si>
  <si>
    <t>NAVY</t>
  </si>
  <si>
    <t>Strong steel bottle holds 1000 ml (34 oz) of water</t>
  </si>
  <si>
    <t>600ml Stainless Steel Bottle with Carabiner Clip Cap</t>
  </si>
  <si>
    <t>750ml Stainless Steel Bottle with Carabiner Clip Cap</t>
  </si>
  <si>
    <t>1000ml Stainless Steel Bottle with Carabiner Clip Cap</t>
  </si>
  <si>
    <t>Light My Fire Spork Bulk - Assorted</t>
  </si>
  <si>
    <t>GREENMET</t>
  </si>
  <si>
    <t>GREY</t>
  </si>
  <si>
    <t>PASBEIGE</t>
  </si>
  <si>
    <t>PASBLUE</t>
  </si>
  <si>
    <t>PASGREEN</t>
  </si>
  <si>
    <t>PASPINK</t>
  </si>
  <si>
    <t>PURPLEMET</t>
  </si>
  <si>
    <t>RUSTMET</t>
  </si>
  <si>
    <t>SILVERMET</t>
  </si>
  <si>
    <t>TRANSP</t>
  </si>
  <si>
    <t>TRN-BLUE</t>
  </si>
  <si>
    <t>TRN-GREEN</t>
  </si>
  <si>
    <t>TRN-ORANGE</t>
  </si>
  <si>
    <t>TRN-PINK</t>
  </si>
  <si>
    <t>WHITE</t>
  </si>
  <si>
    <t>Light My Fire Spork Bulk - Black</t>
  </si>
  <si>
    <t>Light My Fire Spork Bulk - Blue</t>
  </si>
  <si>
    <t>Light My Fire Spork Bulk - Dark Green</t>
  </si>
  <si>
    <t>Light My Fire Spork Bulk - Green</t>
  </si>
  <si>
    <t>Light My Fire Spork Bulk - Green Metallic</t>
  </si>
  <si>
    <t>Light My Fire Spork Bulk - Grey</t>
  </si>
  <si>
    <t>Light My Fire Spork Bulk - Orange</t>
  </si>
  <si>
    <t>Light My Fire Spork Bulk - Passion Beige</t>
  </si>
  <si>
    <t>Light My Fire Spork Bulk - Passion Blue</t>
  </si>
  <si>
    <t>Light My Fire Spork Bulk - Passion Green</t>
  </si>
  <si>
    <t>Light My Fire Spork Bulk - Passion Pink</t>
  </si>
  <si>
    <t>Light My Fire Spork Bulk - Pink</t>
  </si>
  <si>
    <t>Light My Fire Spork Bulk - Purple Metallic</t>
  </si>
  <si>
    <t>Light My Fire Spork Bulk - Red</t>
  </si>
  <si>
    <t>Light My Fire Spork Bulk - Rust Metallic</t>
  </si>
  <si>
    <t>Light My Fire Spork Bulk - Silver Metallic</t>
  </si>
  <si>
    <t>Light My Fire Spork Bulk - Transparent</t>
  </si>
  <si>
    <t>Light My Fire Spork Bulk - Transparent Blue</t>
  </si>
  <si>
    <t>Light My Fire Spork Bulk - Transparent Green</t>
  </si>
  <si>
    <t>Light My Fire Spork Bulk - Transparent Orange</t>
  </si>
  <si>
    <t>Light My Fire Spork Bulk - Transparent Pink</t>
  </si>
  <si>
    <t>Light My Fire Spork Bulk - White</t>
  </si>
  <si>
    <t>Light My Fire Spork Bulk - Yellow</t>
  </si>
  <si>
    <t>Green Metallic</t>
  </si>
  <si>
    <t>Passion Beige</t>
  </si>
  <si>
    <t>Passion Blue</t>
  </si>
  <si>
    <t>Passion Green</t>
  </si>
  <si>
    <t>Passion Pink</t>
  </si>
  <si>
    <t>Purple Metallic</t>
  </si>
  <si>
    <t>Rust Metallic</t>
  </si>
  <si>
    <t>Silver Metallic</t>
  </si>
  <si>
    <t>Transparent Blue</t>
  </si>
  <si>
    <t>Transparent Green</t>
  </si>
  <si>
    <t>Transparent Orange</t>
  </si>
  <si>
    <t>Transparent Pink</t>
  </si>
  <si>
    <t>This is one magnificent spork from the Swedish firm Light My Fire.  Unpackaged.</t>
  </si>
  <si>
    <t>DKGRN</t>
  </si>
  <si>
    <t>S-SP-BULK-T</t>
  </si>
  <si>
    <t>White</t>
  </si>
  <si>
    <t>GRNMET</t>
  </si>
  <si>
    <t>NAVYBLUE</t>
  </si>
  <si>
    <t>You don't have to eat like an animal just because you happen to be dining outdoors. Not when you take along the ingeniously portable, incredibly versatile, spillproof and functional Outdoor Meal Kit. Our one-of-a-kind Meal Kit makes it easy to prepare, clean-up and enjoy the great taste of every campfire meal. Designed especially for Light My Fire by Scandinavian designer Joachim Nordwall, our MealKit Deluxe is perfect for your backpack, boat, picnic basket, even your lunch box. The Meal Kit contains everything you need to prepare and eat a meal anytime, anywhere: two plates, a spill-free cup with lid (300ml), a combined colander and cutting board, a "spork" (combined spoon and serrated fork) and a small waterproof box for all those things that just have to stay dry.  Also included is a SpiceBox with three compartments, and a harness that holds the whole kit together and lets you clip it to your backpack.  The spork is made of a tough and durable Tritan material and the rest is made of PP (polypropylene), an environmentally-friendly plastic.  The whole MealKit is BPA free.</t>
  </si>
  <si>
    <t>Blue,White,TransBlue</t>
  </si>
  <si>
    <t>Pink,White,TransPink</t>
  </si>
  <si>
    <t>S-SP-LITTLE-BLIS-T</t>
  </si>
  <si>
    <t>LIMEGREEN</t>
  </si>
  <si>
    <t>S-SP-LITTLE-BULK-T</t>
  </si>
  <si>
    <t>S-SP-LITTLE-PLEXI-T</t>
  </si>
  <si>
    <t>S-SP-LITTLE-SPLEXI-T</t>
  </si>
  <si>
    <t>This kit includes a Blue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</si>
  <si>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Yellow Candlelier, a 3-pack of candles, and a padded bag.</t>
  </si>
  <si>
    <t>s-cup</t>
  </si>
  <si>
    <t>This is a package of one magnificent spork from the Swedish firm Light My Fire.</t>
  </si>
  <si>
    <t>Grandpa's FireFork attaches easily to any stick found near your campfire. Just squeeze the ends and slide it onto the stick. Once it is attached, just place a marshmallow, hotdog, or whatever you want to cook on the prongs. Once you are done, place the prongs back in the protective cover, and the mess is contained.</t>
  </si>
  <si>
    <t>016869010203</t>
  </si>
  <si>
    <t>836514009181</t>
  </si>
  <si>
    <t>7Cr17MoWV Stainless Steel with full tang design to provide strength</t>
  </si>
  <si>
    <t>Included sheath attaches vertically or horizontally</t>
  </si>
  <si>
    <t>This Value Pack includes the UCO Original Candle Lantern plus LED, an extra 3-pack of long-burning UCO candles, and a protective fleece bag.  The lantern is the manufacturer's upgrade to the classic, long-burning collapsible candle lantern that has provided warm natural light to thousands of outdoor enthusiasts for decades.  It is perfectly suited to backpacking, mountaineering, snow camping and similar outdoor pursuits, as well as providing convenient emergency backup lighting.  The Original Candle Lantern plus LED utilizes one UCO 9-hour candle, surrounding it in the safest, most efficient lantern housing available anywhere.  The spring powered candle tube pushes the candle up as it burns, keeping the flame burning at a constant height.  A viewing slot allows the user to monitor the remaining burn time of the slow-burning candle.  It also includes a removable LED disc which snaps into the base of your lantern.  The LED can be used as a flashlight or to add additional light to the glow from your candle.  The LED also works as a pocket light or a self-standing table lamp.  The LED batteries last up to 40 hours.  Made in the USA.</t>
  </si>
  <si>
    <t>Glass chimney creates a windproof environment</t>
  </si>
  <si>
    <t>Includes twist lock base plus carrying handle</t>
  </si>
  <si>
    <t>S-SP-4PACK-T</t>
  </si>
  <si>
    <t>RED</t>
  </si>
  <si>
    <t>BLUE</t>
  </si>
  <si>
    <t>GREEN</t>
  </si>
  <si>
    <t>YELLOW</t>
  </si>
  <si>
    <t>PINK</t>
  </si>
  <si>
    <t>ORANGE</t>
  </si>
  <si>
    <t>S-SP-4PACK</t>
  </si>
  <si>
    <t>S-SP-BLISTER</t>
  </si>
  <si>
    <t>S-SP-BULK</t>
  </si>
  <si>
    <t>S-FSS3-BS</t>
  </si>
  <si>
    <t>S-FSBB-RDBS</t>
  </si>
  <si>
    <t>S-FSAR-BLISTER</t>
  </si>
  <si>
    <t>S-FSSC-BLISTER</t>
  </si>
  <si>
    <t>OAK</t>
  </si>
  <si>
    <t>BLACK</t>
  </si>
  <si>
    <t>F-ICE-STD</t>
  </si>
  <si>
    <t>F-ICEQ-STD</t>
  </si>
  <si>
    <t>S-FSMN-BLISTER</t>
  </si>
  <si>
    <t>S-FFORK-BLIS</t>
  </si>
  <si>
    <t>S-FFORK-4PACK</t>
  </si>
  <si>
    <t>S-CUP</t>
  </si>
  <si>
    <t>Swedish FireSteel Mini is included - gives 5500 degree sparks to start fires</t>
  </si>
  <si>
    <t>Textured G-10 grip is strong and easy to hold</t>
  </si>
  <si>
    <t>Whistle included for signaling</t>
  </si>
  <si>
    <t>The DAJO Adventure Gear Survivor is designed to be a lightweight minimalist survival knife.  Its compact design makes it easy to carry with you, while its unique set of features makes it an invaluable tool.  Made from 7Cr17MoWV stainless steel at 57 HRC, the Survivor features full tang construction with grippy G-10 scales.  The handle has strategically placed holes allowing the knife to be lashed to a stick and form a spear.  The included sheath has 5 feet of cord included to help fashion the spear, or for any other purpose you have.  Attaching the sheath is easy, and the Survivor can attach either vertically or horizontally.  The sheath also features a small pouch to hold additional survival tools.  Included in the pouch is a Light My Fire FireSteel Mini, which is capable of producing 5500 degree sparks to light a fire.  Also included is a whistle.  The DAJO Survivor won't save your life, but it will help you save your own.  Enjoy your next adventure.</t>
  </si>
  <si>
    <t xml:space="preserve">DAJO Adventure Gear's stainless steel water bottles offer a perfectly clean, non-leaching alternative to plastic bottles. The DAJO stainless steel bottles are constructed to take a beating while still being light weight. The bottle is designed to fit most cup holders and pack pockets. They are easy to clean by hand or in the dishwasher. The narrow mouth design is large enough to facilitate cleaning and fits ice cubes.  The unique ClipCap loop top makes our stainless steel bottle easy to clip to a carabiner, pack, bag, almost anything!  The BPA free ClipCap is made from polypropylene and features a wide pitch thread design which helps to prevent cross threading and is fast to remove and replace. </t>
  </si>
  <si>
    <t>s-mk-Asst</t>
  </si>
  <si>
    <t>Light My Fire Outdoor MealKit - Assorted</t>
  </si>
  <si>
    <t>Each package contains around 6 sticks.</t>
  </si>
  <si>
    <t>TinderDust has up to 80% resin content, is easy to light and produces an extremely hot flame.</t>
  </si>
  <si>
    <t>P-UCA25</t>
  </si>
  <si>
    <t>Weighs only 6.5 oz.</t>
  </si>
  <si>
    <t>Utilizes the UltraMount ball and socket head for quick and easy adjustment of camera, binocular, or scope position.</t>
  </si>
  <si>
    <t>Clamps on to anything from 1" to 2.5" in width - fences, railings, rollbars and tables</t>
  </si>
  <si>
    <t>The UltraClamp Assembly 2.5" allows a camera to be solidly attached to a rollbar, fence, table, or railing. Strong enough for any camera or camcorder, the UltraClamp Assembly 2.5" attaches to round or flat objects from 1" to 2.5" thick. The UltraClamp Assembly 2.5" utilizes the same ball and socket mount found on UltraPods to allow the camera maximum flexibility in framing the subject. Weighs 6.5 oz. and measures 4.0" x 5.5".</t>
  </si>
  <si>
    <t>Environmentally-friendly PP plastic, BPA-free</t>
  </si>
  <si>
    <t xml:space="preserve">DAJO Adventure Gear's stainless steel water bottles offer a perfectly clean, non-leaching alternative to plastic bottles. The DAJO stainless steel bottles are constructed to take a beating while still being light weight. The bottle is designed to fit most cup holders, pack pockets, and the 650 ml size will fit most bicycle water bottle cages. They are easy to clean by hand or in the dishwasher. The narrow mouth design is large enough to facilitate cleaning and fits ice cubes.  The unique ClipCap loop top makes our stainless steel bottle easy to clip to a carabiner, pack, bag, almost anything!  The BPA free ClipCap is made from polypropylene and features a wide pitch thread design which helps to prevent cross threading and is fast to remove and replace. </t>
  </si>
  <si>
    <t>8211.92.40</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</si>
  <si>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t>
  </si>
  <si>
    <t>The Light My Fire Spork Little has been designed from the ground up for infants and toddlers. The Spork Little is not only smaller, it’s thicker and rounder for ease of use and safety. The serrated edges have also been removed to protect small mouths. Great to carry in your bag. Versatile enough for both a rugged camping trip and dishing out baby food at a city cafe.</t>
  </si>
  <si>
    <t>The 600 million left-handed people in the world now have a Spork to call their own. Spork Lefty has the same sleek Scandinavian curves, ruggedness and versatility as the original Spork, only now specially designed to be used left-handed.</t>
  </si>
  <si>
    <t>Spork Little - Small Plexi+24 pcs 3-Pack - Tritan - Asst, Village</t>
  </si>
  <si>
    <t>Fire building made easy, the pure and natural way. Don't build your fire with noxious fumes or harmful chemicals. Use the time-honored, organic method. A technique that resembles the centuries-old art of the native fire-builder. From the heart of the ancient Mayan Empire comes the remarkable product known as TinderDust.  TinderDust is made from Pino de Ocote, a fatwood pine cultivated in the highlands of Guatemala and Mexico. With their 80% resin content, TinderDust is easy to light, and produces an extremely hot flame. Use just a pinch to quickly light your fire or BBQ.</t>
  </si>
  <si>
    <t>TinderDust/TinderSticks</t>
  </si>
  <si>
    <t>054269200800</t>
  </si>
  <si>
    <t>054269200602</t>
  </si>
  <si>
    <t>054269200701</t>
  </si>
  <si>
    <t>054269200909</t>
  </si>
  <si>
    <t>054269200992</t>
  </si>
  <si>
    <t>054269100308</t>
  </si>
  <si>
    <t>The Pedco Wrap-Up XL Camera Case offers a new way to protect your digital camera.  It’s always on your camera so there’s no bulky case to lose.  It’s made of neoprene so it stretches to fit the camera like a glove and has a quick Velcro closure.  When you want to take a picture, you simply release the Velcro, take the picture, and pull the Wrap-Up around your camera again.  The Wrap-Up XL attaches to the tripod mounting screw on the bottom of your camera.  It is perfect for travel and the outdoors.  Un-wrap and shoot, wrap-up and go!</t>
  </si>
  <si>
    <t>P-MP-WRAPXL</t>
  </si>
  <si>
    <t>This kit includes a Green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</si>
  <si>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Blue Candlelier, a 3-pack of candles, and a padded bag.</t>
  </si>
  <si>
    <t>Sporks weigh only .3 ounces each!</t>
  </si>
  <si>
    <t>The perfectly designed outdoor utensil. Our spoon-fork-knife combo brings a bit of civilization to the wild and a bit of the wild to civilization. Designed especially for Light My Fire by Scandinavian designer Joachim Nordwall. The Serving Spork is perfect for your backpack, boat, picnic basket, kitchen, or barbeque. Bring a little convenience to your table.</t>
  </si>
  <si>
    <t>Heat resistant Polycarbonate material - doesn't melt in hot/boiling water</t>
  </si>
  <si>
    <t>Extremely durable and dishwasher safe</t>
  </si>
  <si>
    <t>Weighs only 1.1 ounces!</t>
  </si>
  <si>
    <t>Much larger than the original Spork, the Serving Spork is designed to help you prepare and serve your meals, wherever you may be.</t>
  </si>
  <si>
    <t>Weighs only .6 ounces!</t>
  </si>
  <si>
    <t>Slightly larger than the original Spork, the Spork XM lets you dig deeper, and better suits those with big hands.</t>
  </si>
  <si>
    <t>The perfectly designed outdoor eating utensil. Our spoon-fork-knife combo brings a bit of civilization to the wild and a bit of the wild to civilization. Designed especially for Light My Fire by Scandinavian designer Joachim Nordwall. The Spork XM is perfect for your backpack, boat, picnic basket, lunchbox, purse or briefcase.</t>
  </si>
  <si>
    <t>S-MK3PC-T</t>
  </si>
  <si>
    <t>Design by Joachim Nordwall, J. Nordwall Design, Sweden. 7.5"x7.5"x3". 8 oz.</t>
  </si>
  <si>
    <t>The lunchbox has remained unchanged for half a century an ugly metal box with a handle to carry your sandwich back and forth to school or work. Our customers wanted something different and we listened. The result is a slim triangular container that could be combined with our MealKit Harness for a new kind of LunchBox. Designed especially for Light My Fire by Scandinavian designer Joachim Nordwall, our LunchBox is perfect for your backpack. The LunchBox contains everything you need to eat a meal anytime, anywhere: A bowl, a plate, and a "spork" (combined spoon and serrated fork). The spork is made of a tough and durable material and the rest is made of PP (polypropylene), an environmentally-friendly plastic.  The whole kit is completely BPA-free.</t>
  </si>
  <si>
    <t>Serving Spork Bulk - Silver Metalic</t>
  </si>
  <si>
    <t>Serving Spork Bulk - Red</t>
  </si>
  <si>
    <t>Serving Spork Bulk - White</t>
  </si>
  <si>
    <t>Serving Spork Blister - Black</t>
  </si>
  <si>
    <t>Serving Spork Blister - Silver Metalic</t>
  </si>
  <si>
    <t>Serving Spork Blister - Red</t>
  </si>
  <si>
    <t>Spork XM Bulk - Green Metalic</t>
  </si>
  <si>
    <t>Spork XM Bulk - Orange</t>
  </si>
  <si>
    <t>Spork XM Bulk - Navy Blue</t>
  </si>
  <si>
    <t>Spork XM Bulk - Green</t>
  </si>
  <si>
    <t>Spork XM Bulk - Red</t>
  </si>
  <si>
    <t>Spork XM Bulk - Yellow</t>
  </si>
  <si>
    <t>Spork XM Blister - Green Metalic</t>
  </si>
  <si>
    <t>Spork XM Blister - Orange</t>
  </si>
  <si>
    <t>Spork XM Blister - Navy Blue</t>
  </si>
  <si>
    <t>Spork XM Blister - Green</t>
  </si>
  <si>
    <t>Replaces the standard ball head on UltraPod 2 (UP2) and UltraPod Digital</t>
  </si>
  <si>
    <t>The Pedco Quick Release Head easily replaces the original ball head on an UltraPod 2 or Digital, allowing simple and fast attaching of Cameras or other devices.  Camera clicks easily into the Quick Release with Camera Button screwed into camera.   The Quick Release also connects to Camera Phones using the universal "belt clip" button on your phone or phone case, or using the included button attached to the back of your phone or other device.  Requires an UltraPod 2 or Digital.</t>
  </si>
  <si>
    <t>The Mini is a modified, "made-for-fun" version of the UltraPod I. The same basic design, except the legs are slightly shorter and trimmed at an angle like the UltraPod II. It is molded in translucent "edge glow" polycarbonate resin, in vibrant orange, yellow, or blue, with metallic silver feet. The strap is colored Velcro "one wrap" and designed to be easily removable. This is designed to be a fun tripod for use with small digital cameras, web cams and more. Can also be used to mount remote flashes to light stands using the Velcro strap. This is a very sharp looking tripod and attracts the attention of everyone that sees it.  Weight: 1.7oz.</t>
  </si>
  <si>
    <t>Also available in Blue and Yellow.  Made in the USA.</t>
  </si>
  <si>
    <t>Also available in Orange and Blue.  Made in the USA.</t>
  </si>
  <si>
    <t>Made in the USA</t>
  </si>
  <si>
    <t>3924.10.1000</t>
  </si>
  <si>
    <t>8513.10.4000</t>
  </si>
  <si>
    <t>Lights even when wet.</t>
  </si>
  <si>
    <t>Environmentally friendly production.</t>
  </si>
  <si>
    <t>Easy to light and produces an extremely hot flame.</t>
  </si>
  <si>
    <t>s-md-bulk</t>
  </si>
  <si>
    <t>All natural - high resin content wood shavings.</t>
  </si>
  <si>
    <t>A spill-free cup with a lid to keep hot beverages warm and make it easy to drink even under difficult conditions such as aboard a boat. As practical in the city as in the great outdoors. The spill-free cup is big enough for soup, has measuring lines and floats.</t>
  </si>
  <si>
    <t>Holds over 300ml (1.25 cups) and includes measuring lines for 100ml, 200ml, and 300ml.</t>
  </si>
  <si>
    <t>Made from environmentally friendly polypropylene plastic.</t>
  </si>
  <si>
    <t>Microwave safe. Floats.</t>
  </si>
  <si>
    <t>Weighs just 65g (2.3 oz).</t>
  </si>
  <si>
    <t>Design by Joachim Nordwall, J. Nordwall Design, Sweden.</t>
  </si>
  <si>
    <t>Light My Fire Spork Blister - 288 (8x36) config</t>
  </si>
  <si>
    <t>Light My Fire Spork Blister - 144 (6x24) config</t>
  </si>
  <si>
    <t>Light My Fire Spork Blister - 240 (24x10) config</t>
  </si>
  <si>
    <t>s-sp-blister-asst10</t>
  </si>
  <si>
    <t>Helps prevent glass breakage.</t>
  </si>
  <si>
    <t>Also includes a removable LED disc which snaps into the base of the lantern.</t>
  </si>
  <si>
    <t>LED can be used as a flashlight or to provide additional light to the glow from your candle.</t>
  </si>
  <si>
    <t>This is a package of four (4) magnificent sporks from the Swedish firm Light My Fire.</t>
  </si>
  <si>
    <t>They are extremely durable and dishwasher safe.</t>
  </si>
  <si>
    <t>They weigh only .36 ounces each!</t>
  </si>
  <si>
    <t>Also available as part of the Light My Fire Mealkit.</t>
  </si>
  <si>
    <t>The perfectly designed outdoor eating utensil. Our spoon-fork-knife combo brings a bit of civilization to the wild and a bit of the wild to civilization. Designed especially for Light My Fire by Scandinavian designer Joachim Nordwall. The Spork is perfect for your backpack, boat, picnic basket, lunchbox, purse or briefcase.</t>
  </si>
  <si>
    <t>Oak</t>
  </si>
  <si>
    <t>Yellow</t>
  </si>
  <si>
    <t>Black</t>
  </si>
  <si>
    <t>Dark Green</t>
  </si>
  <si>
    <t>Assorted</t>
  </si>
  <si>
    <t>gr-1</t>
  </si>
  <si>
    <t>gr-fb</t>
  </si>
  <si>
    <t>l-a-std</t>
  </si>
  <si>
    <t>Industrial Revolution, Inc. was founded in Redmond, Washington as UCO Corporation in 1973.  UCO quickly became the world leader in production of candle lanterns with designs and accessories that were superior to all other available products.  Innovation has been a cornerstone of the company ever since.  We now offer a full line of U.S.-made candle lanterns including the Original, the Mini (which burns tealight candles) and the Candlelier (which burns three standard UCO candles).  In 2004 we began selling our new Play and Freeze Ice Cream Maker, a product spawned from the outdoor industry but which now delights children and adults everywhere.  In 2005, we became the exclusive U.S. Distributor for the Swedish Light My Fire product line.  We have now expanded our offerings to the outdoor, housewares and travel industries to include Grilliput, Swiss Spice and our MEGA Play &amp; Freeze.  We pride ourselves in offering top quality products.</t>
  </si>
  <si>
    <t>s-fssc-Red</t>
  </si>
  <si>
    <t>F-FF-36PACK</t>
  </si>
  <si>
    <t>Swedish Firesteel - Scout Model, Red Handle</t>
  </si>
  <si>
    <t>SeatPad-black</t>
  </si>
  <si>
    <t xml:space="preserve">Comfortable anti-slip pad that insulates against hot and cold. </t>
  </si>
  <si>
    <t>Use it anywhere, from mountain top to park bench, camping trip to concert or school outing.</t>
  </si>
  <si>
    <t>Use to insulate cans or cups, pad fragile items or as a pot holder</t>
  </si>
  <si>
    <t>S-SEATPAD</t>
  </si>
  <si>
    <t>Stretchable neoprene, water repellant.</t>
  </si>
  <si>
    <t>Light My Fire - SL3 Knife with Integrated Swedish Firesteel</t>
  </si>
  <si>
    <t>UPC - EAN</t>
  </si>
  <si>
    <t>FireSteel</t>
  </si>
  <si>
    <t>Sporks</t>
  </si>
  <si>
    <t>Mini</t>
  </si>
  <si>
    <t>Candlelier</t>
  </si>
  <si>
    <t>Candles</t>
  </si>
  <si>
    <t>30 or 60</t>
  </si>
  <si>
    <t>-</t>
  </si>
  <si>
    <t>Light My Fire Spork 4-Pack - Assorted (Blue, Red, Yellow, Green Apple)</t>
  </si>
  <si>
    <t>Light My Fire</t>
  </si>
  <si>
    <t>Durable - Scout model lasts 3000 strikes</t>
  </si>
  <si>
    <t>Produces a 3000°C (5,500°F) spark</t>
  </si>
  <si>
    <t>Works when wet</t>
  </si>
  <si>
    <t>Bright spark - can be used as emergency signal</t>
  </si>
  <si>
    <t>Available in several distinctive colors</t>
  </si>
  <si>
    <t>Firefork Plexi</t>
  </si>
  <si>
    <t>XM Plexi</t>
  </si>
  <si>
    <t>L Plexi</t>
  </si>
  <si>
    <t>Spork Plexi</t>
  </si>
  <si>
    <t>Based in Sweden, Light My Fire specializes in outdoor accessories that are as practical in the city as they are in the wild. From making fires to eating meals - our products have been taken to heart all over the world by both the backyard and the backwoods survivalist.</t>
  </si>
  <si>
    <t>DAJO Adventure Gear was founded on a simple principle: quality outdoor gear shouldn't cost a fortune. All of our products are designed with hiking and exploring in mind.  For us it's all about the adventure, but it's hard to have a good adventure if you have to work two jobs to afford gear. That's where we come in.  At DAJO Adventure Gear our mission is simple: offer great products, provide great service, and have great prices. So quit your second job and get out there. Take time to explore.</t>
  </si>
  <si>
    <t>054269121006</t>
  </si>
  <si>
    <t>054269121105</t>
  </si>
  <si>
    <t>054269121051</t>
  </si>
  <si>
    <t>054269121303</t>
  </si>
  <si>
    <t>054269121259</t>
  </si>
  <si>
    <t>054269121358</t>
  </si>
  <si>
    <t>B-LTN-STD</t>
  </si>
  <si>
    <t/>
  </si>
  <si>
    <t>F-FF-4PK</t>
  </si>
  <si>
    <t>F-FF-BOTTLE</t>
  </si>
  <si>
    <t>S-SP-L-BULK</t>
  </si>
  <si>
    <t>S-SP-L-BLISTER</t>
  </si>
  <si>
    <t>S-SP-XM-BULK</t>
  </si>
  <si>
    <t>S-SP-XM-BLISTER</t>
  </si>
  <si>
    <t>S-SP-L-PLEXI</t>
  </si>
  <si>
    <t>S-SP-PLEXI</t>
  </si>
  <si>
    <t>S-MD-BULK</t>
  </si>
  <si>
    <t>S-MSTICKS</t>
  </si>
  <si>
    <t>L-A-STD</t>
  </si>
  <si>
    <t>L-B-STD</t>
  </si>
  <si>
    <t>A-A-STD</t>
  </si>
  <si>
    <t>D-A-STD</t>
  </si>
  <si>
    <t>D-B-STD</t>
  </si>
  <si>
    <t>D-A-VP</t>
  </si>
  <si>
    <t>D-B-VP</t>
  </si>
  <si>
    <t>C-A-STD</t>
  </si>
  <si>
    <t>L-CAN3PK</t>
  </si>
  <si>
    <t>L-CAN3PK-B</t>
  </si>
  <si>
    <t>L-CAN3PK-C</t>
  </si>
  <si>
    <t>C-BAG-CO</t>
  </si>
  <si>
    <t>C-BAG-DK</t>
  </si>
  <si>
    <t>L-OILINSERT</t>
  </si>
  <si>
    <t>P-UP1-BK-STD</t>
  </si>
  <si>
    <t>P-UP2-BK-STD</t>
  </si>
  <si>
    <t>P-UP2D-STD</t>
  </si>
  <si>
    <t>Light My Fire Spork 4-Pack - Happy (Transparent Colors)</t>
  </si>
  <si>
    <t>Happy Assortment</t>
  </si>
  <si>
    <t>P-CELLPODv1</t>
  </si>
  <si>
    <t>054269000233</t>
  </si>
  <si>
    <t>Sturdy tripod securely holds your iPhone or other smart phone at any angle</t>
  </si>
  <si>
    <t>Tripod is made of durable glass-filled nylon with brass and aluminum parts</t>
  </si>
  <si>
    <t>Remove clamp head to use as mini tripod for digital camera or other devices</t>
  </si>
  <si>
    <t>Velcro strap allows CellPod to be attached to rails, limbs, anything</t>
  </si>
  <si>
    <t>The Pedco CellPod is a small yet sturdy tripod that easily holds iPhones or other smartphones.  It's perfect for watching a movie while traveling, stabilizing a photo, and elegantly holding your phone at home or the office.  The CellPod swivels in every direction to allow any viewing angle.  Cellpod weighs three ounces and fits easily in the palm of a hand.  It is small enough to be stored in a pocket, purse, briefcase or backpack.</t>
  </si>
  <si>
    <t xml:space="preserve">Light My Fire Mayadust </t>
  </si>
  <si>
    <t>Apple Green</t>
  </si>
  <si>
    <t>3924.10.4000</t>
  </si>
  <si>
    <t>up-1</t>
  </si>
  <si>
    <t xml:space="preserve">Pedco UltraPod </t>
  </si>
  <si>
    <t>s-lunchbox</t>
  </si>
  <si>
    <t>s-ffork-plexi</t>
  </si>
  <si>
    <t>s-sp-xm-plexi</t>
  </si>
  <si>
    <t>s-sp-l-plexi</t>
  </si>
  <si>
    <t>s-sp-plexi</t>
  </si>
  <si>
    <t>The ball is approximately 8" in diameter.  It weighs about 2 lbs when empty and 7 lbs when full.</t>
  </si>
  <si>
    <t>Makes one pint of ice cream in about 20 minutes.</t>
  </si>
  <si>
    <t>The ball is approximately 9" in diameter and makes a quart of ice cream in about 30 minutes.  It weighs about 3 lbs when empty and 9 lbs when full.</t>
  </si>
  <si>
    <t>Design by Martin Pråme</t>
  </si>
  <si>
    <t>Light My Fire’s new SeatPad is a simple solution to a number of annoying little problems such as hard, cold, warm, wet and slippery. Made of stretchable waterrepellant neoprene, the SeatPad insulates against both hot and cold while providing a comfortable non-slip seat from mountaintop to park bench, from camping trip to concert, from school outing to changing a flat. Includes rubber cord and hook for folding and easy hanging.</t>
  </si>
  <si>
    <t>LED flips to switch between lantern and flashlight modes</t>
  </si>
  <si>
    <t>Super bright CREE LED gives off 185 Lumens</t>
  </si>
  <si>
    <t>3 modes - Bright, low, and strobe</t>
  </si>
  <si>
    <t>25 hour run-time on high</t>
  </si>
  <si>
    <t>4 Duracell AA batteries included</t>
  </si>
  <si>
    <t>S-SP-BLISTER-T</t>
  </si>
  <si>
    <t>S-MK-BLISTER-T</t>
  </si>
  <si>
    <t>S-SP-PLEXI-T</t>
  </si>
  <si>
    <t>S-SP-SMALLPLEXI</t>
  </si>
  <si>
    <t>S-SP-SMALLPLEXI-T</t>
  </si>
  <si>
    <t>S-FFORK-SMALLPLEXI</t>
  </si>
  <si>
    <t>S-SP-TITANIUM</t>
  </si>
  <si>
    <t>l-can3pk</t>
  </si>
  <si>
    <t>UCO</t>
  </si>
  <si>
    <t>054269100209</t>
  </si>
  <si>
    <t>054269101008</t>
  </si>
  <si>
    <t>054269101053</t>
  </si>
  <si>
    <t>054269101107</t>
  </si>
  <si>
    <t>054269101152</t>
  </si>
  <si>
    <t>054269101305</t>
  </si>
  <si>
    <t>054269100254</t>
  </si>
  <si>
    <t>UCO Original Candle Lantern, Aluminum</t>
  </si>
  <si>
    <t>054269100650</t>
  </si>
  <si>
    <t>054269111007</t>
  </si>
  <si>
    <t>054269111106</t>
  </si>
  <si>
    <t>054269111205</t>
  </si>
  <si>
    <t>054269111304</t>
  </si>
  <si>
    <t>054269111403</t>
  </si>
  <si>
    <t>054269100759</t>
  </si>
  <si>
    <t>054269103200</t>
  </si>
  <si>
    <t>054269103002</t>
  </si>
  <si>
    <t>054269103101</t>
  </si>
  <si>
    <t>054269103057</t>
  </si>
  <si>
    <t>054269103156</t>
  </si>
  <si>
    <t>054269103354</t>
  </si>
  <si>
    <t>054269301002</t>
  </si>
  <si>
    <t>054269302108</t>
  </si>
  <si>
    <t>054269302153</t>
  </si>
  <si>
    <t>054269302207</t>
  </si>
  <si>
    <t>054269302252</t>
  </si>
  <si>
    <t>054269302122</t>
  </si>
  <si>
    <t>054269303006</t>
  </si>
  <si>
    <t>Outdoor</t>
  </si>
  <si>
    <t>REI Storm Proof Matches, 2 boxes, 50 matches</t>
  </si>
  <si>
    <t>Will not soften at higher temperatures.</t>
  </si>
  <si>
    <t>Spork is an all in one utensil that won't scratch cookware.</t>
  </si>
  <si>
    <t>054269304003</t>
  </si>
  <si>
    <t>054269305109</t>
  </si>
  <si>
    <t>054269305154</t>
  </si>
  <si>
    <t>054269305208</t>
  </si>
  <si>
    <t>054269305253</t>
  </si>
  <si>
    <t>054269305307</t>
  </si>
  <si>
    <t>054269306007</t>
  </si>
  <si>
    <t>054269200305</t>
  </si>
  <si>
    <t>054269200107</t>
  </si>
  <si>
    <t>054269200206</t>
  </si>
  <si>
    <t>054269200404</t>
  </si>
  <si>
    <t>054269200503</t>
  </si>
  <si>
    <t>054269000004</t>
  </si>
  <si>
    <t>054269000011</t>
  </si>
  <si>
    <t>054269000028</t>
  </si>
  <si>
    <t>Pedco Wrap, Jumbo, Black</t>
  </si>
  <si>
    <t>Ultrapod Micro</t>
  </si>
  <si>
    <t>P-MP-UP-MICRO</t>
  </si>
  <si>
    <t>Wrap and Ultrapod-Micro Combination</t>
  </si>
  <si>
    <t>P-MP-COMBO</t>
  </si>
  <si>
    <t>Chrome</t>
  </si>
  <si>
    <t>Navy</t>
  </si>
  <si>
    <t>PEDCO</t>
  </si>
  <si>
    <t>DJ-SSB750</t>
  </si>
  <si>
    <t>DJ-SSB1000</t>
  </si>
  <si>
    <t>Redhawk</t>
  </si>
  <si>
    <t>Navy Blue</t>
  </si>
  <si>
    <t>DkGrn</t>
  </si>
  <si>
    <t>Asst</t>
  </si>
  <si>
    <t>Asst10pk</t>
  </si>
  <si>
    <t>Asst36pk</t>
  </si>
  <si>
    <t>Swedish Firesteel - Barbeque Model Red</t>
  </si>
  <si>
    <t>054269000196</t>
  </si>
  <si>
    <t>Weighs only 4 oz.  Folds to 7" for easy packing.</t>
  </si>
  <si>
    <t>Made in the USA.</t>
  </si>
  <si>
    <t>The UltraPod II is a larger version of the popular UltraPod I and is an excellent platform for camcorders, spotting scopes, medium format cameras, and 35 mm cameras with larger lenses.  The UltraPod II is made of high quality glass-filled Nylon and aluminum threaded components ready to provide years of support for the most demanding photographer. The system can stand on fold-out, no-slip feet, or attach to solid objects with a Velcro strap.  A unique ball and socket camera mount assembly adjusts to multiple positions quickly and easily. Swiftly folds to a compact 7” packages and weighs only 4 oz.</t>
  </si>
  <si>
    <t>L-BAG-CO</t>
  </si>
  <si>
    <t>Mini and Original Neoprene Cocoon - Blue</t>
  </si>
  <si>
    <t xml:space="preserve">The UCO FLIP is a flashlight, lantern, and signal strobe all in one.  The LED flips to switch between lantern and flashlight modes, and gives 25 hours of light on the top setting.  With the lower setting or strobe, burn time is even longer.  Batteries are included, and the Flip features a tough aluminum housing.   </t>
  </si>
  <si>
    <t>UCO Flip Lantern - Green</t>
  </si>
  <si>
    <t>Clear</t>
  </si>
  <si>
    <t>D-RETRO</t>
  </si>
  <si>
    <t>054269307004</t>
  </si>
  <si>
    <t>C-REF</t>
  </si>
  <si>
    <t>054269201050</t>
  </si>
  <si>
    <t>016869140207</t>
  </si>
  <si>
    <t>L-REPAIRKIT</t>
  </si>
  <si>
    <t>A-GL-REP</t>
  </si>
  <si>
    <t>L-GL-UCO</t>
  </si>
  <si>
    <t>C-GL-REP</t>
  </si>
  <si>
    <t>054269101350</t>
  </si>
  <si>
    <t>054269103750</t>
  </si>
  <si>
    <t>054269100605</t>
  </si>
  <si>
    <t>054269201005</t>
  </si>
  <si>
    <t>A-REF</t>
  </si>
  <si>
    <t>Mini - Top Reflector</t>
  </si>
  <si>
    <t>054269100414</t>
  </si>
  <si>
    <t>A-CAN6PK</t>
  </si>
  <si>
    <t>A-CAN3PK-B</t>
  </si>
  <si>
    <t>054269103705</t>
  </si>
  <si>
    <t>054269103729</t>
  </si>
  <si>
    <t>S-FSSC2-BLISTER</t>
  </si>
  <si>
    <t>7331423004324</t>
  </si>
  <si>
    <t>7331423004355</t>
  </si>
  <si>
    <t>7331423004294</t>
  </si>
  <si>
    <t>7331423004317</t>
  </si>
  <si>
    <t>7331423004331</t>
  </si>
  <si>
    <t>7331423004300</t>
  </si>
  <si>
    <t>7331423004348</t>
  </si>
  <si>
    <t>S-FSAR2-BLISTER</t>
  </si>
  <si>
    <t>7331423004270</t>
  </si>
  <si>
    <t>7331423004287</t>
  </si>
  <si>
    <t>Produces a 3000°C (5,500°F) spark and works when wet</t>
  </si>
  <si>
    <t>Durable - Scout 2.0 model lasts 3000 strikes</t>
  </si>
  <si>
    <t>Whistle built into handle of striker</t>
  </si>
  <si>
    <t>Ergonomic design increases ease of use</t>
  </si>
  <si>
    <t>Durable - Army 2.0 model lasts 12000 strikes</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</si>
  <si>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  The Army 2.0 has an ergonomic design makes for increased ease of use, and the striker has an integrated whistle.</t>
  </si>
  <si>
    <t>Collapsing lantern is made of aluminum</t>
  </si>
  <si>
    <t>Lantern holds two tealight candles</t>
  </si>
  <si>
    <t>Attached bail and chain allow lantern to be hung anywhere</t>
  </si>
  <si>
    <t>Glass chimney creates a windproof environment for the candle</t>
  </si>
  <si>
    <t xml:space="preserve">The Micro Candle Lantern is our most compact lantern, standing only 2 3/8" tall when collapsed.  Made of aluminum, the lantern is durable and windproof.  There is a hidden compartment in the base of the lantern which holds a spare candle.  The Micro weighs just 3.8 ounces with two tealight candles included.  Each candle burns for 3-5 hours, and is available in beeswax and citronella.  </t>
  </si>
  <si>
    <t>MT-SM-CONT</t>
  </si>
  <si>
    <t>054269000325</t>
  </si>
  <si>
    <t>054269000318</t>
  </si>
  <si>
    <t>S-SPCASE-BLISTER</t>
  </si>
  <si>
    <t>S-SPCASE-PLEXI</t>
  </si>
  <si>
    <t>Protects one or two sporks inside the SporkCase</t>
  </si>
  <si>
    <t>Tight snap closure</t>
  </si>
  <si>
    <t>Fits both Spork Original and Spork Lefty</t>
  </si>
  <si>
    <t>The SporkCase makes it easier to bring along your Spork regardless of if it’s a hike, a trek or a trip to the beach. With its snap closure, the SporkCase keeps dirt out on the way out and in on the way home. Made of PP material, the case is as tough as it is attractive.  Fits 1 or 2 Spork Original or Spork Lefty.</t>
  </si>
  <si>
    <t>Protective case includes one spork</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</si>
  <si>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  The Scout 2.0 has an ergonomic design makes for increased ease of use, and the striker has an integrated whistle.  Lasts around 3,000 strikes.</t>
  </si>
  <si>
    <t>SporkCase, blister, w/ 1 spork - Outdoor Colors</t>
  </si>
  <si>
    <t>SporkCase, blister, w/ 1 spork - Black</t>
  </si>
  <si>
    <t>SporkCase, blister, w/ 1 spork - Dark Green</t>
  </si>
  <si>
    <t>SporkCase, blister, w/ 1 spork - Red</t>
  </si>
  <si>
    <t>SporkCase, blister, w/ 1 spork - Yellow</t>
  </si>
  <si>
    <t>SporkCase, blister, w/ 1 spork - Green</t>
  </si>
  <si>
    <t>SporkCase, blister, w/ 1 spork - Pink</t>
  </si>
  <si>
    <t>SporkCase, blister, w/ 1 spork - Orange</t>
  </si>
  <si>
    <t>SporkCase, blister, w/ 1 spork - Navy Blue</t>
  </si>
  <si>
    <t>S-SPCASE-BLISTER-T</t>
  </si>
  <si>
    <t>Dishwasher safe and BPA-free</t>
  </si>
  <si>
    <t>The SporkCase makes it easier to bring along your Spork regardless of if it’s a hike, a trek or a trip to the beach. With its snap closure, the SporkCase keeps dirt out on the way out and in on the way home. Made of PP material, the case is as tough as it is attractive.  Fits 1 or 2 Spork Original or Spork Lefty. BPA-free.</t>
  </si>
  <si>
    <t>P-CPA</t>
  </si>
  <si>
    <t>The Pedco CellPod Adapter attaches to any tripod with a 1/4"x20 screw.  The adaptor holds iPhones or other smartphones and is perfect for watching a movie while traveling, stabilizing a photo, or holding your phone at home or work.  The Cellpod Adapter weighs .7 ounces and can be stored in a pocket, purse, briefcase or backpack.</t>
  </si>
  <si>
    <t>054269000257</t>
  </si>
  <si>
    <t>Take shake-free photos using your camera phone and your tripod</t>
  </si>
  <si>
    <t>Sturdy clamp securely holds your iPhone or other smart phone</t>
  </si>
  <si>
    <t>Attaches to any tripod</t>
  </si>
  <si>
    <t>Weighs just 22g</t>
  </si>
  <si>
    <t>DJ-ASCENT</t>
  </si>
  <si>
    <t>DJ-SUMMIT</t>
  </si>
  <si>
    <t>054269801601</t>
  </si>
  <si>
    <t>Makes TWICE the ice cream of the Original Play and Freeze Ice Cream Maker!</t>
  </si>
  <si>
    <t>Tool Logic</t>
  </si>
  <si>
    <t>TL-SL3</t>
  </si>
  <si>
    <t>Tool Logic SL3 Knife with Integrated Fire Starter</t>
  </si>
  <si>
    <t>Built-in fire starter</t>
  </si>
  <si>
    <t>Notch in knife spine optimized for use with Fire Starter.</t>
  </si>
  <si>
    <t>TL-SLP2</t>
  </si>
  <si>
    <t>Tool Logic SL Pro 2 Knife with Integrated Fire Starter</t>
  </si>
  <si>
    <t>The SL Pro 2 ( silver) offers a 3" 50/50 serrated blade and loud emergency signal whistle. Plus a brilliant white LED flashlight that's detachable from its sleeve attached to the top of the knife handle. The LED module has a premium magnesium alloy fire rod that is rated for hundreds of strikes. It throws off an intense shower of sparks at over 2500 degrees. The flashlight is made of tough anodized aluminum and is waterproof for use in wet environments orfor shallow immersion. The SL Pro features solid steel construction and has a stainless steel pocket/belt clip on the back. It's an ideal choice for rugged use anywhere life takes you.</t>
  </si>
  <si>
    <t>3-inch, 50/50 serrated stainless steel with satin blade bead blast finish</t>
  </si>
  <si>
    <t>Brilliant white LED flashlight and diamond sharpener</t>
  </si>
  <si>
    <t>Loud emergency signal whistle</t>
  </si>
  <si>
    <t>Flashlight is waterproof for shallow immersion and is ideal for work in low light situations</t>
  </si>
  <si>
    <t>Rugged frame lock and pocket/belt clip</t>
  </si>
  <si>
    <t>Carbon fiber handle</t>
  </si>
  <si>
    <t>7Cr17MoWV stainless steel blade</t>
  </si>
  <si>
    <t>57 HRC</t>
  </si>
  <si>
    <t>Precision tweezers in handle</t>
  </si>
  <si>
    <t>Weighs 2.3 oz</t>
  </si>
  <si>
    <t>The sleek design and carbon fiber handle make the Summit stand out. This is a very comfortable knife to carry. It’s lightweight and compact, but it can get the job done. As expected, it offers easy one-handed operation and our precision tweezers in the handle.</t>
  </si>
  <si>
    <t>The Ascent was designed to be as thin and compact as possible while still having a substantial blade. Put it in your pocket and you’ll foget it’s there, but when duty calls it’s up for the task. The G-10 handle is lightweight and nearly impervious to the elements. The Ascent offers easy one-handed opening and closing and has our precision tweezers in the back of the handle.</t>
  </si>
  <si>
    <t>G-10 handle</t>
  </si>
  <si>
    <t>Weighs 2 oz</t>
  </si>
  <si>
    <t>836514009150</t>
  </si>
  <si>
    <t>836514009174</t>
  </si>
  <si>
    <t>P-UCA40</t>
  </si>
  <si>
    <t>054269000332</t>
  </si>
  <si>
    <t>The UltraClamp Assembly 4.0" allows a camera to be solidly attached to a tree, fence, table, or railing. Strong enough for any camera or camcorder, the UltraClamp Assembly 4.0" attaches to round or flat objects from 0" to 4" thick. The UltraClamp Assembly 4.0" utilizes the same ball and socket mount found on UltraPods to allow the camera maximum flexibility in framing the subject. Mount can be attached either on top or side of clamp. Weighs 9.9 oz. and measures 6.0" x 6.63".</t>
  </si>
  <si>
    <t>Utilizes a unique ball and socket head for quick and easy adjustment of camera, binocular, or scope position.</t>
  </si>
  <si>
    <t>Clamps on to anything from 0" to 4" in width - fences, railings, rollbars and tables</t>
  </si>
  <si>
    <t>Weighs only 9.9 oz.</t>
  </si>
  <si>
    <t>054269121204</t>
  </si>
  <si>
    <t>ESBIT</t>
  </si>
  <si>
    <t>4260149870711</t>
  </si>
  <si>
    <t>4260149870285</t>
  </si>
  <si>
    <t>4260149870728</t>
  </si>
  <si>
    <t>4260149870704</t>
  </si>
  <si>
    <t>4021684010204</t>
  </si>
  <si>
    <t>4260149870438</t>
  </si>
  <si>
    <t>4260149870506</t>
  </si>
  <si>
    <t>4260149870131</t>
  </si>
  <si>
    <t>4260149870148</t>
  </si>
  <si>
    <t>4260149870063</t>
  </si>
  <si>
    <t>4260149870223</t>
  </si>
  <si>
    <t>4260149870384</t>
  </si>
  <si>
    <t>4260149870391</t>
  </si>
  <si>
    <t>4260149870193</t>
  </si>
  <si>
    <t>4260149870209</t>
  </si>
  <si>
    <t>4260149870216</t>
  </si>
  <si>
    <t>7321.19.0000</t>
  </si>
  <si>
    <t>8108.90.9099</t>
  </si>
  <si>
    <t>7419.99.9099</t>
  </si>
  <si>
    <t>7615.19.9000</t>
  </si>
  <si>
    <t>9617.00.0000</t>
  </si>
  <si>
    <t>Constructed from extremely light, hard anodized aluminum</t>
  </si>
  <si>
    <t>Double-walled construction</t>
  </si>
  <si>
    <t xml:space="preserve">Pot with volume indicators in liter / oz. </t>
  </si>
  <si>
    <t>High quality stainless steel</t>
  </si>
  <si>
    <t>E-STOVE-6X14</t>
  </si>
  <si>
    <t>E-STOVE-TI</t>
  </si>
  <si>
    <t>E-STOVE-EMERG</t>
  </si>
  <si>
    <t>E-FUEL-12X14</t>
  </si>
  <si>
    <t>E-FUEL-20X4</t>
  </si>
  <si>
    <t>E-AB300BR</t>
  </si>
  <si>
    <t>E-BBQ300S</t>
  </si>
  <si>
    <t>E-CS585HA</t>
  </si>
  <si>
    <t>E-CS985HA</t>
  </si>
  <si>
    <t>E-CS2350HA</t>
  </si>
  <si>
    <t>E-FJ500ML</t>
  </si>
  <si>
    <t>E-FJ750ML</t>
  </si>
  <si>
    <t>E-FJ1000ML</t>
  </si>
  <si>
    <t>E-VF500ML</t>
  </si>
  <si>
    <t>E-VF750ML</t>
  </si>
  <si>
    <t>E-VF1000ML</t>
  </si>
  <si>
    <t>Alcohol burner constructed from brass</t>
  </si>
  <si>
    <t>Silver-coated inner body for superior insulation and heat preservation</t>
  </si>
  <si>
    <t>Pots with heat exchanger provide higher cooking effiency and include a multi-layer nonstick coating and volume indicator in liter / oz.</t>
  </si>
  <si>
    <t>BPA-free</t>
  </si>
  <si>
    <t>7 1/4 in. / 18.5 cm wide frying pan with textured bottom for heat retention and even distribution plus multi-layer nonstick coating</t>
  </si>
  <si>
    <t>Lid Serves as bown</t>
  </si>
  <si>
    <t>2 Drinking mugs</t>
  </si>
  <si>
    <t>The Esbit Alcohol Stove &amp; Camp Set is constructed from extremely light, hard-anodized aluminum. The camp set includes a 1.8 liter pot, 2.35 L pot, potholder, lid with plastic grip, frying pan, 2 plastic plates, gripper, wind deflector, micro fiber cloth, alcohol burner and mesh storage bag. The cooking pots have heat exchanger on the bottom that provide higher cooking efficiency. The cooking pots also include a multilayer nonstick coating and volume indicators in liters/ oz. The 7 1/4 inch frying pan comes with a textured bottom for heat retention and even heat distribution and the cooking surface has a multi-layer nonstick coating.  Esbit Alcohol Burner is a extremely durable and efficient stove that is constructed of brass and weighs only 3.25 oz. It comes with a flame regulator with a fold-away handle. The stove has a screw top with rubber seal so fuel stores in the stove so separate storage is not required. It uses the most commonly available fuel, with fuel available in almost every town. Its great for backpackers or anyone who doesn't want to carry old canisters of gas.</t>
  </si>
  <si>
    <t>The Esbit .5 L Food Jug has a double-walled construction with high-quality stainless steel. The silver-coated inner body provides superior insulation for hot or cold items. The screw tight lid has a push button pressure release and is BPA free.  Wt 15 oz.</t>
  </si>
  <si>
    <t>The Esbit .75 L Food Jug has a double-walled construction with high-quality stainless steel. The silver-coated inner body provides superior insulation for hot or cold items. The screw tight lid has a push button pressure release and is BPA free.  Wt 17 oz</t>
  </si>
  <si>
    <t>The Esbit 1 L Food Jug has a double-walled construction with high-quality stainless steel. The silver-coated inner body provides superior insulation for hot or cold items. The screw tight lid has a push button pressure release and is BPA free.  Wt 20oz.</t>
  </si>
  <si>
    <t>The Esbit .5 L Vacuum Flask has a double-walled construction with high-quality stainless steel. The silver-coated inner body provides superior insulation for hot or cold items.  Includes 2 mugs, 2 screw plugs and BPA-free.   Wt 13 oz.</t>
  </si>
  <si>
    <t>The Esbit .75 L Vacuum Flask has a double-walled construction with high-quality stainless steel. The silver-coated inner body provides superior insulation for hot or cold items.  Includes 2 mugs, 2 screw plugs and BPA-free.   Wt 16 oz</t>
  </si>
  <si>
    <t>The Esbit 1 L Vacuum Flask has a double-walled construction with high-quality stainless steel. The silver-coated inner body provides superior insulation for hot or cold items. Includes 2 mugs, 2 screw plugs and BPA-free. Wt. 19 oz.</t>
  </si>
  <si>
    <t xml:space="preserve">The Esbit story began in 1936. Since than, Esibit stands for safe and highly efficient solid fuel cubes and stoves that have been used the world over. This compact solid source will provide a steady and reliable heat for cooking, boiling water or for warmth in the outdoors. </t>
  </si>
  <si>
    <t>054269121150</t>
  </si>
  <si>
    <t>MT-SM1-UCO</t>
  </si>
  <si>
    <t>MT-SM2-UCO</t>
  </si>
  <si>
    <t>MT-EMPTY-CASE</t>
  </si>
  <si>
    <t>MT-WAT-4PK</t>
  </si>
  <si>
    <t>MT-LONG-BULK</t>
  </si>
  <si>
    <t>Long-Burn Matches</t>
  </si>
  <si>
    <t>054269000349</t>
  </si>
  <si>
    <t>054269000363</t>
  </si>
  <si>
    <t>054269000356</t>
  </si>
  <si>
    <t>S-TSR</t>
  </si>
  <si>
    <t>Knives</t>
  </si>
  <si>
    <t>S-FK</t>
  </si>
  <si>
    <t>Cyan Blue</t>
  </si>
  <si>
    <t>DAJO Adventure Gear</t>
  </si>
  <si>
    <t>B-BAG-CO</t>
  </si>
  <si>
    <t>054269100933</t>
  </si>
  <si>
    <t>Natural</t>
  </si>
  <si>
    <t>SporkCase, plexitube w/ 20 pcs- Outdoor Colors</t>
  </si>
  <si>
    <t>4202.92.9026</t>
  </si>
  <si>
    <t>7326.90.8597</t>
  </si>
  <si>
    <t>Tube comes with 40 pieces in 4 colors.</t>
  </si>
  <si>
    <t>BOX</t>
  </si>
  <si>
    <t>BLISTER</t>
  </si>
  <si>
    <t>`</t>
  </si>
  <si>
    <t>E-PT750-TI</t>
  </si>
  <si>
    <t>4260149870292</t>
  </si>
  <si>
    <t>E-WK600HA</t>
  </si>
  <si>
    <t>4260149870162</t>
  </si>
  <si>
    <t>4260149870025</t>
  </si>
  <si>
    <t>E-CS75S</t>
  </si>
  <si>
    <t>4260149870612</t>
  </si>
  <si>
    <t>4260149870056</t>
  </si>
  <si>
    <t>Flexible and Sturdy profile-grounded blade</t>
  </si>
  <si>
    <t>Sheath with clip</t>
  </si>
  <si>
    <t>High-friction rubber handle</t>
  </si>
  <si>
    <t>Lanyard attached to Knife for storage</t>
  </si>
  <si>
    <t xml:space="preserve">They are manufactured from heat-resistant polycarbonate and won't melt in hot or boiling water.  They won't scratch non-stick cookware.  </t>
  </si>
  <si>
    <t>Won't scratch non-stick cookware</t>
  </si>
  <si>
    <t>Sporks are manufactured from heat-resistant and durable plastics that won't melt in hot or boiling water.  They won't scratch non-stick cookware.</t>
  </si>
  <si>
    <t xml:space="preserve">Sporks are manufactured from heat-resistant and durable plastics that won't melt in hot or boiling water.  They won't scratch non-stick cookware. </t>
  </si>
  <si>
    <t xml:space="preserve">They are manufactured from heat-resistant plastic and won't melt in hot or boiling water.  They won't scratch non-stick cookware.  </t>
  </si>
  <si>
    <t xml:space="preserve">They are manufactured from heat-resistant and BPA free Tritan and won't melt in hot or boiling water.  They won't scratch non-stick cookware.  </t>
  </si>
  <si>
    <t xml:space="preserve">They are manufactured from heat-resistant and BPA free Tritan and won't melt in hot or boiling water.  They won't scratch non-stick cookware. </t>
  </si>
  <si>
    <t xml:space="preserve">Sporks are manufactured from heat-resistant and BPA free Tritan that won't melt in hot or boiling water.  They won't scratch non-stick cookware. </t>
  </si>
  <si>
    <t>3406.00.0000</t>
  </si>
  <si>
    <t>8211.93.0030</t>
  </si>
  <si>
    <t>9006.91.0000</t>
  </si>
  <si>
    <t>054269000394</t>
  </si>
  <si>
    <t>054269000387</t>
  </si>
  <si>
    <t>CLASSIC</t>
  </si>
  <si>
    <t>FUNTIME</t>
  </si>
  <si>
    <t>023535960007</t>
  </si>
  <si>
    <t>023535000000</t>
  </si>
  <si>
    <t>Yaylabs!</t>
  </si>
  <si>
    <t>F-INF-PT</t>
  </si>
  <si>
    <t>F-INF-QT</t>
  </si>
  <si>
    <t>F-PT-STDINF</t>
  </si>
  <si>
    <t>F-QT-STDINF</t>
  </si>
  <si>
    <t>Ice Cream Ball (Quart), Assorted</t>
  </si>
  <si>
    <t>Ice Cream Ball (Quart), Blue</t>
  </si>
  <si>
    <t>Ice Cream Ball (Quart), Green</t>
  </si>
  <si>
    <t>Ice Cream Ball (Quart), Orange</t>
  </si>
  <si>
    <t>Ice Cream Ball (Quart), Pink</t>
  </si>
  <si>
    <t>Ice Cream Ball (Quart), Purple</t>
  </si>
  <si>
    <t>Ice Cream Ball (Quart), Red</t>
  </si>
  <si>
    <t>Ice Cream Ball (Quart), Sea Green</t>
  </si>
  <si>
    <t>Ice Cream Ball (Pint) - 4pack</t>
  </si>
  <si>
    <t>Ice Cream Ball (Pint), Assorted</t>
  </si>
  <si>
    <t>Ice Cream Ball (Pint), Blue</t>
  </si>
  <si>
    <t>Ice Cream Ball (Pint), Green</t>
  </si>
  <si>
    <t>Ice Cream Ball (Pint), Orange</t>
  </si>
  <si>
    <t>Ice Cream Ball (Pint), Pink</t>
  </si>
  <si>
    <t>Ice Cream Ball (Pint), Purple</t>
  </si>
  <si>
    <t>Ice Cream Ball (Pint), Red</t>
  </si>
  <si>
    <t>Ice Cream Ball (Pint), Clear</t>
  </si>
  <si>
    <t>Ice Cream Ball w/inflatable cover  (Pint)</t>
  </si>
  <si>
    <t>Ice Cream Ball w/inflatable cover  (Quart)</t>
  </si>
  <si>
    <t>Quart</t>
  </si>
  <si>
    <t>Pint</t>
  </si>
  <si>
    <t>ML-LUMORA</t>
  </si>
  <si>
    <t>MT-SV-BULK</t>
  </si>
  <si>
    <t>MT-SV-CASE</t>
  </si>
  <si>
    <t>054269000837</t>
  </si>
  <si>
    <t>054269000820</t>
  </si>
  <si>
    <t>054269000813</t>
  </si>
  <si>
    <t>054269000592</t>
  </si>
  <si>
    <t>054269000608</t>
  </si>
  <si>
    <t>054269000615</t>
  </si>
  <si>
    <t>054269000677</t>
  </si>
  <si>
    <t>054269000684</t>
  </si>
  <si>
    <t>054269000691</t>
  </si>
  <si>
    <t>054269000752</t>
  </si>
  <si>
    <t>054269000776</t>
  </si>
  <si>
    <t>054269000769</t>
  </si>
  <si>
    <t>054269000783</t>
  </si>
  <si>
    <t>054269000509</t>
  </si>
  <si>
    <t>054269000455</t>
  </si>
  <si>
    <t>Titanium Stove</t>
  </si>
  <si>
    <t>Foldable BBQ Box</t>
  </si>
  <si>
    <t>Alcohol Burner and Camp set, incl. 2 pots, pan, 2 plates &amp; more</t>
  </si>
  <si>
    <t>Food Jug, .75L</t>
  </si>
  <si>
    <t>Food Jug, 1 L</t>
  </si>
  <si>
    <t>Vacuum Flask, .5L</t>
  </si>
  <si>
    <t>Vacuum Flask, .75L</t>
  </si>
  <si>
    <t>Vacuum Flask, 1L</t>
  </si>
  <si>
    <t>DJ-ELEMENT</t>
  </si>
  <si>
    <t>Ascent Knife</t>
  </si>
  <si>
    <t>Summit Knife</t>
  </si>
  <si>
    <t>Survivor Knife w/ Swedish FireSteel</t>
  </si>
  <si>
    <t>Element Folding Knife w/ Swedish FireSteel</t>
  </si>
  <si>
    <t>S-SP-LEFTY-T</t>
  </si>
  <si>
    <t>054269000370</t>
  </si>
  <si>
    <t xml:space="preserve">E-PHE2350NS     </t>
  </si>
  <si>
    <t>4260149870100</t>
  </si>
  <si>
    <t>054269103712</t>
  </si>
  <si>
    <t>S-MK-HARNESS</t>
  </si>
  <si>
    <t>Mealkit Harness</t>
  </si>
  <si>
    <t>Plastic buckle for easy and secure hanging</t>
  </si>
  <si>
    <t>Strong, reflective webbing</t>
  </si>
  <si>
    <t>Elastic cord for a snug fitThe three-way design locks everything up tight, no matter how you travel</t>
  </si>
  <si>
    <t>A custom harness that gives you an easy and secure way of carrying your LunchBox or MealKit</t>
  </si>
  <si>
    <t>Weight: 0.8 oz. (24 g)</t>
  </si>
  <si>
    <t>Harness</t>
  </si>
  <si>
    <t>S-SP-XM-BULK-T</t>
  </si>
  <si>
    <t>054269000400</t>
  </si>
  <si>
    <t>054269000417</t>
  </si>
  <si>
    <t>054269000424</t>
  </si>
  <si>
    <t>PURPLE</t>
  </si>
  <si>
    <t>F-PT-STD</t>
  </si>
  <si>
    <t>054269000622</t>
  </si>
  <si>
    <t>054269000639</t>
  </si>
  <si>
    <t>054269000646</t>
  </si>
  <si>
    <t>054269000653</t>
  </si>
  <si>
    <t>054269000660</t>
  </si>
  <si>
    <t>054269000707</t>
  </si>
  <si>
    <t>054269000714</t>
  </si>
  <si>
    <t>054269000721</t>
  </si>
  <si>
    <t>054269000738</t>
  </si>
  <si>
    <t>054269000745</t>
  </si>
  <si>
    <t>E-CMSS</t>
  </si>
  <si>
    <t>E-MG350ML</t>
  </si>
  <si>
    <t>Country of Origin</t>
  </si>
  <si>
    <t>China</t>
  </si>
  <si>
    <t>USA</t>
  </si>
  <si>
    <t>Sweden</t>
  </si>
  <si>
    <t>Thailand</t>
  </si>
  <si>
    <t>India</t>
  </si>
  <si>
    <t>Croatia</t>
  </si>
  <si>
    <t>Germany</t>
  </si>
  <si>
    <t>Mexico</t>
  </si>
  <si>
    <t>A-CAN6PK-C</t>
  </si>
  <si>
    <t>Taiwan</t>
  </si>
  <si>
    <t>054269802004</t>
  </si>
  <si>
    <t>MT-SM2-REI</t>
  </si>
  <si>
    <t>6170460015</t>
  </si>
  <si>
    <t>Constructed from ultralight titanium.</t>
  </si>
  <si>
    <t>Stores in included mesh bag.</t>
  </si>
  <si>
    <t>The Esbit Titanium Pot is an ultralight option for boiling water or cooking food on any fast and light adventure. The 25 oz. pot has 2 hinged grips and a lid with a lockable grip. The pot is large enough to store an Esbit Titanium Stove and some solid fuel tablets (both sold separately) inside the the pot, saving you space in your pack.</t>
  </si>
  <si>
    <t>Constructed from extremely light, hard-anodized aluminum.</t>
  </si>
  <si>
    <t>Coffee pot is constructed from high-quality stainless steel.</t>
  </si>
  <si>
    <t>Use with two Esbit 4 g solid fuel tablets (sold separately).</t>
  </si>
  <si>
    <t>The Esbit Aluminum Mug is a lightweight drinking cup that is light enough to carry in your backpack for those weekend outings. It will hold about 12 oz. of your favorite hot, or cold, beverage as you sit around the campfire in the evenings or huddle around the stove drinking your morning cup of coffee.</t>
  </si>
  <si>
    <t>Constructed from stainless steel.</t>
  </si>
  <si>
    <t>Tablet tray holds Esbit solid fuel tablets (fuel not included).</t>
  </si>
  <si>
    <t>Can also be used with Esbit Alcohol Burner (sold separately).</t>
  </si>
  <si>
    <t>7331423006434</t>
  </si>
  <si>
    <t>7331423003112</t>
  </si>
  <si>
    <t>DKGREEN</t>
  </si>
  <si>
    <t xml:space="preserve">Constructed from a durable co-polyester for the outer ball and an aluminum canister to hold the ice cream ingredients. </t>
  </si>
  <si>
    <t>Includes plastic wrench to remove lids and a recipe booklet.</t>
  </si>
  <si>
    <t>Make a Quart of  ice cream anywhere!  Don't settle for just 31 flavors!</t>
  </si>
  <si>
    <t>Make pint of ice cream anywhere!</t>
  </si>
  <si>
    <t>Pleasant aroma with less smoke</t>
  </si>
  <si>
    <t>Other</t>
  </si>
  <si>
    <t>7331423004621</t>
  </si>
  <si>
    <t>F-QT-STD</t>
  </si>
  <si>
    <t>Make pint of ice cream anywhere! Includes new inflatable cover!</t>
  </si>
  <si>
    <t>Inflatable cover insulates and provides cushioned fun when making ice cream.</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</si>
  <si>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Inflatable cover cushions and insulates the ball for even more fun!  Includes one set of monster stickers.  Made of durable materials, it’s lightweight, portable and easy to clean. It’s ideal for Camping, Boating, Picnics, Parties, Travel...anywhere!</t>
  </si>
  <si>
    <t>With the YayLabs! Ice Cream Ball, you can make ice cream at picnics, barbecues, camping, anywhere!  The new inflatable cover increases your fun.  Add ice and rock salt in one end and ice cream mix in the other end; no electricity is needed.  Then, have a ball as you shake it and roll it around for 20 minutes. The ice cream mix can be as simple as cream, sugar, and vanilla or try an adventurous flavor from the included recipe list. Made of durable copolyesther, the Ice Cream Ball is lightweight, portable, and easy to clean.</t>
  </si>
  <si>
    <t>Industrial Revolution, Inc. was founded in Redmond, Washington as UCO Corporation in 1973.  UCO quickly became the world leader in production of candle lanterns with designs and accessories that were superior to all other available products.  Innovation has been a cornerstone of the company ever since.  We now offer a full line of U.S.-made candle lanterns including the Original, the Mini (which burns tealight candles) and the Candlelier (which burns three standard UCO candles).  In 2004 we began selling our new Play and Freeze Ice Cream Maker, a product spawned from the outdoor industry but which now delights children and adults everywhere.  In 2005, we became the exclusive U.S. Distributor for the Swedish Light My Fire product line.  We have now expanded our offerings to the outdoor, housewares and travel industries to include Grilliput, Esbit and our MEGA Play &amp; Freeze.  We pride ourselves in offering top quality products.</t>
  </si>
  <si>
    <t>Includes inflatable cover, plastic wrench to remove lids, a recipe booklet, and monster stickers.</t>
  </si>
  <si>
    <t>054269000516</t>
  </si>
  <si>
    <t>S-SPICEBOX</t>
  </si>
  <si>
    <t>CYAN</t>
  </si>
  <si>
    <t>Cyan</t>
  </si>
  <si>
    <t>Element</t>
  </si>
  <si>
    <t>054269000202</t>
  </si>
  <si>
    <t>MT-SM-BULK (POP)</t>
  </si>
  <si>
    <t xml:space="preserve">MT-SM-BULK </t>
  </si>
  <si>
    <t>E-WK1400HA</t>
  </si>
  <si>
    <t>4260149870766</t>
  </si>
  <si>
    <t>E-STOVE-12X14L</t>
  </si>
  <si>
    <t>MT-CM-10PK</t>
  </si>
  <si>
    <t>MT-SB-LARGE</t>
  </si>
  <si>
    <t>054269000844</t>
  </si>
  <si>
    <t>054269000851</t>
  </si>
  <si>
    <t>S-SP-XM-SPLEXI-T</t>
  </si>
  <si>
    <t>ASSORTED</t>
  </si>
  <si>
    <t>GRN/CYAN</t>
  </si>
  <si>
    <t>Spork Lefty 2 pack - Blister GREEN/CYAN</t>
  </si>
  <si>
    <t>RED/ORANGE</t>
  </si>
  <si>
    <t>Spork Lefty 2 pack - Blister RED/ORANGE</t>
  </si>
  <si>
    <t>ML-CLARUS</t>
  </si>
  <si>
    <t>054269000882</t>
  </si>
  <si>
    <t xml:space="preserve">Make a Quart of  ice cream anywhere!  </t>
  </si>
  <si>
    <t>9405.50.2000</t>
  </si>
  <si>
    <t>6305.39.0000</t>
  </si>
  <si>
    <t>9405.92.0000</t>
  </si>
  <si>
    <t>4404.10.0090</t>
  </si>
  <si>
    <t>3302.10.1000</t>
  </si>
  <si>
    <t>7326.19.0080</t>
  </si>
  <si>
    <t>S-SP-L-BULK-T</t>
  </si>
  <si>
    <t>Spork Little - Plexitube+40 pcs 3-Pack - Tritan - Asst, Village</t>
  </si>
  <si>
    <t>S-SP-LITTLE-40PLEXI</t>
  </si>
  <si>
    <t>S-LK</t>
  </si>
  <si>
    <t>S-MK2</t>
  </si>
  <si>
    <t>MealKit 2.0</t>
  </si>
  <si>
    <t>S-SNAP-TRI</t>
  </si>
  <si>
    <t>GREEN/CYAN</t>
  </si>
  <si>
    <t>S-SNAP-OV</t>
  </si>
  <si>
    <t>ELEMENT</t>
  </si>
  <si>
    <t>Tight-fitting, snap-lock lids make the containers waterproof.</t>
  </si>
  <si>
    <t>We ourselves can’t get enough of our practical little box, and we suspect the same might go for you. So we’ve made a 2-pack. Two handy little boxes for just about everything you can think of. Tight-fitting snap-lock lids keep contents—and your backpack—safe and sound, while different colors keep you organized.The boxes are easy to open: just pull the tab. Practical measuring lines inside. Real space savers when not in use as they're stackable.</t>
  </si>
  <si>
    <t>Two handy little boxes for just about everything you can think of and just slightly bigger than the SnapBox original. Tight-fitting snap-lock lids keep contents—and your backpack—safe and sound, while different colors keep you organized. The boxes are easy to open: just pull the tab. Practical measuring lines inside. Real space savers when not in use as they're stackable.</t>
  </si>
  <si>
    <t>Tight-fitting, snap-lock lids makes the containers waterproof.</t>
  </si>
  <si>
    <t>Durable, floats, and dishwasher/microwave safe.</t>
  </si>
  <si>
    <t>Environmentally-friendly, BPA-free polypropylene plastic.</t>
  </si>
  <si>
    <t>Internal measuring lines. Dimensions: 6.6" x 2.8" x 2.0" (16.8 cm x 7 cm x 5 cm).  Weight: 2.0 oz. (57 g)</t>
  </si>
  <si>
    <t>P-UMOUNT360</t>
  </si>
  <si>
    <t>P-UCA360</t>
  </si>
  <si>
    <t>054269000431</t>
  </si>
  <si>
    <t>054269000448</t>
  </si>
  <si>
    <t>360° panning capability. Positions device at any angle.</t>
  </si>
  <si>
    <t>Compact and lightweight.</t>
  </si>
  <si>
    <t>Injection-molded, glass-reinforced nylon thermoplastic resin clamp head and knobs.</t>
  </si>
  <si>
    <t>Weight: 2.0 oz. (57 g)</t>
  </si>
  <si>
    <t>Fits any camera, camcorder, binoculars, or other device witha  1/4–20 female thread.</t>
  </si>
  <si>
    <t>The UltraMount 360° is the ball and socket head portion of the UltraClamp 360°. The UltraMount 360° allows you to take the flexibility of the mount and apply it to your existing tripod or walking staff. It fits on any device featuring a 1/4–20 screw, and lets you position your camera, spotting scope, camcorder, or remote flash at the desired angle.</t>
  </si>
  <si>
    <t>Pedco offers a quality line of tripods and clamps offers photographers, sports enthusiasts, and others a unique selection of support devices for cameras, spotting scopes, binoculars, and other gear. Strong, compact, and lightweight, these products are durable enough for use on America’s cup catamarans and light enough to fit in your backpack. Pedco—Simply Functional.</t>
  </si>
  <si>
    <t>Durable aluminum clamp body and screw</t>
  </si>
  <si>
    <t>Attaches to round or flat objects from 0"–1.5" (0 cm–3.8 cm) thick. Maximum Safe Load: 6 lbs. Weight: 5.5 oz., 157g</t>
  </si>
  <si>
    <t>Fits any device with a 1/4–20 tripod socket.</t>
  </si>
  <si>
    <t>The UltraClamp 360° allows a camera to be solidly attached to a rolled down car window, bicycle handlebar, picnic table, or other similar object. Strong enough to support most cameras, spotting scopes, and camcorders, the UltraClamp Assembly attaches to round or flat objects up to 1.5″ (3.8cm) thick. The UltraClamp Assembly utilizes the same ball and socket mount found on UltraPod® II to allow the camera maximum flexibility in framing the subject. The UltraClamp 360°has been used for many diverse tasks. Police agencies have utilized it to plant explosive charges and film from the side of a riot shield. Race car drivers have placed it on rollbars to film their laps. We've even seen people mount cameras on motorcycles with it.</t>
  </si>
  <si>
    <t>Black/Blue</t>
  </si>
  <si>
    <t>054269000936</t>
  </si>
  <si>
    <t>S-FG</t>
  </si>
  <si>
    <t>The Pack-up-Cup holds 260ml of liquid and works just as well on the hiking trip as in the office! Just fold out and fill up. A tight and secured lid keeps your beverage warm and protects it from dirt and curious bugs. Base made of antislip TPE material. The Pack-up-Cup is easy to clean and when folded, takes next to no space in your bag. Just pack it up!</t>
  </si>
  <si>
    <t>Pack-up-Cup has a TPE base while the lid and top cup are polypropylene.</t>
  </si>
  <si>
    <t>Two parts makes it easy to clean and refill.</t>
  </si>
  <si>
    <t>Attached lid keeps beverages warm.</t>
  </si>
  <si>
    <t>Holds up to 260 ml of liquid (8.8 oz.) and is collapsible for easy transport. Internal measuring lines.</t>
  </si>
  <si>
    <t>S-PUC</t>
  </si>
  <si>
    <t>S-PUC-4PK</t>
  </si>
  <si>
    <t>ML-ARKA</t>
  </si>
  <si>
    <t>054269000912</t>
  </si>
  <si>
    <t>7331423007103</t>
  </si>
  <si>
    <t>7331423007134</t>
  </si>
  <si>
    <t>7331423007110</t>
  </si>
  <si>
    <t>7331423007097</t>
  </si>
  <si>
    <t>7331423007127</t>
  </si>
  <si>
    <t>7331423007080</t>
  </si>
  <si>
    <t>7331423006793</t>
  </si>
  <si>
    <t>Candle Lanterns</t>
  </si>
  <si>
    <t>7331423007509 </t>
  </si>
  <si>
    <t>S-FK-REFILL</t>
  </si>
  <si>
    <t>3" (7.5 cm) blade of 7Cr17MoWV stainless steel at 1/8" thickness.</t>
  </si>
  <si>
    <t>Swedish FireSteel® Scout fire starter in handle—lasts approximately 3,000 strikes; Notch in spine for striking FireSteel®.</t>
  </si>
  <si>
    <t>Cut-outs in blade reduce weight while maintaining strength.</t>
  </si>
  <si>
    <t>Precision tweezers in handle and wire pocket clip.</t>
  </si>
  <si>
    <t>Length–open: 7" (18 cm); Length-closed 4" (10 cm), Weight: 3.2 oz. (91g)</t>
  </si>
  <si>
    <t>Ultralight, Ultracompact, ultraversatile for extreme sports photographers and travelers on the go.</t>
  </si>
  <si>
    <t>13" PowerStrap mounting system allows cameras to be mounted on large post, roll bars, ski poles or almost anywhere camera go.</t>
  </si>
  <si>
    <t xml:space="preserve">Rugged polycarbonate housing holds cameras up to 3 lbs. </t>
  </si>
  <si>
    <t xml:space="preserve">Single control knob offers complete 360 ball mount adjustability and rugged polycarbonate housing holds cameras up to 3 lbs. </t>
  </si>
  <si>
    <t xml:space="preserve">Pistol Grip for factor makes the POV video and panning fast, easy and stable and TPE provides a grippy handle. </t>
  </si>
  <si>
    <t>UCO Compact Safety Matches come in a 10-pack of boxes with 32 matches each. So they are ideal to store in various places around the house, RV, boat, etc. for when you really need them. Use them to light lanterns, start the BBQ, light a gas stove, or to start a fire.</t>
  </si>
  <si>
    <t>L-CA</t>
  </si>
  <si>
    <t>Asst24pk</t>
  </si>
  <si>
    <t>CLEAR</t>
  </si>
  <si>
    <t>054269000868</t>
  </si>
  <si>
    <t>Titanium</t>
  </si>
  <si>
    <t>Alcohol Burner and 985ml pot with Heat Exchanger</t>
  </si>
  <si>
    <t>4260149870780</t>
  </si>
  <si>
    <t>Made of extremely light, hard anodised aluminium</t>
  </si>
  <si>
    <t>Compact cookset</t>
  </si>
  <si>
    <t>Highly efficient due to heat exchanger</t>
  </si>
  <si>
    <t>Flame regulator of the burner with folding handle for convenient killing of the flame</t>
  </si>
  <si>
    <t>Set can be stacked into each other</t>
  </si>
  <si>
    <t xml:space="preserve">The Esbit Cookset CS985H-EX is a compact, light cookset and is especially efficient due to its heat exchanger. Meals can be prepared much faster and with lower energy consumption. </t>
  </si>
  <si>
    <t>Wild Forest</t>
  </si>
  <si>
    <t>MT-SA-LARGE</t>
  </si>
  <si>
    <t>054269000998</t>
  </si>
  <si>
    <t>MT-SA-10PK</t>
  </si>
  <si>
    <t>S-SPCASE-PLEXI-T</t>
  </si>
  <si>
    <t>SporkCase Bucket+20pcs Outdoor</t>
  </si>
  <si>
    <t>Serving Spork Bucket + 40 pcs - Element</t>
  </si>
  <si>
    <t>S-SP-L-PLEXI-T</t>
  </si>
  <si>
    <t>NAVY Blue</t>
  </si>
  <si>
    <t>E-CS2350WN</t>
  </si>
  <si>
    <t>Includes cookset stand, 1.8 L pot, 2.35 L pot, potholder, 2 plastic plates, lid with plastic grip, frying pan, gripper, wind deflector, kettle/pan stand, and alcohol burner.</t>
  </si>
  <si>
    <t>4260149870797</t>
  </si>
  <si>
    <t>S-PUB</t>
  </si>
  <si>
    <t>7331423007028</t>
  </si>
  <si>
    <t>7331423007059</t>
  </si>
  <si>
    <t>7331423007035</t>
  </si>
  <si>
    <t>7331423007011</t>
  </si>
  <si>
    <t>7331423007042</t>
  </si>
  <si>
    <t>7331423007004</t>
  </si>
  <si>
    <t>Loop for comfortable carrying or strapping to a backpack.</t>
  </si>
  <si>
    <t>Dishwasher and microwave safe.</t>
  </si>
  <si>
    <t>Army 2.0</t>
  </si>
  <si>
    <t>Scout 2.0</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</si>
  <si>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materials, it’s lightweight, portable and easy to clean. It’s ideal for Camping, Boating, Picnics, Parties, Travel...anywhere!</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</si>
  <si>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copolyester,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</si>
  <si>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materials,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</si>
  <si>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Inflatable cover cushions and insulates the ball for even more fun!  Includes one set of monster stickers.  Made of durable copolyester,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</si>
  <si>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Includes one set of monster stickers.  Made of durable copolyester, it’s lightweight, portable and easy to clean. It’s ideal for Camping, Boating, Picnics, Parties, Travel...anywhere!</t>
  </si>
  <si>
    <t>P-UPGO</t>
  </si>
  <si>
    <t>E-CS985H-EX</t>
  </si>
  <si>
    <t>054269000295</t>
  </si>
  <si>
    <t>054269000523</t>
  </si>
  <si>
    <t>Morakniv</t>
  </si>
  <si>
    <t>Wood Carving</t>
  </si>
  <si>
    <t>Bushcraft</t>
  </si>
  <si>
    <t>Companion</t>
  </si>
  <si>
    <t>Fishing</t>
  </si>
  <si>
    <t>M-11479</t>
  </si>
  <si>
    <t>M-10644</t>
  </si>
  <si>
    <t>M-11480</t>
  </si>
  <si>
    <t>M-11481</t>
  </si>
  <si>
    <t>M-11482</t>
  </si>
  <si>
    <t>M-1-0748</t>
  </si>
  <si>
    <t>M-1-0749</t>
  </si>
  <si>
    <t>M-11900</t>
  </si>
  <si>
    <t>M-11999</t>
  </si>
  <si>
    <t>M-11901</t>
  </si>
  <si>
    <t>M-11902</t>
  </si>
  <si>
    <t>M-11903</t>
  </si>
  <si>
    <t>M-11904</t>
  </si>
  <si>
    <t>M-11905</t>
  </si>
  <si>
    <t>M-10315</t>
  </si>
  <si>
    <t>M-11672</t>
  </si>
  <si>
    <t>M-11673</t>
  </si>
  <si>
    <t>M-11674</t>
  </si>
  <si>
    <t>M-11675</t>
  </si>
  <si>
    <t>M-141-7290</t>
  </si>
  <si>
    <t>M-141-7230</t>
  </si>
  <si>
    <t>M-11156</t>
  </si>
  <si>
    <t>M-11728</t>
  </si>
  <si>
    <t>M-11011</t>
  </si>
  <si>
    <t>M-1-0001</t>
  </si>
  <si>
    <t>M-1-0002</t>
  </si>
  <si>
    <t>M-1-0002/0</t>
  </si>
  <si>
    <t>M-1-0003</t>
  </si>
  <si>
    <t>M-1-0601</t>
  </si>
  <si>
    <t>M-1-0611</t>
  </si>
  <si>
    <t>M-1-0612</t>
  </si>
  <si>
    <t>M-11488</t>
  </si>
  <si>
    <t>M-106-1630</t>
  </si>
  <si>
    <t>M-106-1600</t>
  </si>
  <si>
    <t>M-106-1654</t>
  </si>
  <si>
    <t>M-106-1650</t>
  </si>
  <si>
    <t>M-108-1810</t>
  </si>
  <si>
    <t>M-108-1820</t>
  </si>
  <si>
    <t>M-108-1830</t>
  </si>
  <si>
    <t>M-11729</t>
  </si>
  <si>
    <t>M-12050</t>
  </si>
  <si>
    <t>M-12049</t>
  </si>
  <si>
    <t>M-10791</t>
  </si>
  <si>
    <t>M-12043</t>
  </si>
  <si>
    <t>M-11742</t>
  </si>
  <si>
    <t>M-11863</t>
  </si>
  <si>
    <t>M-11825</t>
  </si>
  <si>
    <t>M-11827</t>
  </si>
  <si>
    <t>M-11824</t>
  </si>
  <si>
    <t>M-11746</t>
  </si>
  <si>
    <t>M-11867</t>
  </si>
  <si>
    <t>M-11829</t>
  </si>
  <si>
    <t>M-11828</t>
  </si>
  <si>
    <t>M-100-0245</t>
  </si>
  <si>
    <t>M-11602</t>
  </si>
  <si>
    <t>M-10629</t>
  </si>
  <si>
    <t>M-11935</t>
  </si>
  <si>
    <t>M-12058</t>
  </si>
  <si>
    <t>M-12096</t>
  </si>
  <si>
    <t>M-113-3105</t>
  </si>
  <si>
    <t>M-113-3115</t>
  </si>
  <si>
    <t>M-12098</t>
  </si>
  <si>
    <t>M-11883</t>
  </si>
  <si>
    <t>M-11817</t>
  </si>
  <si>
    <t>M-11892</t>
  </si>
  <si>
    <t>M-11819</t>
  </si>
  <si>
    <t>M-11893</t>
  </si>
  <si>
    <t>M-11820</t>
  </si>
  <si>
    <t>M-11818</t>
  </si>
  <si>
    <t>7391846051107</t>
  </si>
  <si>
    <t>7391846005100</t>
  </si>
  <si>
    <t>7391846054603</t>
  </si>
  <si>
    <t>7391846071105</t>
  </si>
  <si>
    <t>7391846074601</t>
  </si>
  <si>
    <t>7391846073116</t>
  </si>
  <si>
    <t>7391846074816</t>
  </si>
  <si>
    <t>7391846074908</t>
  </si>
  <si>
    <t>7391846010876</t>
  </si>
  <si>
    <t>7391846011804</t>
  </si>
  <si>
    <t>7391846010883</t>
  </si>
  <si>
    <t>7391846010890</t>
  </si>
  <si>
    <t>7391846010906</t>
  </si>
  <si>
    <t>7391846010913</t>
  </si>
  <si>
    <t>7391846010920</t>
  </si>
  <si>
    <t>7391846013396</t>
  </si>
  <si>
    <t>7391846009108</t>
  </si>
  <si>
    <t>7391846009146</t>
  </si>
  <si>
    <t>7391846009160</t>
  </si>
  <si>
    <t>7391846009184</t>
  </si>
  <si>
    <t>7316220072905</t>
  </si>
  <si>
    <t>7316220072301</t>
  </si>
  <si>
    <t>7391846011965</t>
  </si>
  <si>
    <t>7391846013792</t>
  </si>
  <si>
    <t>7350006972959</t>
  </si>
  <si>
    <t>7391846001003</t>
  </si>
  <si>
    <t>7391846002000</t>
  </si>
  <si>
    <t>7391846000204</t>
  </si>
  <si>
    <t>7391846003007</t>
  </si>
  <si>
    <t>7391846060109</t>
  </si>
  <si>
    <t>7391846061106</t>
  </si>
  <si>
    <t>7391846061205</t>
  </si>
  <si>
    <t>7391846012108</t>
  </si>
  <si>
    <t>7316220016305</t>
  </si>
  <si>
    <t>7391846004264</t>
  </si>
  <si>
    <t>7316220016541</t>
  </si>
  <si>
    <t>7316220016503</t>
  </si>
  <si>
    <t>7316220018101</t>
  </si>
  <si>
    <t>7316220018200</t>
  </si>
  <si>
    <t>7316220018309</t>
  </si>
  <si>
    <t>7391846013778</t>
  </si>
  <si>
    <t>7391846013921</t>
  </si>
  <si>
    <t>7391846013945</t>
  </si>
  <si>
    <t>7391846013013</t>
  </si>
  <si>
    <t>7391846013310</t>
  </si>
  <si>
    <t>7391846010258</t>
  </si>
  <si>
    <t>7391846010142</t>
  </si>
  <si>
    <t>7391846010128</t>
  </si>
  <si>
    <t>7391846010081</t>
  </si>
  <si>
    <t>7391846013365</t>
  </si>
  <si>
    <t>7391846013334</t>
  </si>
  <si>
    <t>7391846010180</t>
  </si>
  <si>
    <t>7391846010203</t>
  </si>
  <si>
    <t>7391846004752</t>
  </si>
  <si>
    <t>7391846003830</t>
  </si>
  <si>
    <t>7391846200000</t>
  </si>
  <si>
    <t>7391846013570</t>
  </si>
  <si>
    <t>7391846013884</t>
  </si>
  <si>
    <t>7391846012368</t>
  </si>
  <si>
    <t>7391846010548</t>
  </si>
  <si>
    <t>7391846010593</t>
  </si>
  <si>
    <t>7391846010524</t>
  </si>
  <si>
    <t>7391846010616 </t>
  </si>
  <si>
    <t>7391846010586</t>
  </si>
  <si>
    <t>7391846010562</t>
  </si>
  <si>
    <t>HC Steel</t>
  </si>
  <si>
    <t>Stainless</t>
  </si>
  <si>
    <t>Stainless, Serrated</t>
  </si>
  <si>
    <t>Stainless, Chisel Edge</t>
  </si>
  <si>
    <t>Laminated Steel</t>
  </si>
  <si>
    <t>8211.92.4050</t>
  </si>
  <si>
    <t>A long filleting knife with a blade of swedish cold-rolled special stainless steel.</t>
  </si>
  <si>
    <t>Patterned high-friction grip handle.</t>
  </si>
  <si>
    <t>Plastic sheath with a belt clip.</t>
  </si>
  <si>
    <t>Black/Yellow</t>
  </si>
  <si>
    <t>8201.40.6010</t>
  </si>
  <si>
    <t>Axe head of black epoxy coated boron steel.</t>
  </si>
  <si>
    <t>Reinforced plastic handle.</t>
  </si>
  <si>
    <t>Knife with Carbon Steel blade</t>
  </si>
  <si>
    <t>Patterned high-friction grip handle</t>
  </si>
  <si>
    <t>Plastic sheath with a belt clip. </t>
  </si>
  <si>
    <t>Plastic sheath with a belt clip</t>
  </si>
  <si>
    <t>Knife with a stainless steel blade</t>
  </si>
  <si>
    <t xml:space="preserve">Blade Thickness: 2.5mm, Blade Length: 104mm, Total Length: 219mm, Net Weight: 0.1160 </t>
  </si>
  <si>
    <t>Ergonomic handle with a soft high friction grip</t>
  </si>
  <si>
    <t xml:space="preserve">Companion Heavy Duty is a powerful tool for bushcrafters, hunters and outdoor people. For batoning the knife needs great strength requirements. Then Companion Heavy Duty is to recommend with its three-layer injection molding and the little blunter edge angle 27 ° for maximum sharpness resistance (default is otherwise 23 °).Even Bushcraft Black and Orange have the thicker (3.2 mm) blade with 27 ° edge angle. These knives will not let you down!The knife has an extra large ergonomic handle with a soft high friction grip. The knife has a blade of 3.2 mm thick carbon steel with high load capacity. The classic scandi grind combined with high quality carbon steel makes the knife easy to resharpen. Includes a plastic sheath with a belt clip. </t>
  </si>
  <si>
    <t>The blade is ridgeground especially for use with the fire steel</t>
  </si>
  <si>
    <t>Knife with a 3.2 mm Carbon Steel blade</t>
  </si>
  <si>
    <t>Patterned, double molded, high-friction grip handle</t>
  </si>
  <si>
    <t>The complete TopQ range has knife blades made of the highest-quality Swedish stainless steel available. These knives combine extreme sharpness and cutting edge retention. The knife is extremely sharp and it stays sharp for a long time. Furthermore, the patterned, double-molded, high-friction grip is ergonomically designed making it an efficient, comfortable and safe knife to use. Black plastic sheath for part #M-11999. Black plastic Combi-Sheath on part #M-11900, gives you the ability to connect your favorites. This system is suitable for all knives in the Craftline series and recommended for 2 knives.</t>
  </si>
  <si>
    <t>Knife with a serrated stainless steel blade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</si>
  <si>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With a patterned high-friction grip and serrated blade that has been developed for cutting rope, nylon and fiber. Black plastic sheath.</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</si>
  <si>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t>
  </si>
  <si>
    <t>Knife with a thin flexible stainless steel blade</t>
  </si>
  <si>
    <t>Black/Purple</t>
  </si>
  <si>
    <t xml:space="preserve">Plastic sheath with a belt clip, </t>
  </si>
  <si>
    <t>Black/Orange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</si>
  <si>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Chisel knife with a single side honed blade.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</si>
  <si>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Knife with a thin, tapered blade for precision jobs.</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</si>
  <si>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A knife with a thin flexible blade in stainless steel for cutting rubber, cable and where a flexible blade is needed.</t>
  </si>
  <si>
    <t xml:space="preserve">Knives have been made in Mora since the 17th century and our knives have been ending up into the hands of people all over the world. Our knives are manufactured in Mora, Sweden, giving Mora of Sweden total control of production and quality. AMorakniv® is extremely sharp and has a sharpness that lasts. Our knives always utilize high-quality knife steel that is optimally adapted to the task for which the knife is intended at prices that make sense. </t>
  </si>
  <si>
    <t>Grey/Blue</t>
  </si>
  <si>
    <t>Grey/Yellow</t>
  </si>
  <si>
    <t>Grey</t>
  </si>
  <si>
    <t>Allround knife with double-molded, extra-large ergonomically designed handle. High friction grip. Carbon steel blade is 0.125" (0.32 cm) thick. Grey plastic Combi-Sheath, gives you the ability to connect your favorites. The system is suitable for all knives in the Craftline series and recommended for 2 knives.</t>
  </si>
  <si>
    <t>Plastic twin sheath with a belt clip</t>
  </si>
  <si>
    <t xml:space="preserve">Plastic twin sheath with a belt clip, </t>
  </si>
  <si>
    <t>Areas of Use: Construction</t>
  </si>
  <si>
    <t>Areas of Use: Precision jobs</t>
  </si>
  <si>
    <t>Areas of Use: Cutting rubber, cable and where a flexible blade is needed.</t>
  </si>
  <si>
    <t>Areas of Use: Scaling cable</t>
  </si>
  <si>
    <t>Areas of Use: Cutting rope, nylon, and fiber.</t>
  </si>
  <si>
    <t>Areas of Use: Carpentry and wood work</t>
  </si>
  <si>
    <t>Blade Thickness: 3.2 mm, Blade Length: 109 mm, Total Length: 232mm, Net Weight: 0.1630kg</t>
  </si>
  <si>
    <t>Blade Thickness: 2.0mm, Blade Length: 104mm, Total Length: 219mm, Net Weight: 0.1100kg</t>
  </si>
  <si>
    <t>Blade Thickness: 0.098" (0.25 cm), Blade Length: 4.09" (10.4 cm), Total Length: 8.6" (21.9 cm), Net Weight: 4 oz. (114 g)</t>
  </si>
  <si>
    <t>Blade Thickness: 0.079" (0.20 cm), Blade Length: 2.7" (6.8 cm), Total Length: 7.2" (18.4 cm), Net Weight: 3.1 oz. (88 g)</t>
  </si>
  <si>
    <t xml:space="preserve">Blade Thickness: 0.05" (0.13 cm), Blade Length: 3.5" (9.0 cm), Total Length: 8.1" (20.7 cm), Net Weight: 3.25 oz. (92 g) </t>
  </si>
  <si>
    <t>Blade Thickness: 0.08" (0.2 cm),  Blade Length: 1.7" (4.3 cm), Total Length: 6.3" (16.0 cm), Net Weight: 3.2 oz. (92 g)</t>
  </si>
  <si>
    <t>Blade Thickness: 0.09" (0.23 cm), Blade Length: 3.1" (7.8 cm), Total Length: 7.6" (19.4 cm), Net Weight: 4.1 oz. (116 g)</t>
  </si>
  <si>
    <t xml:space="preserve">Blade Thickness: 0.125" (0.32 cm), Blade Length: 4.1" (10.4 cm), Total Length: 8.9" (22.6 cm), Net Weight: 4.8 oz. (135 g) </t>
  </si>
  <si>
    <t>Areas of Use: Construction and DIY</t>
  </si>
  <si>
    <t xml:space="preserve">Blade Thickness: 0.08" (0.2 cm), Blade Length: 3.7" (9.5 cm), Total Length: 8.4" (21.3 cm), Net Weight: 4.0 oz. (114 g) </t>
  </si>
  <si>
    <t>Allround knife with double-molded, ergonomically designed handle. High friction grip. Blade of Swedish stainless steel hardened to 59-60 RC. Grey plastic Combi-Sheath, gives you the ability to connect your favorites. The system is suitable for all knives in the Craftline series and recommended for 2 knives.</t>
  </si>
  <si>
    <t>Allround knife with double-molded ergonomically designed handle. High friction grip. Blade of carbon steel hardened to 59-60 RC. Grey plastic sheath. Perfect knives for cable scaling.</t>
  </si>
  <si>
    <t>Blade Thickness: 0.08" (0.2 cm), Blade Length: 1.7" (4.3 cm), Total Length: 6.3" (16.0 cm), Net Weight: 3.3 oz. (94 g)</t>
  </si>
  <si>
    <t xml:space="preserve">With a patterned high-friction grip. Chisel knife with a single-side honed, carbon steel blade hardened to 58 RC for maximum hardness. Grey plastic sheath. </t>
  </si>
  <si>
    <t>Blade Thickness: 0.9" (0.23 cm), Blade Length: 3.1" (7.8 cm), Total Length: 7.6" (19.4 cm), Net Weight: 4.2 oz. (120 g)</t>
  </si>
  <si>
    <t>Sharp, durable utility knife. Used by professionals within the construction and industrial sectors for a number of different tasks. Plastic handle. Blade of cold-rolled special Swedish stainless steel. Black plastic sheath.</t>
  </si>
  <si>
    <t>Blade Thickness: 0.08" (0.2 cm), Blade Length: 3.8" (9.6 cm), Total Length: 8.2" (20.8 cm), Net Weight: 3.4 oz. (97 g)</t>
  </si>
  <si>
    <t xml:space="preserve">Blade Thickness: 1.5mm, Blade Length: 335mm, Total Length: 475mm, Net Weight: 0.2300kg
</t>
  </si>
  <si>
    <t> Plastic handle</t>
  </si>
  <si>
    <t>Areas of Use: Carpet/roofing</t>
  </si>
  <si>
    <t>Plastic sheath</t>
  </si>
  <si>
    <t>Blade Thickness: 2.0mm, Blade Length: 63mm, Total Length: 181mm, Net Weight: 0.0880kg</t>
  </si>
  <si>
    <t>Morakniv® Classic has been developed by Mora of Sweden for over a century, and has been utilized by generations of carpenters and wood carvers.  The tradition can be explained by the knives being pleasant to work with and having just the right feel. A reliable knife that has a given place among the tools of a handcrafter. Also used to a great extent by carpenters. Classic wood-splitting knife with carbon steelblade.</t>
  </si>
  <si>
    <t xml:space="preserve">Blade Thickness: 2.5mm, Blade Length: 114mm, Total Length: 368mm, Net Weight: 0.1540kg,  </t>
  </si>
  <si>
    <t>Oiled birchwood handle</t>
  </si>
  <si>
    <t>Hook knife for spoon carving. Single-edged. Carbon steel blade. Oiled birchwood handle. Blade length 52 mm. Internal radius 12 mm. Comes without a sheath.</t>
  </si>
  <si>
    <t xml:space="preserve">Blade Thickness: 2.5mm, Blade Length: 50mm, Total Length: 159mm, Net Weight: 0.0590kg
</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</si>
  <si>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</si>
  <si>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Classic wood-splitting knife with carbon steel blade</t>
  </si>
  <si>
    <t>Blade Thickness: 2.5mm, Blade Length: 114mm, Total Length: 348mm, Net Weight: 0.1510kg</t>
  </si>
  <si>
    <t>Laminated steel blade</t>
  </si>
  <si>
    <t>Sheath of vulcanized fiber</t>
  </si>
  <si>
    <t>Blade Length: 100mm</t>
  </si>
  <si>
    <t>Morakniv® Classic Original – this is what a true Morakniv® looked like before it received its characteristic red handle. The original is still going strong in its role as a functional utility knife. It has also become a collector’s item and an exclusive souvenir. This knife has an oiled birchwood handle. The knife’s laminated steel blade provides it with unsurpassable toughness and superior edge resiliency. The knife has a long lifetime and maximum sharpness. It comes with a sheath of vulcanized fiber.</t>
  </si>
  <si>
    <t>Blade Thickness: 2.0mm, Blade Length: 98mm, Total Length: 199mm, Net Weight: 0.0784kg</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</si>
  <si>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</si>
  <si>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Red ochre birch handle</t>
  </si>
  <si>
    <t>Blade Thickness: 2.0mm, Blade Length: 106mm, Total Length: 210mm, Net Weight: 0.0857kg</t>
  </si>
  <si>
    <t>Blade Thickness: 2.5mm, Blade Length: 152mm, Total Length: 266mm, Net Weight: 0.1270kg</t>
  </si>
  <si>
    <t>Classic knife with a longer carbon steel blade.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</si>
  <si>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Classic knife with carbon steel blade with a smaller blade than the Classic 2.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</si>
  <si>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Blade Thickness: 2.0mm, Blade Length: 98mm, Total Length: 202mm, Net Weight: 0.0820kg</t>
  </si>
  <si>
    <t>Knife with Carbon Steel blade and has double finger protection.</t>
  </si>
  <si>
    <t>Classic Knife with a carbon steel blade and double finger protection.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</si>
  <si>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 Classic 612 has ordinary finger protection. Birchwood handle. Carbon steel blade. Plastic sheath.</t>
  </si>
  <si>
    <t xml:space="preserve">Blade Thickness: 2.0mm, Blade Length: 106mm, Total Length: 216mm, Net Weight: 0.0780kg
</t>
  </si>
  <si>
    <t>Knife with Carbon Steel blade and has single finger protection.</t>
  </si>
  <si>
    <t>Blade Thickness: 0.08" (0.2 cm), Blade Length: 3.8" (9.6 cm), Total Length: 8.2" (20.8 cm), Net Weight: 3.4 oz. (97 g)</t>
  </si>
  <si>
    <t>Sharp, durable utility knife. Used by professionals within the construction and industrial sectors for a number of different tasks. Plastic handle. Blade of carbon steel. Black plastic sheath.</t>
  </si>
  <si>
    <t>Areas of Use: Wood Carving</t>
  </si>
  <si>
    <t>Blade Thickness: 2.0mm, Blade Length: 80mm, Total Length: 192mm, Net Weight: 0.0800kg</t>
  </si>
  <si>
    <t>Our woodcarving knives are well known and appreciated precision tools that are used by wood carvers in Nusnäs, for example. This is where one of Sweden’s most recognized national symbols – the Dala Horse – is carved. Woodcarving knive with a thin blade of carbon steel. Plastic handle. Plastic sheath.</t>
  </si>
  <si>
    <t>Knife with a laminated steel blade</t>
  </si>
  <si>
    <t>Comes with a sheath.</t>
  </si>
  <si>
    <t>Our woodcarving knives are well known and appreciated precision tools that are used by wood carvers in Nusnäs, for example. This is where one of Sweden’s most recognized national symbols – the Dala Horse – is carved. Large woodcarving knife with a thin, tapered blade of laminated steel. Oiled birchwood handle. Blade length 79 mm. Comes with a sheath.</t>
  </si>
  <si>
    <t>Blade Thickness: 2.7mm, Blade Length: 79 mm, Total Length: 200mm, Net Weight: 0.0730kg</t>
  </si>
  <si>
    <t>Blade Thickness: 2.7mm, Blade Length: 60mm, Total Length: 169mm, Net Weight: 0.0690kg</t>
  </si>
  <si>
    <t>Hook knife for spoon carving with Carbon Steel Blade</t>
  </si>
  <si>
    <t>Blade Thickness: 2.5mm, Blade Length: 55mm, Total Length: 162, Net Weight: 0.0690kg</t>
  </si>
  <si>
    <t>Our woodcarving knives are well known and appreciated precision tools that are used by wood carvers in Nusnäs, for example. This is where one of Sweden’s most recognized national symbols – the Dala Horse – is carved. Hook knife for spoon carving. Double-edged. Carbon steel blade. Oiled birchwood handle. Blade length 52 mm. Internal radius 15 mm. Comes without a sheath.</t>
  </si>
  <si>
    <t>Our woodcarving knives are well known and appreciated precision tools that are used by wood carvers in Nusnäs, for example. This is where one of Sweden’s most recognized national symbols – the Dala Horse – is carved. Hook knife for spoon carving. Hook knife for spoon carving. Double-edged. Carbon steel blade. Oiled birchwood handle. Blade length 61 mm.
Internal radius 12 mm.</t>
  </si>
  <si>
    <t xml:space="preserve"> Blade length 52 mm with internal radius 15 mm</t>
  </si>
  <si>
    <t>Blade length 61 mm with internal radius 20–25 mm.</t>
  </si>
  <si>
    <t xml:space="preserve"> Blade length 52 mm with internal radius 12 mm.</t>
  </si>
  <si>
    <t>Forest</t>
  </si>
  <si>
    <t>Blade Thickness: 2.5mm, Blade Length: 109mm, Total Length: 132mm, Net Weight: 0.1420</t>
  </si>
  <si>
    <t xml:space="preserve">A first-rate, all-around knife with a profile-ground blade of Swedish cold-rolled special stainless steel and a patterned high-friction grip.
 </t>
  </si>
  <si>
    <t>Leather sheath</t>
  </si>
  <si>
    <t>Areas of Use: Outdoor, Hunting , Survival</t>
  </si>
  <si>
    <t>Blade Thickness: 1.9mm, Blade Length: 155mm, Total Length: 270mm, Net Weight: 0.0990</t>
  </si>
  <si>
    <t>Blade Thickness: 2.0mm, Blade Length: 150mm, Total Length: 265mm, Net Weight: 0.1150</t>
  </si>
  <si>
    <t xml:space="preserve">Blade Thickness: 2mm, Blade Length: 98mm, </t>
  </si>
  <si>
    <t>Blade Thickness: 1.3mm, Blade Length: 90mm, Total Length: 204mm, Net Weight: 0.0930kg</t>
  </si>
  <si>
    <t>Handmade hunting knife with laminated steel blade</t>
  </si>
  <si>
    <t>Blade Thickness: ~2.7mm, Blade Length: ~112mm, Total Length: 220mm, Net Weight: 0.120kg</t>
  </si>
  <si>
    <t>Hunting knife with a laminated steel blade and a handle of hardwood and brass. Blade length 109 mm. Leather sheath.</t>
  </si>
  <si>
    <t xml:space="preserve">Areas of Use: Hunting </t>
  </si>
  <si>
    <t>Robust leather case</t>
  </si>
  <si>
    <t>Fine (600) diamond sharpener</t>
  </si>
  <si>
    <t>Keeps knives and axes in good shape</t>
  </si>
  <si>
    <t>A fine (600) diamond sharpener used to keep knives and axes in good shape. Comes in a robust leather case.</t>
  </si>
  <si>
    <t>Short filleting knife with a blade of stainless steel</t>
  </si>
  <si>
    <t>Areas of Use: Fishing</t>
  </si>
  <si>
    <t>Short filleting knife with a blade of stainless steel. Serrated back for scaling.</t>
  </si>
  <si>
    <t>A short cleaning knife with a serrated back for scaling. Suitable for carving. Blade of Swedish cold-rolled special stainless steel. Patterned high-friction grip handle. Plastic sheath with a belt clip.</t>
  </si>
  <si>
    <t>Fishing knife with a serrated back and a blade of stainless steel.</t>
  </si>
  <si>
    <t>Plastic "Easy-Clean" sheath. Two interchangeable beltclips.</t>
  </si>
  <si>
    <t>A long filleting knife with a blade of swedish cold-rolled special stainless steel. Patterned high-friction grip handle. "Easy-Clean" sheath. Two interchangeable beltclips.  </t>
  </si>
  <si>
    <t>A short filleting knife with a blade of swedish cold-rolled special stainless steel. Patterned high-friction grip handle.</t>
  </si>
  <si>
    <t>Black/Red</t>
  </si>
  <si>
    <t>Plastic sheath with a belt loop</t>
  </si>
  <si>
    <t>This is an all-purpose belt knife with a 4" carbon steel blade .098" thick. You will like the feel of these. They would make great hunting, camping or utility knives for those who do not insist on traditional materials. The knife and sheath weigh about 4 1/4 ounces. Sharp, durable utility knife. Used by professionals within the construction and industrial sectors for a number of different tasks. Plastic handle. Blade of cold-rolled special Swedish stainless steel. Black plastic sheath.</t>
  </si>
  <si>
    <t>This is an all-purpose belt knife with a 4" stainless steel blade. You will like the feel of these. They would make great hunting, camping or utility knives.  Sharp, durable utility knife. Used by professionals within the construction and industrial sectors for a number of different tasks. Plastic handle. Blade of cold-rolled special Swedish stainless steel. Black plastic sheath.</t>
  </si>
  <si>
    <t>Cushioned rubber grips with integral guards</t>
  </si>
  <si>
    <t>Plastic Handle</t>
  </si>
  <si>
    <t xml:space="preserve">Areas of Use: Utility </t>
  </si>
  <si>
    <t>A knife with a special stainless steel serrated edge</t>
  </si>
  <si>
    <t>A knife with a stainless steel smooth edge</t>
  </si>
  <si>
    <t>Areas of Use: fabric covered mineral wool</t>
  </si>
  <si>
    <t>Knives have ample handles that fit in your hand even when wearing gloves.</t>
  </si>
  <si>
    <t>Areas of Use: Insulation knife</t>
  </si>
  <si>
    <t xml:space="preserve">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A knife with a smooth edge. Smooth-edged knives are suitable for cutting fabric covered mineral wool.The knife has an ample handle that fit your hand even when wearing gloves. Insulation knives with a blade of swedish cold-rolled special stainless steel and a 350 mm blade length.
</t>
  </si>
  <si>
    <t>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A knife with a special stainless steel serrated edge.</t>
  </si>
  <si>
    <t xml:space="preserve">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Carpet-/roofing felt-/leatherknife with carbon steel blade.  Plastic handle designed to give maximum pulling force. </t>
  </si>
  <si>
    <t>Ergonomic double-moulded handle with a  high friction grip</t>
  </si>
  <si>
    <t>The all-in-one knife for outdoor buffs. Blade of Swedish cold-rolled special stainless steel. Patterned high-friction grip makes the knife pleasant to hold and easy to handle. </t>
  </si>
  <si>
    <t>Areas of Use: Wood Splitting</t>
  </si>
  <si>
    <t>CYAN BLUE</t>
  </si>
  <si>
    <t>CYAN Blue</t>
  </si>
  <si>
    <t>DISCONTINUED</t>
  </si>
  <si>
    <t>Powertrekk</t>
  </si>
  <si>
    <t>FC-PT-2X3P</t>
  </si>
  <si>
    <t>POWERTREKK + 2 PUCK 3-PACKS</t>
  </si>
  <si>
    <t>054269001025</t>
  </si>
  <si>
    <t>FC-TREKK</t>
  </si>
  <si>
    <t>PowerTrekk Fuel Cell Device</t>
  </si>
  <si>
    <t>FC-PUCK-3PK</t>
  </si>
  <si>
    <t>PowerTrekk Puck 3-pack</t>
  </si>
  <si>
    <t>7350063670027</t>
  </si>
  <si>
    <t>7350063670010</t>
  </si>
  <si>
    <t>7391846013952</t>
  </si>
  <si>
    <t>7391846011750</t>
  </si>
  <si>
    <t>GR-1</t>
  </si>
  <si>
    <t>GR-FB</t>
  </si>
  <si>
    <t>054269000875</t>
  </si>
  <si>
    <t>054269500405</t>
  </si>
  <si>
    <t>054269000929</t>
  </si>
  <si>
    <t>GR-FBXL</t>
  </si>
  <si>
    <t>myFC PowerTrekk is the first portable fuel cell charger that runs on ordinary water. By using advanced fuel cell technology to convert hydrogen gas into electricity, myFC PowerTrekk can directly charge mobile phones and other USB-­compatible electronic devices such as digital cameras and GPS units. The hybrid myFC PowerTrekk can also store electricity in its efficient, rechargeable lithium-­ion battery until you need it.</t>
  </si>
  <si>
    <t>Instant power, anywhere, anytime</t>
  </si>
  <si>
    <t>Just add Puck and water to activate charging.</t>
  </si>
  <si>
    <t>Rechargable Fuel Cell holds 5.6 watt hours</t>
  </si>
  <si>
    <t>Dimensions: 5" x 2.5" x 1.5" (12.7 cm x 6.4 cm x 3.8 cm); Weight-Battery only: 6.1 oz. (173 g);  Weight: 8.5 oz. (240 g)</t>
  </si>
  <si>
    <t>The myFC PowerTrekk Fuel Cell produces 2.5 watts at 5 volts, and runs for over two hours on one Puck.</t>
  </si>
  <si>
    <t>The myFC PowerTrekk Puck is the fuel pack used by myFC PowerTrekk to carry out the fuel-cell based charge. You simply insert a Puck into your myFC PowerTrekk and add a little water, then you can immediately use your myFC PowerTrekk to charge the battery in your USB device. Each Puck will provide more than 4 watt hours of energy, which provides about a full charge to a standard smartphone. myFC PowerTrekk Pucks are sold in 3-packs.</t>
  </si>
  <si>
    <t>Weight/puck: 1.2 oz. (33 g)</t>
  </si>
  <si>
    <t>Provides 4+ watt hours of power.</t>
  </si>
  <si>
    <t>Puck runs for over 2 hours</t>
  </si>
  <si>
    <t>Dimensions-packed: 11.4" x 0.9" (29 cm x 2.2 cm); Dimensions-bbq area: 9.1" x 10.2" (23 cm x 26 cm); Weight: 19.8 oz. (560 g)</t>
  </si>
  <si>
    <t>P-UCA-OEM</t>
  </si>
  <si>
    <t>P-UMOUNT-OEM</t>
  </si>
  <si>
    <t>Mounts onto any standard tripod with 1/4-20 tripod socket</t>
  </si>
  <si>
    <t>Positions device at any angle</t>
  </si>
  <si>
    <t>Durable aluminum clamp body and Screw</t>
  </si>
  <si>
    <t>Attaches to round or flat objects from 0" to 1.5" thick</t>
  </si>
  <si>
    <t>Attaches to any device with a 1/4-20 mounting screw, such as Xshots, monopods, or tripods, and easily converts it into ballmount for increased adjustability.</t>
  </si>
  <si>
    <t>Magenta</t>
  </si>
  <si>
    <t>M-12141</t>
  </si>
  <si>
    <t>M-12157</t>
  </si>
  <si>
    <t>M-12158</t>
  </si>
  <si>
    <t>M-12159</t>
  </si>
  <si>
    <t>M-111-2103</t>
  </si>
  <si>
    <t>Carbon Steel</t>
  </si>
  <si>
    <t>This knife for children has ordinary finger protection.</t>
  </si>
  <si>
    <t xml:space="preserve">Carbon steel blade. </t>
  </si>
  <si>
    <t xml:space="preserve">Oiled birchwood handle. </t>
  </si>
  <si>
    <t>Blade length 75 mm.</t>
  </si>
  <si>
    <t>Plastic sheath.</t>
  </si>
  <si>
    <t>Our woodcarving knives are well known and appreciated precision tools that are used by wood carvers in Nusnäs, for example. This is where one of Sweden’s most recognized national symbols – the Dala Horse – is carved.</t>
  </si>
  <si>
    <t>2850.00.5000</t>
  </si>
  <si>
    <t>8504.40.9090</t>
  </si>
  <si>
    <t>M-1-0731</t>
  </si>
  <si>
    <t>Grandpa's FireGrill</t>
  </si>
  <si>
    <t>ML-SL</t>
  </si>
  <si>
    <t>ML-SL4PK</t>
  </si>
  <si>
    <t>054269001032</t>
  </si>
  <si>
    <t>054269001049</t>
  </si>
  <si>
    <t>ML-LUMORAPOD</t>
  </si>
  <si>
    <t>054269000905</t>
  </si>
  <si>
    <t>MT-POP-COUNTER</t>
  </si>
  <si>
    <t>MT-POP-FLOOR</t>
  </si>
  <si>
    <t>Fire Packages</t>
  </si>
  <si>
    <t>S-FP-SMALL</t>
  </si>
  <si>
    <t>S-FP-MEDIUMWALL</t>
  </si>
  <si>
    <t>S-FP-LARGEWALL</t>
  </si>
  <si>
    <t>Medium FirePackage - Floor Stand</t>
  </si>
  <si>
    <t>Medium FirePackage - Wall Display</t>
  </si>
  <si>
    <t>Large FirePackage - Wall Display</t>
  </si>
  <si>
    <t>Box 1</t>
  </si>
  <si>
    <t>Box 2</t>
  </si>
  <si>
    <t>Box 3</t>
  </si>
  <si>
    <t>Bonus Products: 20 Sporks</t>
  </si>
  <si>
    <t>Demo Products:  MealKit 2.0 Demo, LunchKit Demo, Pack-up-bottle Demo, SpiceBox Demo, Swedish FireSteel, Demo</t>
  </si>
  <si>
    <t xml:space="preserve">Includes:  48-Swedish FireSteel Scout, 20-Tinder-on-a-rope, 24-Grandpa's FireFork, 24-SpiceBox, 12-Titanium Spork, 12-LunchKit, 24-MealKit 2.0, 6 - SnapBox Oval, 6 SnapBox Original, 24-SporkCase, 60 pcs-Hanging Spork Bucket, 12-Pack-up-bottle, 12-pack-up-cup, </t>
  </si>
  <si>
    <t>Bonus Products: Quantity 2 - 60 pcs-Spork Original Bucket</t>
  </si>
  <si>
    <t xml:space="preserve">Includes:  36-Swedish FireSteel Scout, 2 0-Tinder-on-a-rope,  12-Grandpa's FireFork,   12-SpiceBox,  12-Titanium Spork,  12-LunchKit,  12-MealKit 2.0,  6-SnapBox Oval,  6 SnapBox Original,  12-SporkCase, 60 Pcs-Hanging Spork Bucket,  6-Pack-up-bottle,  6-pack-up-cup, </t>
  </si>
  <si>
    <t>Bonus Products: 60 pcs-Spork Original Bucket</t>
  </si>
  <si>
    <t>Demo Products:  MealKit 2.0 Demo,  LunchKit Demo,  Pack-up-bottle Demo,  SpiceBox Demo, Swedish FireSteel, Demo</t>
  </si>
  <si>
    <t>Demo Products: MealKit 2.0 Demo,  Swedish FireSteel Scout Demo</t>
  </si>
  <si>
    <t>Includes:  24-Swedish FireSteel Scout,   6-MealKit 2.0,    60 Pcs -Sporkoriginal Bucket</t>
  </si>
  <si>
    <t>7331423007073</t>
  </si>
  <si>
    <t xml:space="preserve">Designed for use with POV video and medium-sized high performance cameras. The UltraPod Go! Is compatible with all cameras with 1/4" 20 mount with a maximum weight of 3 pounds. At only 1.5 oz (43g) the ultralight, ultracompact, ultraversatile UltraPod GO! is perfect for extreme sports photographers and travelers on the go. </t>
  </si>
  <si>
    <t>Boron Steel</t>
  </si>
  <si>
    <t>S-FP-LARGEHEADER</t>
  </si>
  <si>
    <t>Large FirePackage - Header Graphic</t>
  </si>
  <si>
    <t>Medium FirePackage - Header Graphic</t>
  </si>
  <si>
    <t xml:space="preserve">Small FirePackage - Counter Display </t>
  </si>
  <si>
    <t>S-FP-MEDIUMHEADER</t>
  </si>
  <si>
    <t>Includes:  36-Swedish FireSteel Scout, 2 0-Tinder-on-a-rope,  12-Grandpa's FireFork,   12-SpiceBox,  12-Titanium Spork,  12-LunchKit,  12-MealKit 2.0,  6-SnapBox Oval,  6 SnapBox Original,  12-SporkCase, 60 Pcs-Hanging Spork Bucket,  6-Pack-up-bottle,  6-pack-up-cup</t>
  </si>
  <si>
    <t>Salt&amp;Pepper Plus™</t>
  </si>
  <si>
    <t>M-12051</t>
  </si>
  <si>
    <t>M-129-3830</t>
  </si>
  <si>
    <t>M-1-1991</t>
  </si>
  <si>
    <t>F-ICE-B</t>
  </si>
  <si>
    <t>Ice Cream Ball  (Pint) - BOXED</t>
  </si>
  <si>
    <t>054269000943</t>
  </si>
  <si>
    <t>054269000950</t>
  </si>
  <si>
    <t xml:space="preserve">                    </t>
  </si>
  <si>
    <t>Stainless Steel</t>
  </si>
  <si>
    <t>F-ICEQ-B</t>
  </si>
  <si>
    <t>054269000967</t>
  </si>
  <si>
    <t>054269000974</t>
  </si>
  <si>
    <t>Ice Cream Ball  (Quart) - BOXED</t>
  </si>
  <si>
    <t xml:space="preserve">Ice Cream Ball  (Quart) </t>
  </si>
  <si>
    <t xml:space="preserve">Ice Cream Ball  (Pint) </t>
  </si>
  <si>
    <t>Ice Cream Ball  (Pint)</t>
  </si>
  <si>
    <t xml:space="preserve">Flavor Fountain </t>
  </si>
  <si>
    <t>Swedish Firesteel - Scout Model</t>
  </si>
  <si>
    <t>Swedish FireSteel Army 2.0</t>
  </si>
  <si>
    <t>Swedish Firesteel - Army Model</t>
  </si>
  <si>
    <t>LunchKit</t>
  </si>
  <si>
    <t>SporkCase - Bucket</t>
  </si>
  <si>
    <t>TinderDust - BULK</t>
  </si>
  <si>
    <t xml:space="preserve">Candlelier Deluxe Kit Bag </t>
  </si>
  <si>
    <t>Match Case  (no matches included)</t>
  </si>
  <si>
    <t>L-AN-KIT</t>
  </si>
  <si>
    <t>L-C-STD</t>
  </si>
  <si>
    <t>L-AN-STD</t>
  </si>
  <si>
    <t xml:space="preserve">S-FK-BULK </t>
  </si>
  <si>
    <t>D-C-STD</t>
  </si>
  <si>
    <t>D-C-VP</t>
  </si>
  <si>
    <t>C-C-STD</t>
  </si>
  <si>
    <t>Makes one quart of ice cream in about 25 minutes.</t>
  </si>
  <si>
    <t>Salt&amp;Pepper Plus™ Plexitube</t>
  </si>
  <si>
    <t>Serving Spork - Blister</t>
  </si>
  <si>
    <t>Serving Spork BULK - in Bucket</t>
  </si>
  <si>
    <t xml:space="preserve">Spork Lefty 2 pack - Blister </t>
  </si>
  <si>
    <t>Spill-Free Cup</t>
  </si>
  <si>
    <t>No UPC</t>
  </si>
  <si>
    <t>C-A-DK</t>
  </si>
  <si>
    <t>SporkCase, blister, w/ 1 spork -  Blister</t>
  </si>
  <si>
    <t>Grandpa's FireFork - Blister</t>
  </si>
  <si>
    <t>7391846013907</t>
  </si>
  <si>
    <t xml:space="preserve">2.35L Pot with Heat Exchanger and non-stick coating                </t>
  </si>
  <si>
    <t>E-PHE2350WN</t>
  </si>
  <si>
    <t>4260149870841</t>
  </si>
  <si>
    <t>The Esbit 2.35 L Pot with Heat Exchanger is an excellent cookset with a multi-layer nonstick coating. The heat exchanger reduces the time to boil, making your stove energy efficient and saving fuel when cooking so you don't have to carry as much. This pot also comes with a lid, pot gripper, and a pot holder which all store inside the included mesh bag.</t>
  </si>
  <si>
    <t>P-UP-MINI-COLOR</t>
  </si>
  <si>
    <t>UltraPod Mini - Lightweight Camera Tripod - Orange</t>
  </si>
  <si>
    <t>UltraPod Mini - Lightweight Camera Tripod - Yellow</t>
  </si>
  <si>
    <t>Matches POP Counter Display - Assorted Matches</t>
  </si>
  <si>
    <t>Matches POP Floor Display - Assorted Matches</t>
  </si>
  <si>
    <t>Strike-on-Box Matches</t>
  </si>
  <si>
    <t xml:space="preserve">Outdoor MealKit </t>
  </si>
  <si>
    <t>Spork - Assorted - 24 pack</t>
  </si>
  <si>
    <t>Spork 4-Pack - Assorted (Blue, Red, Yellow, Green Apple)</t>
  </si>
  <si>
    <t>Spork - BLISTER</t>
  </si>
  <si>
    <t>Serving Spork -BULK - Red</t>
  </si>
  <si>
    <t>Serving Spork -BULK- Silver Metallic</t>
  </si>
  <si>
    <t>Serving Spork BULK- Black</t>
  </si>
  <si>
    <t>Original Candle Lantern plus LED Value Pack</t>
  </si>
  <si>
    <t>Micro Lantern</t>
  </si>
  <si>
    <t>Candlelier Candle Lantern Deluxe Kit, Blue Bag</t>
  </si>
  <si>
    <t>Craftline Q Allround 511</t>
  </si>
  <si>
    <t>Craftline Q Allround 546</t>
  </si>
  <si>
    <t>Allround 748</t>
  </si>
  <si>
    <t>Craftline TopQ Allround</t>
  </si>
  <si>
    <t>Craftline TopQ Precision</t>
  </si>
  <si>
    <t>Craftline TopQ Flex</t>
  </si>
  <si>
    <t>Craftline TopQ Electrician</t>
  </si>
  <si>
    <t>Craftline TopQ Rope</t>
  </si>
  <si>
    <t>Craftline TopQ Chisel</t>
  </si>
  <si>
    <t>Craftline HighQ Robust</t>
  </si>
  <si>
    <t>Craftline HighQ Allround</t>
  </si>
  <si>
    <t>Craftline HighQ Electrician</t>
  </si>
  <si>
    <t>Craftsmen 333 Insulation</t>
  </si>
  <si>
    <t>Craftsmen 7350 Insulation</t>
  </si>
  <si>
    <t>Classic Original 1</t>
  </si>
  <si>
    <t>Bushcraft Orange</t>
  </si>
  <si>
    <t>Bushcraft Black</t>
  </si>
  <si>
    <t>Companion Color-Mix</t>
  </si>
  <si>
    <t>Clipper 840</t>
  </si>
  <si>
    <t>Bushcraft Forest</t>
  </si>
  <si>
    <t>Forest Exclusive 277</t>
  </si>
  <si>
    <t>Forest Exclusive 311</t>
  </si>
  <si>
    <t xml:space="preserve">Fishing Comfort Fillet 155    </t>
  </si>
  <si>
    <t>Fishing Comfort Scaler 150</t>
  </si>
  <si>
    <t>Fishing Comfort Scaler 098</t>
  </si>
  <si>
    <t xml:space="preserve">Fishing Comfort Fillet 090    </t>
  </si>
  <si>
    <t xml:space="preserve">Swedish FireSteel Scout 2.0 </t>
  </si>
  <si>
    <t>7331423007240</t>
  </si>
  <si>
    <t>Chile</t>
  </si>
  <si>
    <t>054269000981</t>
  </si>
  <si>
    <t>Dishwasher safe.</t>
  </si>
  <si>
    <t>The three-way design locks everything up tight, no matter how tough your trip is.</t>
  </si>
  <si>
    <t>M-121-5150</t>
  </si>
  <si>
    <t>M-121-5240</t>
  </si>
  <si>
    <t>M-141-7160</t>
  </si>
  <si>
    <t>M-129-3820</t>
  </si>
  <si>
    <t>M-121-0090</t>
  </si>
  <si>
    <t>M-121-5210</t>
  </si>
  <si>
    <t>M-121-5215</t>
  </si>
  <si>
    <t>M-121-5180</t>
  </si>
  <si>
    <t>M-121-5190</t>
  </si>
  <si>
    <t>M-128-5107</t>
  </si>
  <si>
    <t>M-128-5039</t>
  </si>
  <si>
    <t>M-129-3790</t>
  </si>
  <si>
    <t>M-129-3805</t>
  </si>
  <si>
    <t>M-129-3855</t>
  </si>
  <si>
    <t>M-129-3990</t>
  </si>
  <si>
    <t>M-129-3940</t>
  </si>
  <si>
    <t>M-129-3960</t>
  </si>
  <si>
    <t>M-129-3980</t>
  </si>
  <si>
    <t>M-129-4020</t>
  </si>
  <si>
    <t>Gutting Spoon 302P</t>
  </si>
  <si>
    <t>Gutting Hook 351P</t>
  </si>
  <si>
    <t>Roeing &amp; Bleeding Knife 950P</t>
  </si>
  <si>
    <t>Bait Knife 9106UG</t>
  </si>
  <si>
    <t>M-11460</t>
  </si>
  <si>
    <t>M-12160</t>
  </si>
  <si>
    <t>M-129-40520</t>
  </si>
  <si>
    <t>M-129-40960</t>
  </si>
  <si>
    <t>M-138-6820</t>
  </si>
  <si>
    <t>M-138-6810</t>
  </si>
  <si>
    <t>M-11184</t>
  </si>
  <si>
    <t>Chef's Knife 4216PG</t>
  </si>
  <si>
    <t>Bread Knife 3214PG</t>
  </si>
  <si>
    <t>Paring Knife 4085PAM</t>
  </si>
  <si>
    <t>Vegetable Knife 4118PAM</t>
  </si>
  <si>
    <t>Wide Butcher Knife 7250UG</t>
  </si>
  <si>
    <t>Sharpeners</t>
  </si>
  <si>
    <t>M-11968</t>
  </si>
  <si>
    <t>M-161-5900</t>
  </si>
  <si>
    <t>Hoof Care</t>
  </si>
  <si>
    <t>M-109-1980</t>
  </si>
  <si>
    <t>M-109-1940</t>
  </si>
  <si>
    <t>Designed for right-handed users.</t>
  </si>
  <si>
    <t>Efficient, easy to work with and can be honed.</t>
  </si>
  <si>
    <t>Wood handle.</t>
  </si>
  <si>
    <t>Property: Medium-Flex</t>
  </si>
  <si>
    <t>Weight: 6.1 oz. (172 g)</t>
  </si>
  <si>
    <t>Efficient, easy to work with and can be honed. Plastic handle.</t>
  </si>
  <si>
    <t>Plastic handle.</t>
  </si>
  <si>
    <t>Steel: Carbon</t>
  </si>
  <si>
    <t>Weight: 2.7 oz. (77 g)</t>
  </si>
  <si>
    <t>Sharpening Steel Round P207-7</t>
  </si>
  <si>
    <t>A small sharpener with a flat and a rounded site together with a small groove for sharpening knife blades or fishing hooks.
site together with a small groove for</t>
  </si>
  <si>
    <t>Rod Length: 2.1"</t>
  </si>
  <si>
    <t>Weight: 0.4 oz. (11 g)</t>
  </si>
  <si>
    <t>Slip-resistant handle is reinforced with glassfiber for increased friction.</t>
  </si>
  <si>
    <t>Length: 5.9"</t>
  </si>
  <si>
    <t>Thickness: 0.08"</t>
  </si>
  <si>
    <t>Steel: Stainless</t>
  </si>
  <si>
    <t>Weight: 4.5 oz. (128 g)</t>
  </si>
  <si>
    <t>Length: 4.6"</t>
  </si>
  <si>
    <t>Weight: 4.2 oz. (119 g)</t>
  </si>
  <si>
    <t>Gutting Knife 299 with Spoon and wood handle.</t>
  </si>
  <si>
    <t>Blade of Swedish Sandvik 12C27 stainless knife steel for extreme sharpness and high-edge retention.</t>
  </si>
  <si>
    <t>Blade hardened by deep refrigeration at -80° for maximum hardness (58 RC).</t>
  </si>
  <si>
    <t>Double-molded, rubber handle with an etched structure.</t>
  </si>
  <si>
    <t>Suitable for wet conditions.</t>
  </si>
  <si>
    <t>Used for fish, beef, and game.</t>
  </si>
  <si>
    <t>Polyamide handle with high-friction characteristics unaffected by fats or humidity. Recommended for pork or lamb processing.</t>
  </si>
  <si>
    <t>Knife Blanks</t>
  </si>
  <si>
    <t>M-191-2334</t>
  </si>
  <si>
    <t>M-191-2333</t>
  </si>
  <si>
    <t>M-191-2343</t>
  </si>
  <si>
    <t>M-191-2313</t>
  </si>
  <si>
    <t>M-191-2363</t>
  </si>
  <si>
    <t>M-191-2423</t>
  </si>
  <si>
    <t>M-191-250062</t>
  </si>
  <si>
    <t>M-191-2603</t>
  </si>
  <si>
    <t>M-191-2722</t>
  </si>
  <si>
    <t>Knife Blade No. 1 Stainless</t>
  </si>
  <si>
    <t>Thickness: 0.1" (2.5 mm)</t>
  </si>
  <si>
    <t>7391846007463</t>
  </si>
  <si>
    <t>7391846007975</t>
  </si>
  <si>
    <t>7391846004912</t>
  </si>
  <si>
    <t>7391846009931</t>
  </si>
  <si>
    <t>7391846005681</t>
  </si>
  <si>
    <t>7391846007630</t>
  </si>
  <si>
    <t>7391846009979</t>
  </si>
  <si>
    <t>7391846007951</t>
  </si>
  <si>
    <t>7391846007982</t>
  </si>
  <si>
    <t>7391846008040</t>
  </si>
  <si>
    <t>7391846008279</t>
  </si>
  <si>
    <t>7391846005971</t>
  </si>
  <si>
    <t>7391846008262</t>
  </si>
  <si>
    <t>7391846008286</t>
  </si>
  <si>
    <t>7391846008309</t>
  </si>
  <si>
    <t>7391846008330</t>
  </si>
  <si>
    <t>7391846008361</t>
  </si>
  <si>
    <t>7391846008354</t>
  </si>
  <si>
    <t>7391846007296</t>
  </si>
  <si>
    <t>Length: 2.0" (50 mm)</t>
  </si>
  <si>
    <t>Weight: 3.1 oz. (88 g)</t>
  </si>
  <si>
    <t>Property: Stiff</t>
  </si>
  <si>
    <t>FUCHSIA</t>
  </si>
  <si>
    <t>LIME</t>
  </si>
  <si>
    <t>SPIRIT</t>
  </si>
  <si>
    <t>S-FL-KIT</t>
  </si>
  <si>
    <t>FU-ORG</t>
  </si>
  <si>
    <t>7331423008612</t>
  </si>
  <si>
    <t>7331423008605</t>
  </si>
  <si>
    <t>Lime &amp; Cyan</t>
  </si>
  <si>
    <t>Spirit</t>
  </si>
  <si>
    <t>7331423008629</t>
  </si>
  <si>
    <t>7331423008599</t>
  </si>
  <si>
    <t>Grandpa’s FireGrill™</t>
  </si>
  <si>
    <t>Adjustable height for use with most food.</t>
  </si>
  <si>
    <t>The wire mechanism attaches the grill securely to a stick and it can be locked in place when folded out and used as a gridiron.</t>
  </si>
  <si>
    <t>No need to cut fresh branches—attaches to practically any stick.</t>
  </si>
  <si>
    <t>7331423007615</t>
  </si>
  <si>
    <t>7331423008223</t>
  </si>
  <si>
    <t>7331423008247</t>
  </si>
  <si>
    <t>7331423008193</t>
  </si>
  <si>
    <t>7331423007608</t>
  </si>
  <si>
    <t>7331423008216</t>
  </si>
  <si>
    <t>S-PD-KIT</t>
  </si>
  <si>
    <t>CY-LI</t>
  </si>
  <si>
    <t>7331423008667</t>
  </si>
  <si>
    <t>7331423008674</t>
  </si>
  <si>
    <t>7331423008520</t>
  </si>
  <si>
    <t>7331423008537</t>
  </si>
  <si>
    <t>GR-BLK</t>
  </si>
  <si>
    <t>Pack-Up Drink kit™</t>
  </si>
  <si>
    <t>Pack’n Eat kit™</t>
  </si>
  <si>
    <t>Eat out in style! What you need to share a meal with a friend.</t>
  </si>
  <si>
    <t>Green &amp; Black</t>
  </si>
  <si>
    <t>S-PE-KIT</t>
  </si>
  <si>
    <t>7331423008315</t>
  </si>
  <si>
    <t>7331423008650</t>
  </si>
  <si>
    <t>Fuchsia &amp; Cyan</t>
  </si>
  <si>
    <t>LI-GRN</t>
  </si>
  <si>
    <t>FU-CY</t>
  </si>
  <si>
    <t>S-SP-XM-2PK</t>
  </si>
  <si>
    <t>Black &amp; Orange</t>
  </si>
  <si>
    <t>BLK-ORG</t>
  </si>
  <si>
    <t>Lime &amp; Green</t>
  </si>
  <si>
    <t>ML-EMBER</t>
  </si>
  <si>
    <t>UCO Ember Flashlight &amp; Lantern</t>
  </si>
  <si>
    <t>054269001018</t>
  </si>
  <si>
    <t>3 lighting modes</t>
  </si>
  <si>
    <t xml:space="preserve">The Ember LED is a compact lantern and flashlight all in one. </t>
  </si>
  <si>
    <t xml:space="preserve">Extend the globe to light up a room </t>
  </si>
  <si>
    <t>1 watt LED</t>
  </si>
  <si>
    <t>High: 70 Lumens &amp; 10 hours Low: 21 Lumens &amp; 20 hours</t>
  </si>
  <si>
    <t>The Ember LED Lantern is a compact lantern and flashlight all in one. This simple, yet versatile, LED allows you to extend the globe to light up a room during a power outage or collapse the globe to focus light on the path in front of you. An excellent addition to emergency prepardness kits for your home, auto, and boat.</t>
  </si>
  <si>
    <t>ML-ARKA-EU</t>
  </si>
  <si>
    <t>ML-ARKA-POP</t>
  </si>
  <si>
    <t>054269001001</t>
  </si>
  <si>
    <t>P-UP1-QR</t>
  </si>
  <si>
    <t>P-UP2-QR</t>
  </si>
  <si>
    <t>Magnetic mount, with 50 lb. pull, securely attaches to magnetic surfaces.</t>
  </si>
  <si>
    <t>Positions device at any angle.</t>
  </si>
  <si>
    <t>Fits any device with a 1/4-20 tripod socket.</t>
  </si>
  <si>
    <t>Ideal for use with small cameras, camcorders, optic scopes, etc.</t>
  </si>
  <si>
    <t>Injection-molded, glass-reinforced nylon thermoplastic resin clamp head and knobs allow years of use.</t>
  </si>
  <si>
    <t>E-POP-1</t>
  </si>
  <si>
    <t>Includes 18 each of: Pocket Stove, Small w/ 6 Solid Fuel tablets (E-STOVE-6X14). Solid Fuel, 12x14 g (E-FUEL-12X14)</t>
  </si>
  <si>
    <t>M-12281</t>
  </si>
  <si>
    <t>M-12280</t>
  </si>
  <si>
    <t>M-11882</t>
  </si>
  <si>
    <t>M-113-3515</t>
  </si>
  <si>
    <t>M-11006</t>
  </si>
  <si>
    <t>M-11453</t>
  </si>
  <si>
    <t>M-11969</t>
  </si>
  <si>
    <t>S-SP-L-2PK</t>
  </si>
  <si>
    <t>Protective case includes two Sporks</t>
  </si>
  <si>
    <t>Propylene handle.</t>
  </si>
  <si>
    <t>Double-molded, rubber handle with an etched structure</t>
  </si>
  <si>
    <t>Blade hardened by means of deep refrigeration at -80° for maximum hardness (58 RC).</t>
  </si>
  <si>
    <t>Handle of polyamide with a microblasted structure for optimum friction.</t>
  </si>
  <si>
    <t>Weight: 8.3 oz. (236 g)</t>
  </si>
  <si>
    <t>Weight: 2.2 oz. (62 g)</t>
  </si>
  <si>
    <t>Weight: 2.3 oz. (65 g)</t>
  </si>
  <si>
    <t>Keep knives sharp and ready with this handy sharpening steel.</t>
  </si>
  <si>
    <t>Weight: 6.2 oz. (175 g)</t>
  </si>
  <si>
    <t>Comfortable handle and long steel rod make sharpening knives quick and easy.</t>
  </si>
  <si>
    <t>Hunting knife with a blade of Swedish cold-rolled special stainless steel and a handle of hardwood and aluminium.</t>
  </si>
  <si>
    <t>Bright leather sheath with a heat-embossed hunting theme from 1955.</t>
  </si>
  <si>
    <t>Propylene handle with gutting spoon.</t>
  </si>
  <si>
    <t>Weight: 3.1 oz</t>
  </si>
  <si>
    <t>Thickness: 0.1"</t>
  </si>
  <si>
    <t>Weight: 5.0 oz. (142 g)</t>
  </si>
  <si>
    <t>4260149870674</t>
  </si>
  <si>
    <t>7316220000908</t>
  </si>
  <si>
    <t>Wood</t>
  </si>
  <si>
    <t>Scandinavian Trimming 7215PG</t>
  </si>
  <si>
    <t>Black Progrip handle</t>
  </si>
  <si>
    <t>7391846014348</t>
  </si>
  <si>
    <t>7391846003632</t>
  </si>
  <si>
    <t>7391846012375</t>
  </si>
  <si>
    <t>Grey/Green</t>
  </si>
  <si>
    <t>Knife with a 3.2 mm Carbon Steel blade with black coating.</t>
  </si>
  <si>
    <t>Morakniv®</t>
  </si>
  <si>
    <t>P-MAGMT</t>
  </si>
  <si>
    <t>7331423000999</t>
  </si>
  <si>
    <t>7331423001026</t>
  </si>
  <si>
    <t>7331423008353</t>
  </si>
  <si>
    <t>7331423008377</t>
  </si>
  <si>
    <t>7331423008391</t>
  </si>
  <si>
    <t>7331423008384</t>
  </si>
  <si>
    <t>7331423008407</t>
  </si>
  <si>
    <t>Fits inside a MealKit or LunchKit.</t>
  </si>
  <si>
    <t>S-CB3PK</t>
  </si>
  <si>
    <t>Ideal for pot stirring, burger flipping, salad serving, etc.</t>
  </si>
  <si>
    <t>Durable and heat resistant.</t>
  </si>
  <si>
    <t>Dishwasher safe and safe for non-stick cookware.</t>
  </si>
  <si>
    <t>Longer design for deep food bags or pots.</t>
  </si>
  <si>
    <t>Durable and heat resistant BPA free.</t>
  </si>
  <si>
    <t>S-FFORK-2PK</t>
  </si>
  <si>
    <t>Curved points hold food firmly—also works well as a fire poker.</t>
  </si>
  <si>
    <t>Made from a single stainless steel wire.</t>
  </si>
  <si>
    <t>Safety cap for easy storage.</t>
  </si>
  <si>
    <t>Hole for cord in safety cap.</t>
  </si>
  <si>
    <t>Lime</t>
  </si>
  <si>
    <t>Fuchsia</t>
  </si>
  <si>
    <t>S-SPCASE2</t>
  </si>
  <si>
    <t>Sporks’n Case™</t>
  </si>
  <si>
    <t>Trans. Blue &amp; Cyan</t>
  </si>
  <si>
    <t>Trans. Pink &amp; Fuchsia</t>
  </si>
  <si>
    <t>Trans. Green &amp; Green</t>
  </si>
  <si>
    <t>Trans. Orange &amp; Orange</t>
  </si>
  <si>
    <t>Lime &amp; Purple</t>
  </si>
  <si>
    <t>S-SP-2PK</t>
  </si>
  <si>
    <t>054269001209</t>
  </si>
  <si>
    <t>054269001230</t>
  </si>
  <si>
    <t xml:space="preserve">M-12418 </t>
  </si>
  <si>
    <t>ML-SL2PK</t>
  </si>
  <si>
    <t>S-P-SPORKSNCASE</t>
  </si>
  <si>
    <t>VILLAGE</t>
  </si>
  <si>
    <t>Blue, pink, green</t>
  </si>
  <si>
    <t>Firefork Plexi + 20 pcs</t>
  </si>
  <si>
    <t>054269001247</t>
  </si>
  <si>
    <t>054269001254</t>
  </si>
  <si>
    <t>M-11870</t>
  </si>
  <si>
    <t>7391846015307</t>
  </si>
  <si>
    <t>A-C-STD</t>
  </si>
  <si>
    <t>F-SS-PT</t>
  </si>
  <si>
    <t>054269001223</t>
  </si>
  <si>
    <t>ML-SL2PK-RGB</t>
  </si>
  <si>
    <t>054269001278</t>
  </si>
  <si>
    <t>054269001193</t>
  </si>
  <si>
    <t>A-CA30PK-B-AMZ</t>
  </si>
  <si>
    <t>A-CA30PK-C-AMZ</t>
  </si>
  <si>
    <t>L-CA20PK-AMZ</t>
  </si>
  <si>
    <t>L-CA20PK-C-AMZ</t>
  </si>
  <si>
    <t>L-CA20PK-B-AMZ</t>
  </si>
  <si>
    <t>054269001179</t>
  </si>
  <si>
    <t>054269001094</t>
  </si>
  <si>
    <t>054269001117</t>
  </si>
  <si>
    <t>054269001131</t>
  </si>
  <si>
    <t>US</t>
  </si>
  <si>
    <t>100% natural beeswax formula (non-paraffin based)</t>
  </si>
  <si>
    <t>Bushcraft Black SRT</t>
  </si>
  <si>
    <t>GR-4</t>
  </si>
  <si>
    <t>054269001261</t>
  </si>
  <si>
    <t>ML-TETRA</t>
  </si>
  <si>
    <t>054269001216</t>
  </si>
  <si>
    <t>7331423009169</t>
  </si>
  <si>
    <t xml:space="preserve">M-11859 </t>
  </si>
  <si>
    <t>7391846010630</t>
  </si>
  <si>
    <t>M-11732</t>
  </si>
  <si>
    <t>Morakniv 510</t>
  </si>
  <si>
    <t>7391846012306</t>
  </si>
  <si>
    <t>M-11529</t>
  </si>
  <si>
    <t>7391846003687</t>
  </si>
  <si>
    <t>7391846011538</t>
  </si>
  <si>
    <t>Morakniv Equus hoof trimming knives and farrier’s knives have been developed in close collaboration with blacksmiths and veterinarians. Efficient, easy to work with and can be honed.</t>
  </si>
  <si>
    <t>7316220019801</t>
  </si>
  <si>
    <t>M-12204</t>
  </si>
  <si>
    <t>7391846014621</t>
  </si>
  <si>
    <t>Allround 748 MG</t>
  </si>
  <si>
    <t>Military Green</t>
  </si>
  <si>
    <t>Sharp, durable utility knife. Used by professionals within the construction and industrial sectors for a number of different tasks. Plastic handle. Blade of cold-rolled special Swedish stainless steel. Military Green plastic sheath.</t>
  </si>
  <si>
    <t>Plastic sheath with a leather belt loop</t>
  </si>
  <si>
    <t>Colorful Products in Display</t>
  </si>
  <si>
    <t>S-CPID-FSSC2</t>
  </si>
  <si>
    <t>S-CPID-FK</t>
  </si>
  <si>
    <t>S-CPID-FFORK</t>
  </si>
  <si>
    <t>S-CPID-SPICEBOX</t>
  </si>
  <si>
    <t>S-CPID-PUC</t>
  </si>
  <si>
    <t>S-CPID-SPORKLITTLE</t>
  </si>
  <si>
    <t>S-CPID-TITANIUM</t>
  </si>
  <si>
    <t>S-CPID-SPORK</t>
  </si>
  <si>
    <t>cy/li/gr/fu/or/bl</t>
  </si>
  <si>
    <t>FireKnife 15pcs , display.</t>
  </si>
  <si>
    <t>Salt&amp;Pepper plus 15pcs , display</t>
  </si>
  <si>
    <t>Pack-up-Cup 12pcs , display</t>
  </si>
  <si>
    <t xml:space="preserve">Knives have been made in Mora since the 17th century and our knives have been ending up into the hands of people all over the world. Our knives are manufactured in Mora, Sweden, giving Mora of Sweden total control of production and quality. A Morakniv® is extremely sharp and has a sharpness that lasts. Our knives always utilize high-quality knife steel that is optimally adapted to the task for which the knife is intended at prices that make sense. </t>
  </si>
  <si>
    <t>M-1-0002.SB</t>
  </si>
  <si>
    <t>M-12090</t>
  </si>
  <si>
    <t>M-12092</t>
  </si>
  <si>
    <t>M-12154</t>
  </si>
  <si>
    <t>M-12210</t>
  </si>
  <si>
    <t>M-12211</t>
  </si>
  <si>
    <t>M-12213</t>
  </si>
  <si>
    <t>M-12214</t>
  </si>
  <si>
    <t>M-12215</t>
  </si>
  <si>
    <t>GREENS</t>
  </si>
  <si>
    <t>RED-PINK</t>
  </si>
  <si>
    <t>Green - Dark Green</t>
  </si>
  <si>
    <t>A-LTN-STD</t>
  </si>
  <si>
    <t>054269001063</t>
  </si>
  <si>
    <t>Wild Element</t>
  </si>
  <si>
    <t>054269001292</t>
  </si>
  <si>
    <t>RASPBERRY</t>
  </si>
  <si>
    <t>Dimming switch adjusts 3 lighting modes from high to low light to S.O.S. emergency strobe.</t>
  </si>
  <si>
    <t>S-FP-ADV-FLOOR</t>
  </si>
  <si>
    <t>S-FP-ADV-BASIC</t>
  </si>
  <si>
    <t>FirePackage Adventure, Floor</t>
  </si>
  <si>
    <t>FirePackage Adventure, Basic</t>
  </si>
  <si>
    <t>Thickness 2mm</t>
  </si>
  <si>
    <t>Thickness 3mm</t>
  </si>
  <si>
    <t>Thickness 2.5mm</t>
  </si>
  <si>
    <t>Thickness 2.7mm</t>
  </si>
  <si>
    <t>Blade Length 3.9"</t>
  </si>
  <si>
    <t>Blade Length 4.3"</t>
  </si>
  <si>
    <t>Blade Length 4"</t>
  </si>
  <si>
    <t>Blade Length 3"</t>
  </si>
  <si>
    <t>Blade Length 5.9"</t>
  </si>
  <si>
    <t>Blade Length 3.2"</t>
  </si>
  <si>
    <t>Blade Length 4.5"</t>
  </si>
  <si>
    <t>Blade Length 2.3"</t>
  </si>
  <si>
    <t>Blade Length 3.7"</t>
  </si>
  <si>
    <t>Weight  1.4 oz.</t>
  </si>
  <si>
    <t>Weight 1.3 oz.</t>
  </si>
  <si>
    <t>Weight 1.7 oz.</t>
  </si>
  <si>
    <t xml:space="preserve"> Weight 2.1 oz.</t>
  </si>
  <si>
    <t>Weight 1.5 oz.</t>
  </si>
  <si>
    <t>Weight 1.1 oz.</t>
  </si>
  <si>
    <t>Weight 2.7 oz.</t>
  </si>
  <si>
    <t>Weight 2.3 oz.</t>
  </si>
  <si>
    <t>Weight 4.2 oz.</t>
  </si>
  <si>
    <t>Full length with tang is 7"</t>
  </si>
  <si>
    <t>Full length with tang is 7.75"</t>
  </si>
  <si>
    <t>Full length with tang is 7.25"</t>
  </si>
  <si>
    <t>Full length with tang is 6.5"</t>
  </si>
  <si>
    <t>Full length with tang is 10.5"</t>
  </si>
  <si>
    <t>Full length with tang is 8"</t>
  </si>
  <si>
    <t>054269001339</t>
  </si>
  <si>
    <t>F-SS-QT</t>
  </si>
  <si>
    <t>054269001346</t>
  </si>
  <si>
    <t>054269001353</t>
  </si>
  <si>
    <t>054269001360</t>
  </si>
  <si>
    <t>BLUEBERRY</t>
  </si>
  <si>
    <t>F-SS-PT-LLB</t>
  </si>
  <si>
    <t>F-SS-QT-LLB</t>
  </si>
  <si>
    <t>M-109-1910</t>
  </si>
  <si>
    <t>M-109-1920</t>
  </si>
  <si>
    <t>M-109-1930</t>
  </si>
  <si>
    <t>M-109-1950</t>
  </si>
  <si>
    <t>Equus Farrier's 171LH Narrow</t>
  </si>
  <si>
    <t>Equus Farrier's 171RH Narrow</t>
  </si>
  <si>
    <t>Equus Farrier's 180LH Wide</t>
  </si>
  <si>
    <t>Equus Farrier's 188 Double Edge</t>
  </si>
  <si>
    <t>7316220019108</t>
  </si>
  <si>
    <t>7316220019207</t>
  </si>
  <si>
    <t>7316220019306</t>
  </si>
  <si>
    <t>7316220019504</t>
  </si>
  <si>
    <t>M-12309</t>
  </si>
  <si>
    <t>M-12310</t>
  </si>
  <si>
    <t>M-12311</t>
  </si>
  <si>
    <t>7391846015666</t>
  </si>
  <si>
    <t>7391846015581</t>
  </si>
  <si>
    <t>7391846015628</t>
  </si>
  <si>
    <t>M-12312</t>
  </si>
  <si>
    <t>M-12313</t>
  </si>
  <si>
    <t>M-12314</t>
  </si>
  <si>
    <t>M-12315</t>
  </si>
  <si>
    <t>7391846015703</t>
  </si>
  <si>
    <t>7391846015543</t>
  </si>
  <si>
    <t>7391846015680</t>
  </si>
  <si>
    <t>7391846015604</t>
  </si>
  <si>
    <t>M-12316</t>
  </si>
  <si>
    <t>M-12317</t>
  </si>
  <si>
    <t>M-12318</t>
  </si>
  <si>
    <t>7391846015642</t>
  </si>
  <si>
    <t>7391846015727</t>
  </si>
  <si>
    <t>7391846015567</t>
  </si>
  <si>
    <t>M-12422</t>
  </si>
  <si>
    <t>M-12423</t>
  </si>
  <si>
    <t>7391846015741</t>
  </si>
  <si>
    <t>7391846015758</t>
  </si>
  <si>
    <t>M-11934</t>
  </si>
  <si>
    <t>Original 1</t>
  </si>
  <si>
    <t>M-12147</t>
  </si>
  <si>
    <t>M-12241</t>
  </si>
  <si>
    <t>M-12244</t>
  </si>
  <si>
    <t>M-12243</t>
  </si>
  <si>
    <t>M-12242</t>
  </si>
  <si>
    <t>M-12250</t>
  </si>
  <si>
    <t>M-12201</t>
  </si>
  <si>
    <t>M-12245</t>
  </si>
  <si>
    <t>M-12247</t>
  </si>
  <si>
    <t>M-12249</t>
  </si>
  <si>
    <t>M-12248</t>
  </si>
  <si>
    <t>Basic 511</t>
  </si>
  <si>
    <t>Basic 546</t>
  </si>
  <si>
    <t>Safe</t>
  </si>
  <si>
    <t>Pro C</t>
  </si>
  <si>
    <t>Pro S</t>
  </si>
  <si>
    <t>Chisel</t>
  </si>
  <si>
    <t>Electrician</t>
  </si>
  <si>
    <t>Rope</t>
  </si>
  <si>
    <t>Precision</t>
  </si>
  <si>
    <t>Robust</t>
  </si>
  <si>
    <t>Flex</t>
  </si>
  <si>
    <t>M-121-5070</t>
  </si>
  <si>
    <t>M-128-5617</t>
  </si>
  <si>
    <t>Wide Butcher Knife 7145UG</t>
  </si>
  <si>
    <t>M-128-5717</t>
  </si>
  <si>
    <t>M-121-5090</t>
  </si>
  <si>
    <t>M-121-5020</t>
  </si>
  <si>
    <t>M-1-0149</t>
  </si>
  <si>
    <t>M-1-0147</t>
  </si>
  <si>
    <t>M-121-5030</t>
  </si>
  <si>
    <t>M-121-5060</t>
  </si>
  <si>
    <t>M-11182</t>
  </si>
  <si>
    <t>M-11183</t>
  </si>
  <si>
    <t>M-12492</t>
  </si>
  <si>
    <t>M-12356</t>
  </si>
  <si>
    <t>M-12490</t>
  </si>
  <si>
    <t>M-12417</t>
  </si>
  <si>
    <t>M-12294</t>
  </si>
  <si>
    <t>M-12295</t>
  </si>
  <si>
    <t>M-12355</t>
  </si>
  <si>
    <t>7391846016212</t>
  </si>
  <si>
    <t>7391846015253</t>
  </si>
  <si>
    <t>7391846016274</t>
  </si>
  <si>
    <t>7391846015390</t>
  </si>
  <si>
    <t>M-12494</t>
  </si>
  <si>
    <t>M-12495</t>
  </si>
  <si>
    <t>M-12208</t>
  </si>
  <si>
    <t>M-12207</t>
  </si>
  <si>
    <t>7391846014546</t>
  </si>
  <si>
    <t>7391846014522</t>
  </si>
  <si>
    <t>7391846015024</t>
  </si>
  <si>
    <t>M-12475</t>
  </si>
  <si>
    <t>7391846015352</t>
  </si>
  <si>
    <t>L-C-VPUCO</t>
  </si>
  <si>
    <t>MT-TSM-CONT</t>
  </si>
  <si>
    <t>MT-TSM1</t>
  </si>
  <si>
    <t>054269001315</t>
  </si>
  <si>
    <t>054269001308</t>
  </si>
  <si>
    <t>ML-ALKI</t>
  </si>
  <si>
    <t>054269001438</t>
  </si>
  <si>
    <t>E-FJ750SP-BR</t>
  </si>
  <si>
    <t>E-FJ750SP-GO</t>
  </si>
  <si>
    <t>E-VF1000DW-BG</t>
  </si>
  <si>
    <t>E-VF1000DW-BR</t>
  </si>
  <si>
    <t>E-VF1000DW-GO</t>
  </si>
  <si>
    <t>S-P-PACKNSNACK</t>
  </si>
  <si>
    <t>S-P-GRILLNCHILL</t>
  </si>
  <si>
    <t>Original</t>
  </si>
  <si>
    <t>Original Value Pack</t>
  </si>
  <si>
    <t>Original Kit</t>
  </si>
  <si>
    <t>Duo (LED + Original)</t>
  </si>
  <si>
    <t>Anodized Red</t>
  </si>
  <si>
    <t>Anodized Green</t>
  </si>
  <si>
    <t>Anodized Black</t>
  </si>
  <si>
    <t>Bullet #6 (Highlight Features)</t>
  </si>
  <si>
    <t>Bullet #7 (Highlight Features)</t>
  </si>
  <si>
    <t>Bullet #8 (Highlight Features)</t>
  </si>
  <si>
    <t>Lantern collapses down to 4.25"</t>
  </si>
  <si>
    <t>Lightweight, durable aluminum construction</t>
  </si>
  <si>
    <t>Burns long-lasting UCO 9-hour candle</t>
  </si>
  <si>
    <t>Easy-slide glass chimney, spring-loaded candle tube, and viewing slot</t>
  </si>
  <si>
    <t xml:space="preserve">Carrying handle, hanging hook, and twist-lock base </t>
  </si>
  <si>
    <t>Provides ample light, warms surroundings, and helps remove condensation</t>
  </si>
  <si>
    <t>Chase away the chill with this lightweight, collapsible Original Candle Lantern. This trusted, time-tested lantern fights dampness and brightens up camp or the backyard. Ideal for backpacking, mountaineering, snow camping and other outdoor pursuits, this classic lantern provides cozy heat and natural light for up to 9 hours (per candle). Surrounded by a sturdy metal frame and a glass chimney, the candle is lit in a flash—slide the chimney down and light the exposed wick. As the candle burns, the spring-powered tube pushes the candle up for a reliable, constant flame. Monitor the candle for remaining burn time through the viewing slot on the side of the lantern.</t>
  </si>
  <si>
    <r>
      <t>Since its founding in 1971 as UCO, the Original Candle Lantern company, Industrial Revolution has expanded to become a leading manufacturer and distributor of innovative products that promote fun, safety, and comfort in the outdoors. In addition to UCO</t>
    </r>
    <r>
      <rPr>
        <sz val="10"/>
        <color rgb="FF0000FF"/>
        <rFont val="Arial"/>
        <family val="2"/>
      </rPr>
      <t xml:space="preserve"> </t>
    </r>
    <r>
      <rPr>
        <sz val="10"/>
        <color rgb="FF1F497D"/>
        <rFont val="Arial"/>
        <family val="2"/>
      </rPr>
      <t>C</t>
    </r>
    <r>
      <rPr>
        <sz val="10"/>
        <rFont val="Arial"/>
        <family val="2"/>
      </rPr>
      <t xml:space="preserve">andle </t>
    </r>
    <r>
      <rPr>
        <sz val="10"/>
        <color rgb="FF1F497D"/>
        <rFont val="Arial"/>
        <family val="2"/>
      </rPr>
      <t>L</t>
    </r>
    <r>
      <rPr>
        <sz val="10"/>
        <rFont val="Arial"/>
        <family val="2"/>
      </rPr>
      <t>anterns</t>
    </r>
    <r>
      <rPr>
        <sz val="10"/>
        <color rgb="FF1F497D"/>
        <rFont val="Arial"/>
        <family val="2"/>
      </rPr>
      <t xml:space="preserve">, LED lighting, </t>
    </r>
    <r>
      <rPr>
        <sz val="10"/>
        <rFont val="Arial"/>
        <family val="2"/>
      </rPr>
      <t>Stormproof Matches and portable grills, Industrial Revolution makes YayLabs! Ice Cream Balls</t>
    </r>
    <r>
      <rPr>
        <sz val="10"/>
        <color rgb="FF0000FF"/>
        <rFont val="Arial"/>
        <family val="2"/>
      </rPr>
      <t xml:space="preserve"> </t>
    </r>
    <r>
      <rPr>
        <sz val="10"/>
        <rFont val="Arial"/>
        <family val="2"/>
      </rPr>
      <t>and</t>
    </r>
    <r>
      <rPr>
        <sz val="10"/>
        <color rgb="FF0000FF"/>
        <rFont val="Arial"/>
        <family val="2"/>
      </rPr>
      <t> </t>
    </r>
    <r>
      <rPr>
        <sz val="10"/>
        <rFont val="Arial"/>
        <family val="2"/>
      </rPr>
      <t>Pedco</t>
    </r>
    <r>
      <rPr>
        <sz val="10"/>
        <color rgb="FF0000FF"/>
        <rFont val="Arial"/>
        <family val="2"/>
      </rPr>
      <t xml:space="preserve"> </t>
    </r>
    <r>
      <rPr>
        <sz val="10"/>
        <rFont val="Arial"/>
        <family val="2"/>
      </rPr>
      <t>tripods and clamps. Industrial Revolution is the US distributor of cutting-edge product lines from around the world, including Swedish Light My Fire products such as the Spork and FireSteel®, German-based Esbit</t>
    </r>
    <r>
      <rPr>
        <sz val="10"/>
        <color rgb="FF0000FF"/>
        <rFont val="Arial"/>
        <family val="2"/>
      </rPr>
      <t xml:space="preserve"> </t>
    </r>
    <r>
      <rPr>
        <sz val="10"/>
        <rFont val="Arial"/>
        <family val="2"/>
      </rPr>
      <t>solid fuel stoves and cookware, and Sweden-based Morakniv® (Mora knives). For more information on Industrial Revolution, see www.industrialrev.com.</t>
    </r>
  </si>
  <si>
    <t>Durable brass construction</t>
  </si>
  <si>
    <t>L-A-VPUCO</t>
  </si>
  <si>
    <t>L-B-VPUCO</t>
  </si>
  <si>
    <t>Fleece bag stores the lantern and candles</t>
  </si>
  <si>
    <t>Grab the Value Pack and start your adventure! The pack includes the Original Candle Lantern™ and a 3-pack of UCO 9-hour candles stored in a convenient fleece bag.</t>
  </si>
  <si>
    <t>Side reflector clips on easily and directs light to one side</t>
  </si>
  <si>
    <t>Neoprene Cocoon slides on easily and helps prevent scratches, dents and breakage</t>
  </si>
  <si>
    <t>Protect your lantern and fine-tune the glow with this Original Candle Lantern Kit. The kit includes the Original Candle Lantern, a side reflector to direct light, and a Cocoon™ to help prevent scratches, dents and glass breakage during storage and transport.</t>
  </si>
  <si>
    <t>Constructed of lightweight, durable aluminum</t>
  </si>
  <si>
    <t>Glass chimney, carrying handle, and twist-lock vented base</t>
  </si>
  <si>
    <t>The Mini Candle Lantern is a safe and convenient source of light and warmth both outdoors and in. Lightweight and fueled by a tealight candle, it’s ideal for ultralight hiking, bike touring and world travel, as well as a handy light to use around the home.</t>
  </si>
  <si>
    <r>
      <t>Original Candle Lantern + LED</t>
    </r>
    <r>
      <rPr>
        <sz val="10"/>
        <rFont val="Calibri"/>
        <family val="2"/>
      </rPr>
      <t>™</t>
    </r>
  </si>
  <si>
    <t>Detachable LED light is housed in base of lanter</t>
  </si>
  <si>
    <t>Provides up to 40 hours of LED light (two CR2032 batteries included)</t>
  </si>
  <si>
    <t>Lantern collapses down to 4.75"</t>
  </si>
  <si>
    <t>Want the warm glow of a long-burning candle but crave the security of modern technology? Say hello to your new favorite lantern. A smaller-than-your-palm, battery-powered LED flashlight fits conveniently into the base of this UCO Original Candle Lantern and can work separately from the lantern. Pop out the LED flashlight with its tabletop stand and use it to illuminate a task or your favorite novel. The candle burns up to 9 hours while the batteries for the LED flashlight will last up to 40 hours.</t>
  </si>
  <si>
    <t>Lantern collapses down to 2.5"</t>
  </si>
  <si>
    <t>Glass chimney, carrying handle, hanging hook, and twist-lock base</t>
  </si>
  <si>
    <t>Additional tealight candle stored inside base</t>
  </si>
  <si>
    <t>For a warm glow of candlelight around the campsite, pack this cleverly compact Micro Candle Lantern. Its feather light, fuss free and fueled by a tealight candle with an extra stored in the lantern’s base. Weighing far less than the smartphone in your pocket, you’ll hardly notice the smarter source of light and warmth you’ve stashed in your pack.</t>
  </si>
  <si>
    <t>Heats small amounts of water or food on heat shield</t>
  </si>
  <si>
    <t>Burns long-lasting UCO 9-hour candle; burn 1,2, or all 3 candles depending on your lighting needs</t>
  </si>
  <si>
    <t>Glass chimney and three spring-loaded candle tubes with viewing slots</t>
  </si>
  <si>
    <t>Carrying handle and twist-lock base</t>
  </si>
  <si>
    <t>Need more lumens? Amp up the brightness and fend off chill with the UCO Candlelier Candle Lantern. Sporting three UCO 9-hour candles, this brilliant source of heat and light is perfect for large groups of campers and for home and emergency use. Brighten up your next family picnic plus keep your coffee hot, too. Just place your mug or cooking pot on the heat shield and—voila! The Candlelier cleverly heats small amounts of water or food while providing a warm, ambient glow to your campsite or porch.</t>
  </si>
  <si>
    <t>9-Hour Candles, Bulk</t>
  </si>
  <si>
    <t>9-Hour Candles, 3-Pack</t>
  </si>
  <si>
    <t>Citronella Candles, 3-Pack</t>
  </si>
  <si>
    <t>Beeswax Candles, 3-Pack</t>
  </si>
  <si>
    <t>4-Hour Tealight Candles, 6-pack</t>
  </si>
  <si>
    <t>Citronella Tealight Candles, 6-pack</t>
  </si>
  <si>
    <t xml:space="preserve">Beeswax Tealight Candles, 3-pack </t>
  </si>
  <si>
    <t>Beeswax Tealights, 30-pack</t>
  </si>
  <si>
    <t>Citronella Tealights, 30-pack</t>
  </si>
  <si>
    <t>9-Hour Candles, 20-pack</t>
  </si>
  <si>
    <t>Citronella Candles, 20-pack</t>
  </si>
  <si>
    <t>Beeswax Candles, 20-pack</t>
  </si>
  <si>
    <t>Burns 9+ hours per candle</t>
  </si>
  <si>
    <t>Special wax formula optimized for use in UCO Candle Lanterns</t>
  </si>
  <si>
    <t>High-melt temperature minimizes dripping</t>
  </si>
  <si>
    <t>Special wick provides ideal flame</t>
  </si>
  <si>
    <t>Produces heat to warm tent and reduce condensation</t>
  </si>
  <si>
    <t>Economical source of light</t>
  </si>
  <si>
    <t>The trusty candle just got better. We’ve developed and designed our 9-hour candles by fine-tuning the wick size and the wax formula to optimize burn time and reduce soot build-up in candle lanterns. Enjoy more light, longer.</t>
  </si>
  <si>
    <r>
      <t xml:space="preserve">For use in Original Candle Lantern™, Original Candle Lantern + LED™ and </t>
    </r>
    <r>
      <rPr>
        <sz val="10"/>
        <color rgb="FF262626"/>
        <rFont val="Arial"/>
        <family val="2"/>
      </rPr>
      <t>Candlelier® Candle Lanterns or for use in a candle holder.</t>
    </r>
  </si>
  <si>
    <t>Citronella oil is mixed into the paraffin</t>
  </si>
  <si>
    <t xml:space="preserve">Create a bit of cozy with UCO’s citronella-infused paraffin candles. Long-lasting and easy to pack, they also emit a sweet scent that infuses the air and refreshes your senses after a full day of outdoor adventure! So, light up the lantern and create a relaxing, welcome source of heat, light and a soothing scent. </t>
  </si>
  <si>
    <t>Burns 12+ hours per candle</t>
  </si>
  <si>
    <t>100% natural beeswax formula (non-paraffin based) is optimized for use in UCO Candle Lanterns</t>
  </si>
  <si>
    <t>Special cotton wick provides ideal flame</t>
  </si>
  <si>
    <t>Our 100% natural beeswax candles burn longer and cleaner than wax candles, delivering 12+ hours of burn time, with less smoke and a naturally sweet aroma. The cotton wick and the wax formula optimize burn time and reduce soot build-up. Enjoy cleaner light, longer.</t>
  </si>
  <si>
    <r>
      <t xml:space="preserve">For use in Original Candle Lantern™, Original Candle Lantern + LED™ and </t>
    </r>
    <r>
      <rPr>
        <sz val="10"/>
        <color rgb="FF262626"/>
        <rFont val="Arial"/>
        <family val="2"/>
      </rPr>
      <t>Candlelier® Candle Lanterns or for use in a candle holder. Made in the USA</t>
    </r>
  </si>
  <si>
    <t>Burns 4-5 hours per tealight candle</t>
  </si>
  <si>
    <t>6 candles per pack</t>
  </si>
  <si>
    <t>Not just for mood lighting anymore, tealights have been re-discovered as tiny powerhouses of heat and light. Lightweight, inexpensive and easy to store, they deliver high-quality light and heat and are available worldwide. We’ve developed UCO Mini and Micro Candle Lanterns for use with tealight candles. Burn time is 4-5 hours per candle with a total of 24-30 hours of light per 6-pack of candles.</t>
  </si>
  <si>
    <t>For use in Mini Candle Lantern™ and Micro Candle Lantern™ or for use in a tealight candle holder. Made in the USA.</t>
  </si>
  <si>
    <t>3 candles per pack</t>
  </si>
  <si>
    <t>For use in Mini Candle Lantern™ and Micro Candle Lantern™ or for use in a tealight candle holder.</t>
  </si>
  <si>
    <t>Portable Grills</t>
  </si>
  <si>
    <t>Side Reflector</t>
  </si>
  <si>
    <t>Pac-Flat Reflector™</t>
  </si>
  <si>
    <t>Candlelier® Side Reflector</t>
  </si>
  <si>
    <t>Works on all UCO Original Candle Lanterns (does not fit Original Candle Lantern + LED Light or Candlelier Lantern)</t>
  </si>
  <si>
    <t>Uses lamp oil or kerosene (liquid paraffin)</t>
  </si>
  <si>
    <t>Increase your options by morphing your Candle Lantern into an oil lamp. Twist off the lantern’s original base and replace it (along with the spring and candle tube) with this oil insert. Oil insert burns liquid paraffin or kerosene for up to 6 hours.</t>
  </si>
  <si>
    <t>Fits Original, Original + LED, Micro and Mini Candle Lantern models</t>
  </si>
  <si>
    <t>Directs light to one side</t>
  </si>
  <si>
    <t>Clips on easily to the candle lantern</t>
  </si>
  <si>
    <t xml:space="preserve">When you need some focused light, clip the Side Reflector to an edge of your lantern and re-direct the light. It will increase the warm glow of your lantern and, though it won’t boil an egg, it will definitely kick up the cozy. </t>
  </si>
  <si>
    <t>Focuses the light and reflects it downward</t>
  </si>
  <si>
    <t>Slides easily over the top of the candle lantern</t>
  </si>
  <si>
    <t>Separates easily into 2 flat pieces for storage</t>
  </si>
  <si>
    <t xml:space="preserve">Cast light where you need it. The Pac-Flat Reflector is a brilliant 2-piece aluminum “hat” that clicks together and slides over the top of your Candle Lantern, directing and focusing the light downward. Ideal for illuminating a tent, picnic table or any area over which the lantern will be hung, the reflector is lightweight and packs up small and fast. </t>
  </si>
  <si>
    <t>Works on all UCO Original Candle Lanterns</t>
  </si>
  <si>
    <t>Includes LED light, modified base, batteries, and longer bail</t>
  </si>
  <si>
    <t>Kick your resources up a notch. If you already own an Original Candle Lantern you can improve the functionality of it by adding a long-lasting LED to the base. This kit also replaces the base and hanging hook.</t>
  </si>
  <si>
    <t>Fits Candlelier Candle Lantern</t>
  </si>
  <si>
    <t>Slides on easily to the candle lantern</t>
  </si>
  <si>
    <t>Get focused, fast. Slide the Candlelier Side Reflector through the side of the Candlelier® Candle Lantern and get ready to be blinded by the light—but in a good way. Get your chores done in record time, then settle in with some competitive Uno or Yahtzee with the campsite crew.</t>
  </si>
  <si>
    <t>L-CA-C</t>
  </si>
  <si>
    <t>Citronella Candles, Bulk</t>
  </si>
  <si>
    <t>L-CA-B</t>
  </si>
  <si>
    <t>Beeswax Candles, Bulk</t>
  </si>
  <si>
    <t>054269100940</t>
  </si>
  <si>
    <t>Original Candle Lantern™ Repair Kit</t>
  </si>
  <si>
    <t>B-GL-REP</t>
  </si>
  <si>
    <t>9405.91.6000</t>
  </si>
  <si>
    <t>054269103767</t>
  </si>
  <si>
    <t>Titan Stormproof Match Kit™</t>
  </si>
  <si>
    <t>Stormproof Match Kit™</t>
  </si>
  <si>
    <t>Stormproof Matches™ (1 box, 25 matches)</t>
  </si>
  <si>
    <t>Stormproof Matches™ (2 boxes, 50 matches)</t>
  </si>
  <si>
    <t>Stormproof Matches™ (POP Display w/ 30 bulk boxes)</t>
  </si>
  <si>
    <t>Survival Stormproof Matches™ (Bulk, 10 matches)</t>
  </si>
  <si>
    <t>Survival Stormproof Match Kit™</t>
  </si>
  <si>
    <t>Waterproof Matches (4-pack)</t>
  </si>
  <si>
    <t>Compact Safety Matches (10-pack)</t>
  </si>
  <si>
    <t>Strike Anywhere Matches</t>
  </si>
  <si>
    <t>Compact Strike Anywhere Matches (10-pack)</t>
  </si>
  <si>
    <t>Stormproof Match Kit™ (POP Display w/ 24 Kits)</t>
  </si>
  <si>
    <t>Titan Stormproof Matches™ (bulk, 25 matches)</t>
  </si>
  <si>
    <t>3605.00.0000</t>
  </si>
  <si>
    <t>Stormproof Matches™ (1 box bulk, 25 matches)</t>
  </si>
  <si>
    <t>24PK-ASST</t>
  </si>
  <si>
    <t>054269001285</t>
  </si>
  <si>
    <t>3923.30.0090</t>
  </si>
  <si>
    <t>Alki Lantern + Flashlight™</t>
  </si>
  <si>
    <t>Lumora Lantern + Flashlight™</t>
  </si>
  <si>
    <t>Arka USB Charger + Lantern + Flashlight™</t>
  </si>
  <si>
    <t>StakeLight™ (2-pack)</t>
  </si>
  <si>
    <t>StakeLight RGB™ (2-pack)</t>
  </si>
  <si>
    <t>StakeLight™ (4-pack)</t>
  </si>
  <si>
    <t>Arka USB Charger + Lantern + Flashlight™ (EU/UK plug)</t>
  </si>
  <si>
    <t>Arka USB Charger + Lantern + Flashlight™ (POP w/ 5 Arka)</t>
  </si>
  <si>
    <t>7321.89.0050</t>
  </si>
  <si>
    <t>Headlamps</t>
  </si>
  <si>
    <t>Candle Lantern Accessories</t>
  </si>
  <si>
    <t>Matches</t>
  </si>
  <si>
    <t>LED Lanterns &amp; Flashlights</t>
  </si>
  <si>
    <t>Special Edition Candle Lantern</t>
  </si>
  <si>
    <t>L-LTD1</t>
  </si>
  <si>
    <t>054269001322</t>
  </si>
  <si>
    <t>HL-A45</t>
  </si>
  <si>
    <t>HL-A120</t>
  </si>
  <si>
    <t>BUFFALO</t>
  </si>
  <si>
    <t>WILD</t>
  </si>
  <si>
    <t>Buffalo Plaid</t>
  </si>
  <si>
    <t>Wild</t>
  </si>
  <si>
    <t>054269001483</t>
  </si>
  <si>
    <t>054269001469</t>
  </si>
  <si>
    <t>054269001476</t>
  </si>
  <si>
    <t>BLACKTAN</t>
  </si>
  <si>
    <t>ELECTRIC</t>
  </si>
  <si>
    <t>VINTAGEGRN</t>
  </si>
  <si>
    <t>Black &amp; Tan</t>
  </si>
  <si>
    <t>Electric Blues</t>
  </si>
  <si>
    <t>Vintage Green</t>
  </si>
  <si>
    <t>054269001513</t>
  </si>
  <si>
    <t>054269001490</t>
  </si>
  <si>
    <t>054269001506</t>
  </si>
  <si>
    <t xml:space="preserve">Cascadian born in 1971, UCO (pronounced “you-co”) provides trusted essentials in heat, light, and power that can be used from the backcountry to the backyard. Delivering light where you need it, UCO’s versatile product line includes the Original Candle Lantern™, LED Lighting, Stormproof Matches™, StakeLights™, and Grilliput portable grills. UCO is a division of Industrial Revolution, Inc., a Seattle-based company that manufactures and distributes products enjoyed by outdoor enthusiasts worldwide. </t>
  </si>
  <si>
    <t>Includes spring, base, piston, heat shield, chain, hook and sticker</t>
  </si>
  <si>
    <t>Breathe new life into your trusty lantern and enjoy it for another 30 years! Quickly and easily replace your lantern’s key components with this replacement kit. Your lantern will look and work like new again (cleaning not included!)</t>
  </si>
  <si>
    <t>Replacement glass for UCO Mini Candle Lanterns</t>
  </si>
  <si>
    <t>Replacement glass for UCO Micro Candle Lanterns</t>
  </si>
  <si>
    <t>Replacement glass for UCO Original Candle Lanterns and Original Candle Lantern + LED</t>
  </si>
  <si>
    <t>Replacement glass for UCO Candlelier Candle Lanterns</t>
  </si>
  <si>
    <t xml:space="preserve">Broken, chipped or cracked glass chimney? No problem—easily install a new Replacement Glass Chimney into your Candle Lantern. Just remove the heat shield from the top of the lantern, remove the old chimney, insert the new chimney and replace the heat shield. Done. </t>
  </si>
  <si>
    <t>Protect your investment with the UCO Cocoon. It wraps your lantern in a sheath of impact-resistant neoprene, and helps prevent scratches, dents and glass breakage during transport. It encases the lantern completely and, with no zippers or snaps, it slides on easily and provides ¼" of cushioning around the lantern.</t>
  </si>
  <si>
    <t>Helps prevent glass breakage plus denting and scratching of lantern</t>
  </si>
  <si>
    <t>Constructed from impact-resistant, 1/4" neoprene</t>
  </si>
  <si>
    <t>Slides on easily</t>
  </si>
  <si>
    <t>Fits UCO Micro Candle Lantern</t>
  </si>
  <si>
    <t>Fits UCO Original Candle Lantern, Original Candle Lantern + LED, and Mini Candle Lantern</t>
  </si>
  <si>
    <t>Fits UCO Candlelier Candle Lantern</t>
  </si>
  <si>
    <t>Conquer any condition with UCO’s beefiest, longest-burning windproof and waterproof matches available. Titan Stormproof Matches measure over four inches long, sport a burn time of up to 25 seconds, will fire up in the harshest of conditions, and will relight after being submerged in water. Each box includes 25 matches plus two extra strikers. With over 10 minutes of fire, you can bring them along for every adventure for a little insurance against the elements.</t>
  </si>
  <si>
    <t>Longest-burning windproof and waterproof matches</t>
  </si>
  <si>
    <t>Matches are easy to light and will relight after being submerged in water</t>
  </si>
  <si>
    <t>Up to 25 second burn time</t>
  </si>
  <si>
    <t>Extended length of match allows for added safety to keep from burning fingertips</t>
  </si>
  <si>
    <t>Lights campfires, stoves, gas-barbecues, etc.</t>
  </si>
  <si>
    <t>When your outdoor adventure demands ingenuity as a survival skill, pack the Titan Stormproof Match Kit. The beefiest, longest-burning windproof and waterproof matches available, Titan matches incinerate the competition. Over four inches long and boasting a burn time of up to 25 seconds, each meaty match will fire up in the harshest of conditions, and will relight after being submerged in water. The kit includes 12 matches, 3 replaceable strikers, a waterproof case that floats and a cord that attaches to a lanyard. That adds up to 5 minutes of fire, and priceless Peace of Mind.</t>
  </si>
  <si>
    <t>Durable, waterproof case floats and keeps contents dry and protected</t>
  </si>
  <si>
    <t>External, integrated, and replaceable striker for easy lighting</t>
  </si>
  <si>
    <t>Windproof and waterproof matches</t>
  </si>
  <si>
    <t>Up to 15 second burn time</t>
  </si>
  <si>
    <t>Fire up the grill, light your lantern or start a campfire, no matter the weather. UCO Stormproof Matches light up quickly and consistently in driving rain, heavy winds and falling snow—and will relight even after being submerged in water. Each box includes 25 matches that burn for up to 15 seconds each, plus extra strikers. That totals over 6 minutes worth of constant, reliable fire for your backpack, emergency kit or glove box. Pack fire, travel well.</t>
  </si>
  <si>
    <t>Fire up the grill, light your lantern or start a campfire, no matter the weather. UCO Stormproof Matches light up quickly and consistently in driving rain, heavy winds and falling snow—and will relight even after being submerged in water. Each box includes 25 matches that burn for up to 15 seconds each, plus extra strikers. That totals over 6 minutes/box worth of constant, reliable fire for your backpack, emergency kit or glove box. Pack fire, travel well.</t>
  </si>
  <si>
    <t>Includes: Stormproof Matches, 2-pack - 12; Stormproof Match Kit (orange) - 12;  Survival Stormproof Match Kits - 12; Waterproof Matches -12; Long-Burn Matches - 12; Strike-on-Box Matches - 12</t>
  </si>
  <si>
    <t>Includes: Stormproof Matches, 2-pack - 24; Stormproof Match Kit (orange) - 12; Stormproof Match Kit (green) - 12; Survival Stormproof Match Kit - 24; Waterproof Matches - 24; Long-Burn Matches - 24; Strike-on-Box Matches - 24</t>
  </si>
  <si>
    <t>Dimensions - approx.: 6.25" L x 13" W x 16.5" H (16 cm x 33 cm x 42 cm)</t>
  </si>
  <si>
    <t>Dimensions - approx.: 16" L x 11.5" W x 64" H (41 cm x 29 cm x 163 cm)</t>
  </si>
  <si>
    <t>Includes: Stormproof Matches, bulk - 30</t>
  </si>
  <si>
    <t>Dimensions - approx.: 6.5" L x 5" W x 10.5" H (17 cm x 13 cm x 26 cm)</t>
  </si>
  <si>
    <t>Includes: Stormproof Match Kit, bulk - 24 (8 - orange, 8 - dark green, 8 - yellow)</t>
  </si>
  <si>
    <t>Dimensions - approx.: 10.75" L x 7" W x 9.75" H (27 cm x 18 cm x 25 cm)</t>
  </si>
  <si>
    <t>Includes 25 windproof and waterproof matches and 3 strikers. Match case can hold up to 40 matches.</t>
  </si>
  <si>
    <t>Sealed case contains 15 compact windproof and waterproof matches</t>
  </si>
  <si>
    <t>Integrated, replaceable striker for easy lighting—includes 2 strikers</t>
  </si>
  <si>
    <t>Good things come in small packages, like UCO’s compact Survival Stormproof Matches. Diminutive but dependable, these small fire starters will light in any weather—and will easily relight even after being submerged in water. Whether you’re summiting, sailing or savoring singletrack, pack a few of these matches in your survival kit. If you ever need them, you’ll be more than glad that you did.</t>
  </si>
  <si>
    <t>A crucial component of your 10 Essentials gear, the Survival Stormproof Match Kit is an inexpensive insurance policy for your comfort and care in the outdoors. Fifteen compact Stormproof Matches will light in any weather—and will relight even after being submerged in water! The sealed case includes a replaceable, integrated striker on the outside of the case plus an extra striker. Each match will stay lit for up to 12 seconds, giving you about 3 minutes of fire in each kit.</t>
  </si>
  <si>
    <t>Sealed bag contains 10 compact windproof and waterproof matches</t>
  </si>
  <si>
    <t>Up to 12 second burn time</t>
  </si>
  <si>
    <t>Replaceable striker for easy lighting—includes 2 strikers</t>
  </si>
  <si>
    <t>Protect and securely store your matches away from moist, damp conditions. The waterproof UCO Match Case will hold up to 40 matches (including elongated UCO Stormproof Matches) and includes an integrated striker, plus 2 extra strikers. The ribbed case offers an easy grip, even in cold weather. It’s ideal for your backpack, an emergency kit—even the glove box.</t>
  </si>
  <si>
    <t>Durable, waterproof container floats and keeps contents dry and protected</t>
  </si>
  <si>
    <t>External, integrated, and replaceable striker for easy lighting—includes 3 strikers</t>
  </si>
  <si>
    <t>Molded, vertical ribbing provides a sure grip in wet, harsh conditions</t>
  </si>
  <si>
    <t>Match case can hold up to 40 matches</t>
  </si>
  <si>
    <t>Repel water and ensure a more consistent light in the outdoors with UCO’s Waterproof Matches. Ideal for adventures in adverse conditions, barbequing on the boat or an unexpected emergency, these matches have a durable waterproof coating that provides the security of light and warmth in compromising situations. Each packet contains 4 boxes of 40 matches each, so stash a box in your backpack, glove box, survival kit and boating supplies for a little peace of mind.</t>
  </si>
  <si>
    <t>Waterproof safety matches light even after being soaked in water</t>
  </si>
  <si>
    <t>Sturdy carbonized match stick for safe and reliable fire starting</t>
  </si>
  <si>
    <t>Water-resistant box and strikers</t>
  </si>
  <si>
    <t>Ideal for camping, hiking, boating, survival kits, etc.</t>
  </si>
  <si>
    <t>Contains 4 boxes with 40 matches per box</t>
  </si>
  <si>
    <t>Suddenly, the world is your striker! As the name implies, Strike Anywhere Matches deliver a reliable light when struck against most dry, rough surfaces. If adverse weather or moisture is a possible issue, consider UCO’S Waterproof or Stormproof Matches to supplement your fire-starting kit.</t>
  </si>
  <si>
    <t>Kitchen-sized strike anywhere matches</t>
  </si>
  <si>
    <t>Lights on most dry, abrasive surfaces</t>
  </si>
  <si>
    <t>Ideal for campfires, fireplaces, stoves, BBQs, lanterns, candles, etc.</t>
  </si>
  <si>
    <t>Contains 250 matches per box</t>
  </si>
  <si>
    <t>Compact-sized strike anywhere matches</t>
  </si>
  <si>
    <t>Sold in 10-pack with 32 matches per box</t>
  </si>
  <si>
    <t>A more travel-friendly version of its bigger brother, the UCO Compact Strike Anywhere matches deliver a reliable light when struck against most dry, rough surfaces. If adverse weather or moisture is a possible issue, consider UCO’S Waterproof or Stormproof Matches to supplement your fire-starting kit. Each pack includes 10 boxes of 32 matches each, so toss a few in your outdoor gear supplies or wherever a little extra light might be needed.</t>
  </si>
  <si>
    <t>Burns 45 seconds to 1 minute depending on conditions—5 times longer than standard matches</t>
  </si>
  <si>
    <t>Longer length (approx. 3.75"/9.5 cm) keeps fingers from getting burned</t>
  </si>
  <si>
    <t>Ideal for lighting campfires, fireplaces, stoves, BBQs, lanterns, candles, etc.</t>
  </si>
  <si>
    <t>Contains 50 matches per box</t>
  </si>
  <si>
    <t>Say “See ya!” to the pile of spent matches and your still-unlit wick or painstakingly perfected teepee of kindling. These UCO Long-Burn Matches make lighting campfires, BBQ grills and candles a breeze. Give them a try—your fingertips will thank you.</t>
  </si>
  <si>
    <t>Keep a box of these large Strike-On-Box safety matches around your house or backyard BBQ. A perfect go-to, everyday match, it will quickly become a miracle match when you’re in a pinch for a light.</t>
  </si>
  <si>
    <t>Large safety matches</t>
  </si>
  <si>
    <t>Compact-sized safety matches</t>
  </si>
  <si>
    <t>Available in a 10-pack with 32 matches per bo</t>
  </si>
  <si>
    <t>Burn Time (up to): 15 seconds; Length: 2.75" (7 cm); Weight (single pack): 0.8 oz. (22 g)</t>
  </si>
  <si>
    <t>Burn Time (up to): 15 seconds; Length: 2.75" (7 cm); Weight (Kit): 1.7 oz. (48 g)</t>
  </si>
  <si>
    <t>Weight: 0.8 oz. (23 g)</t>
  </si>
  <si>
    <t>Burn Time (up to): 12 seconds; Length: 2.125" (5.4 cm); Weight (Kit): 0.5 oz. (15 g)</t>
  </si>
  <si>
    <t>Burn Time (up to): 12 seconds; Length: 2.125" (5.4 cm)</t>
  </si>
  <si>
    <t>Burn Time (up to): 60 seconds; Length: 3.75" (9.5 cm)</t>
  </si>
  <si>
    <t>Burn Time (up to): 15 seconds; Length: 2.125" (5.4 cm)</t>
  </si>
  <si>
    <t>Burn Time (up to): 20 seconds; Length: 2.25" (5.7 cm)</t>
  </si>
  <si>
    <t>Burn Time (up to): 15 seconds; Length: 1.75" (4.4 cm)</t>
  </si>
  <si>
    <t>Burn Time (up to): 20 seconds; Length: 2.125" (5.4 cm)</t>
  </si>
  <si>
    <t>Burn Time (up to): 15 seconds; Length: 1.6" (4 cm)</t>
  </si>
  <si>
    <t>Dimensions–open: 3.5" high x 2.25" diameter (9 cm x 6 cm); Dimensions–closed: 2.5" high x 2.25" diameter (6.5 cm x 6 cm); Weight (w/ 2 candles): 3.9 oz. (111 g); Candle: Two tealight candles with 4-5 hour burn time per tealight</t>
  </si>
  <si>
    <t>Dimensions–open: 6.5" high x 2" diameter (17 cm x 5 cm); Dimensions–closed: 4.25" high x 2" diameter (11 cm x 5 cm); Weight (w/ candle): 6.4 oz. (181 g); Candle: UCO 9-hour or citronella candles, or 12-hour beeswax candles</t>
  </si>
  <si>
    <t>Dimensions–open: 6.5" high x 2" diameter (17 cm x 5 cm); Dimensions–closed: 4.25" high x 2" diameter (11 cm x 5 cm); Weight (w/ candle): 8.8 oz. (249 g); Candle: UCO 9-hour or citronella candles, or 12-hour beeswax candles</t>
  </si>
  <si>
    <t>Hand-stitched leather sleeve</t>
  </si>
  <si>
    <t>Original Candle Lantern™ Value Pack</t>
  </si>
  <si>
    <t>Micro Candle Lantern™</t>
  </si>
  <si>
    <t>Mini Candle Lantern™</t>
  </si>
  <si>
    <t>Original Candle Lantern™</t>
  </si>
  <si>
    <t>Special Edition Original Candle Lantern™</t>
  </si>
  <si>
    <t>Original Candle Lantern™ Kit</t>
  </si>
  <si>
    <t>Original Candle Lantern + LED™</t>
  </si>
  <si>
    <t>Candlelier® Candle Lantern</t>
  </si>
  <si>
    <t>Cocoon™ (for Micro Candle Lantern™)</t>
  </si>
  <si>
    <t>Cocoon™ (for Mini, Original, or Original + LED Candle Lantern™)</t>
  </si>
  <si>
    <t>Cocoon™ (for Candlelier® Candle Lantern)</t>
  </si>
  <si>
    <t>Oil Insert (for Original Candle Lantern™)</t>
  </si>
  <si>
    <t>LED Upgrade Kit (for Original Candle Lantern™)</t>
  </si>
  <si>
    <t>Replacement Glass Chimney (for Mini Candle Lantern™)</t>
  </si>
  <si>
    <t>Replacement Glass Chimney (for Micro Candle Lantern™)</t>
  </si>
  <si>
    <t>Replacement Glass Chimney (for Original Candle Lantern™)</t>
  </si>
  <si>
    <t>Replacement Glass Chimney (for Candlelier® Candle Lantern)</t>
  </si>
  <si>
    <t>UCO Clarus Lantern + Flashlight™</t>
  </si>
  <si>
    <t>LumoraPod Utility Light™ (LED Lantern + Tripod)</t>
  </si>
  <si>
    <t>StakeLight™</t>
  </si>
  <si>
    <t>A-45 Comfort-Fit Headlamp™</t>
  </si>
  <si>
    <t>A-120 Comfort-Fit Headlamp™</t>
  </si>
  <si>
    <t>Dimensions–open: 6.5" high x 2" diameter (17 cm x 5 cm); Dimensions–closed: 4.25" high x 2" diameter (11 cm x 5 cm); Weight (lantern w/ 1 candle only): 6.4 oz. (181 g); Candle: UCO 9-hour or citronella candles, or 12-hour beeswax candles</t>
  </si>
  <si>
    <t>Dimensions–open: 6.5" high x 2" diameter (17 cm x 5 cm); Dimensions–closed: 4.25" high x 2" diameter (11 cm x 5 cm); Weight (lantern w/ 1 candle only): 8.8 oz. (249 g); Candle: UCO 9-hour or citronella candles, or 12-hour beeswax candles</t>
  </si>
  <si>
    <t>Dimensions: 8" high x 4" diameter (20 cm x 10 cm); Weight (w/ 3 candle): 18.0 oz. (510 g); Candles: UCO 9-hour or citronella candles, or 12-hour beeswax candles</t>
  </si>
  <si>
    <t>Weight: 1.1 oz. (31 g)</t>
  </si>
  <si>
    <t>Weight: 1.6 oz. (45 g)</t>
  </si>
  <si>
    <t>Weight: 4.7 oz. (133 g)</t>
  </si>
  <si>
    <t>Weight: 0.9 oz. (26 g)</t>
  </si>
  <si>
    <t>Weight: 1 oz. (28 g)</t>
  </si>
  <si>
    <t>Weight: 0.3 oz. (9 g)</t>
  </si>
  <si>
    <t>Collapsible lantern is rugged, water resistant, and easy to transport</t>
  </si>
  <si>
    <t>Frosted globe slides up for lantern mode and down for flashlight mode</t>
  </si>
  <si>
    <t>Bright R3 XP-E CREE LED provides a diffused white light, in lantern mode, up to 150 lumens</t>
  </si>
  <si>
    <t>Burns up to 70 hours</t>
  </si>
  <si>
    <t>On/off button switches light levels from bright to mid to dim light to conserve batteries or strobe for emergency situations</t>
  </si>
  <si>
    <t>Includes a hook for hanging</t>
  </si>
  <si>
    <t>The small, powerful UCO Clarus Lantern + Flashlight is one of the most lightweight, versatile lights you’ll ever own. Built for adventure, it’s reliable, convenient and sheds up to 150 lumens of light wherever you need it. Use it as a lantern and adjust the brightness to high, mid or dim—useful if battery power needs to be conserved—or push the head down and collapse it into a flashlight when you need a focused beam of light. Activate the strobe function in an emergency; the hanging hook makes hands-free operation a snap.</t>
  </si>
  <si>
    <t>Cast a broad swath of light from almost anywhere! Pack the innovative Alki Lantern + Flashlight when you need a versatile, lightweight, compact source of light to illuminate your adventures. The convenient, patent-pending integrated shock cord in the base of the Alki enables you to hang and focus the lantern from both horizontal and vertical surfaces. No longer limited to a pole or limb that will accept a hook or string, the Alki Lantern + Flashlight can be lashed to a tree limb, tent pole, guy line, bar, strap or flagpole! Push the globe down to transform the lantern into a handy flashlight for reading in bed or to accompany you on late-night forays out of your tent. Offers four lighting modes, including a strobe mode.</t>
  </si>
  <si>
    <t>On/off button switches light levels from low to mid to bright light to conserve batteries or strobe for emergency situations</t>
  </si>
  <si>
    <t>Battery Type (not included): Four 1.5V AA alkaline; Battery Life (up to): 190 hours; Beam Projection: 250 feet (75 m); Bulb Type: Super bright R3 XP-G CREE LED; Highly water resistant: IPX 6; Dimensions—open: 8" high x 2.5" diameter (20.5 cm x 6.5 cm); Dimensions—closed: 5.5" high x 2.5" diameter (14 cm x 6.5 cm); Weight (w/o batteries): 4.8 oz. (137 g)</t>
  </si>
  <si>
    <t>Collapsible lantern and flashlight is highly water-resistant (IPX 6) and rugged yet easy to transport</t>
  </si>
  <si>
    <t>Bright R3 XP-G CREE LED provides a diffused white light, in lantern mode, up to 180 lumens</t>
  </si>
  <si>
    <t>Dimming switch adjusts from bright to low light to conserve batteries</t>
  </si>
  <si>
    <t>Attaches to any device with a 1/4-20 mounting screw</t>
  </si>
  <si>
    <t>Frosted globe slides up and down easily to allow use as lantern or flashlight; Burns up to 190 hours</t>
  </si>
  <si>
    <t>Durable base with extendable feet for additional stability</t>
  </si>
  <si>
    <t>Includes a split ring for hanging</t>
  </si>
  <si>
    <t>A perfect companion for any outdoor adventure, the Lumora Lantern + Flashlight keeps the light on for you. With 180 lumens of diffused light, this small wonder transforms from lantern to flashlight with a simple downward push of the globe. Extend the feet and set on a flat surface to light up an area or attach the Lumora, via its ¼-20 mounting screw, to a tripod or a walking stick for a more mobile light source.</t>
  </si>
  <si>
    <t>Frosted globe slides up and down easily to allow use as lantern or flashlight; Burns up to 190 hours; Dimming switch adjusts from bright to low light to conserve batteries</t>
  </si>
  <si>
    <t>Attaches to any device with a 1/4-20 mounting screw; Durable base with extendable feet for additional stability; Includes a split ring for hanging</t>
  </si>
  <si>
    <t>Fits any camera or other device with a tripod socket</t>
  </si>
  <si>
    <t>Unique ball and socket camera mount assembly positions camera at any angle</t>
  </si>
  <si>
    <t>Molded from fiberglass reinforced nylon with aluminum threaded components; Compact and lightweight</t>
  </si>
  <si>
    <t>Fold-out legs with non-slip vinyl feet; Removable Velcro "one wrap" strap</t>
  </si>
  <si>
    <r>
      <t>Swedish FireSteel 2.0</t>
    </r>
    <r>
      <rPr>
        <sz val="10"/>
        <rFont val="Calibri"/>
        <family val="2"/>
      </rPr>
      <t>®</t>
    </r>
    <r>
      <rPr>
        <sz val="10"/>
        <rFont val="Arial"/>
        <family val="2"/>
      </rPr>
      <t xml:space="preserve"> Scout </t>
    </r>
  </si>
  <si>
    <r>
      <t>Swedish FireSteel 2.0</t>
    </r>
    <r>
      <rPr>
        <sz val="10"/>
        <rFont val="Calibri"/>
        <family val="2"/>
      </rPr>
      <t>®</t>
    </r>
    <r>
      <rPr>
        <sz val="10"/>
        <rFont val="Arial"/>
        <family val="2"/>
      </rPr>
      <t xml:space="preserve"> Army</t>
    </r>
  </si>
  <si>
    <r>
      <t>Swedish FireSteel</t>
    </r>
    <r>
      <rPr>
        <sz val="10"/>
        <rFont val="Calibri"/>
        <family val="2"/>
      </rPr>
      <t>®</t>
    </r>
    <r>
      <rPr>
        <sz val="10"/>
        <rFont val="Arial"/>
        <family val="2"/>
      </rPr>
      <t xml:space="preserve"> Scout</t>
    </r>
  </si>
  <si>
    <r>
      <t>Swedish Firesteel</t>
    </r>
    <r>
      <rPr>
        <sz val="10"/>
        <rFont val="Calibri"/>
        <family val="2"/>
      </rPr>
      <t xml:space="preserve">® </t>
    </r>
    <r>
      <rPr>
        <sz val="10"/>
        <rFont val="Arial"/>
        <family val="2"/>
      </rPr>
      <t>Army</t>
    </r>
  </si>
  <si>
    <r>
      <t>Swedish FireSteel</t>
    </r>
    <r>
      <rPr>
        <sz val="10"/>
        <rFont val="Calibri"/>
        <family val="2"/>
      </rPr>
      <t>®</t>
    </r>
    <r>
      <rPr>
        <sz val="10"/>
        <rFont val="Arial"/>
        <family val="2"/>
      </rPr>
      <t xml:space="preserve"> Mini</t>
    </r>
  </si>
  <si>
    <r>
      <t>Fire Lighting Kit + Grandpa's FireFork</t>
    </r>
    <r>
      <rPr>
        <sz val="10"/>
        <rFont val="Calibri"/>
        <family val="2"/>
      </rPr>
      <t>™</t>
    </r>
  </si>
  <si>
    <r>
      <t>Swedish FireKnife</t>
    </r>
    <r>
      <rPr>
        <sz val="10"/>
        <rFont val="Calibri"/>
        <family val="2"/>
      </rPr>
      <t>™</t>
    </r>
  </si>
  <si>
    <r>
      <t>Swedish FireKnife</t>
    </r>
    <r>
      <rPr>
        <sz val="10"/>
        <rFont val="Calibri"/>
        <family val="2"/>
      </rPr>
      <t xml:space="preserve">™ </t>
    </r>
    <r>
      <rPr>
        <sz val="10"/>
        <rFont val="Arial"/>
        <family val="2"/>
      </rPr>
      <t>FireSteel Refill</t>
    </r>
  </si>
  <si>
    <r>
      <t>SnapBox original</t>
    </r>
    <r>
      <rPr>
        <sz val="10"/>
        <rFont val="Calibri"/>
        <family val="2"/>
      </rPr>
      <t>™</t>
    </r>
  </si>
  <si>
    <r>
      <t>SnapBox oval</t>
    </r>
    <r>
      <rPr>
        <sz val="10"/>
        <rFont val="Calibri"/>
        <family val="2"/>
      </rPr>
      <t>™</t>
    </r>
  </si>
  <si>
    <r>
      <t>LunchKit</t>
    </r>
    <r>
      <rPr>
        <sz val="10"/>
        <rFont val="Calibri"/>
        <family val="2"/>
      </rPr>
      <t>™</t>
    </r>
  </si>
  <si>
    <r>
      <t>MealKit 2.0</t>
    </r>
    <r>
      <rPr>
        <sz val="10"/>
        <rFont val="Calibri"/>
        <family val="2"/>
      </rPr>
      <t>™</t>
    </r>
  </si>
  <si>
    <r>
      <t>Harness (for LunchKit</t>
    </r>
    <r>
      <rPr>
        <sz val="10"/>
        <rFont val="Calibri"/>
        <family val="2"/>
      </rPr>
      <t>™</t>
    </r>
    <r>
      <rPr>
        <sz val="10"/>
        <rFont val="Arial"/>
        <family val="2"/>
      </rPr>
      <t xml:space="preserve"> or MealKit 2.0</t>
    </r>
    <r>
      <rPr>
        <sz val="10"/>
        <rFont val="Calibri"/>
        <family val="2"/>
      </rPr>
      <t>™</t>
    </r>
    <r>
      <rPr>
        <sz val="10"/>
        <rFont val="Arial"/>
        <family val="2"/>
      </rPr>
      <t>)</t>
    </r>
  </si>
  <si>
    <r>
      <t>Spork Titanium</t>
    </r>
    <r>
      <rPr>
        <sz val="10"/>
        <rFont val="Calibri"/>
        <family val="2"/>
      </rPr>
      <t>™</t>
    </r>
  </si>
  <si>
    <r>
      <t>Spork original</t>
    </r>
    <r>
      <rPr>
        <sz val="10"/>
        <rFont val="Calibri"/>
        <family val="2"/>
      </rPr>
      <t>™</t>
    </r>
    <r>
      <rPr>
        <sz val="10"/>
        <rFont val="Arial"/>
        <family val="2"/>
      </rPr>
      <t xml:space="preserve"> - Assorted - 10 pack</t>
    </r>
  </si>
  <si>
    <r>
      <t>Spork original</t>
    </r>
    <r>
      <rPr>
        <sz val="10"/>
        <rFont val="Calibri"/>
        <family val="2"/>
      </rPr>
      <t>™</t>
    </r>
    <r>
      <rPr>
        <sz val="10"/>
        <rFont val="Arial"/>
        <family val="2"/>
      </rPr>
      <t xml:space="preserve"> - BLISTER</t>
    </r>
  </si>
  <si>
    <t>Spork original™, 2-Pack</t>
  </si>
  <si>
    <r>
      <t>Spork original</t>
    </r>
    <r>
      <rPr>
        <sz val="10"/>
        <rFont val="Calibri"/>
        <family val="2"/>
      </rPr>
      <t>™</t>
    </r>
    <r>
      <rPr>
        <sz val="10"/>
        <rFont val="Arial"/>
        <family val="2"/>
      </rPr>
      <t xml:space="preserve"> -  Bulk</t>
    </r>
  </si>
  <si>
    <r>
      <t>Spork extra-medium</t>
    </r>
    <r>
      <rPr>
        <sz val="10"/>
        <rFont val="Calibri"/>
        <family val="2"/>
      </rPr>
      <t>™</t>
    </r>
    <r>
      <rPr>
        <sz val="10"/>
        <rFont val="Arial"/>
        <family val="2"/>
      </rPr>
      <t xml:space="preserve"> - Bulk</t>
    </r>
  </si>
  <si>
    <r>
      <t>Spork extra-medium</t>
    </r>
    <r>
      <rPr>
        <sz val="10"/>
        <rFont val="Calibri"/>
        <family val="2"/>
      </rPr>
      <t>™</t>
    </r>
    <r>
      <rPr>
        <sz val="10"/>
        <rFont val="Arial"/>
        <family val="2"/>
      </rPr>
      <t xml:space="preserve"> - BLISTER</t>
    </r>
  </si>
  <si>
    <r>
      <t>Spork extra-medium</t>
    </r>
    <r>
      <rPr>
        <sz val="10"/>
        <rFont val="Calibri"/>
        <family val="2"/>
      </rPr>
      <t>™,</t>
    </r>
    <r>
      <rPr>
        <sz val="10"/>
        <rFont val="Arial"/>
        <family val="2"/>
      </rPr>
      <t xml:space="preserve"> 2-Pack </t>
    </r>
  </si>
  <si>
    <r>
      <t>Spork large</t>
    </r>
    <r>
      <rPr>
        <sz val="10"/>
        <rFont val="Calibri"/>
        <family val="2"/>
      </rPr>
      <t>™,</t>
    </r>
    <r>
      <rPr>
        <sz val="10"/>
        <rFont val="Arial"/>
        <family val="2"/>
      </rPr>
      <t xml:space="preserve"> 2 Pack</t>
    </r>
  </si>
  <si>
    <r>
      <t>Spork lefty</t>
    </r>
    <r>
      <rPr>
        <sz val="10"/>
        <rFont val="Calibri"/>
        <family val="2"/>
      </rPr>
      <t>™</t>
    </r>
    <r>
      <rPr>
        <sz val="10"/>
        <rFont val="Arial"/>
        <family val="2"/>
      </rPr>
      <t>, 2 pack</t>
    </r>
  </si>
  <si>
    <r>
      <t>Spork little</t>
    </r>
    <r>
      <rPr>
        <sz val="10"/>
        <rFont val="Calibri"/>
        <family val="2"/>
      </rPr>
      <t>™</t>
    </r>
    <r>
      <rPr>
        <sz val="10"/>
        <rFont val="Arial"/>
        <family val="2"/>
      </rPr>
      <t xml:space="preserve">, 3-Pack - Blister - Tritan </t>
    </r>
  </si>
  <si>
    <r>
      <t>Spork little</t>
    </r>
    <r>
      <rPr>
        <sz val="10"/>
        <rFont val="Calibri"/>
        <family val="2"/>
      </rPr>
      <t>™</t>
    </r>
    <r>
      <rPr>
        <sz val="10"/>
        <rFont val="Arial"/>
        <family val="2"/>
      </rPr>
      <t xml:space="preserve">, 3-Pack - Bulk - Tritan </t>
    </r>
  </si>
  <si>
    <r>
      <t>Spork little</t>
    </r>
    <r>
      <rPr>
        <sz val="10"/>
        <rFont val="Calibri"/>
        <family val="2"/>
      </rPr>
      <t>™</t>
    </r>
    <r>
      <rPr>
        <sz val="10"/>
        <rFont val="Arial"/>
        <family val="2"/>
      </rPr>
      <t xml:space="preserve"> - Plexitube+72 pcs 3-Pack - Tritan </t>
    </r>
  </si>
  <si>
    <r>
      <t>POP Display w/36 SporkCase</t>
    </r>
    <r>
      <rPr>
        <sz val="10"/>
        <rFont val="Calibri"/>
        <family val="2"/>
      </rPr>
      <t>™</t>
    </r>
    <r>
      <rPr>
        <sz val="10"/>
        <rFont val="Arial"/>
        <family val="2"/>
      </rPr>
      <t xml:space="preserve"> w/ 2 Spork original</t>
    </r>
    <r>
      <rPr>
        <sz val="10"/>
        <rFont val="Calibri"/>
        <family val="2"/>
      </rPr>
      <t>™</t>
    </r>
  </si>
  <si>
    <r>
      <t>Grandpa's FireFork</t>
    </r>
    <r>
      <rPr>
        <sz val="10"/>
        <rFont val="Calibri"/>
        <family val="2"/>
      </rPr>
      <t>™</t>
    </r>
    <r>
      <rPr>
        <sz val="10"/>
        <rFont val="Arial"/>
        <family val="2"/>
      </rPr>
      <t xml:space="preserve"> - Bulk</t>
    </r>
  </si>
  <si>
    <t>Grandpa's FireFork™ - Bulk</t>
  </si>
  <si>
    <t>Grandpa's FireFork™, 4-pack - Assorted</t>
  </si>
  <si>
    <t>Grandpa's FireFork™, 2-Pack</t>
  </si>
  <si>
    <r>
      <t>TinderSticks</t>
    </r>
    <r>
      <rPr>
        <sz val="10"/>
        <rFont val="Calibri"/>
        <family val="2"/>
      </rPr>
      <t>™</t>
    </r>
  </si>
  <si>
    <r>
      <t>Pack-up-Cup</t>
    </r>
    <r>
      <rPr>
        <sz val="10"/>
        <rFont val="Calibri"/>
        <family val="2"/>
      </rPr>
      <t>™</t>
    </r>
  </si>
  <si>
    <r>
      <t>Pack-up-Cup</t>
    </r>
    <r>
      <rPr>
        <sz val="10"/>
        <rFont val="Calibri"/>
        <family val="2"/>
      </rPr>
      <t>™</t>
    </r>
    <r>
      <rPr>
        <sz val="10"/>
        <rFont val="Arial"/>
        <family val="2"/>
      </rPr>
      <t xml:space="preserve">, 4-pack </t>
    </r>
  </si>
  <si>
    <r>
      <t>Pack-up-Bottle</t>
    </r>
    <r>
      <rPr>
        <sz val="10"/>
        <rFont val="Calibri"/>
        <family val="2"/>
      </rPr>
      <t>™</t>
    </r>
  </si>
  <si>
    <r>
      <t>Pack-up-Drink Kit</t>
    </r>
    <r>
      <rPr>
        <sz val="10"/>
        <rFont val="Calibri"/>
        <family val="2"/>
      </rPr>
      <t>™</t>
    </r>
  </si>
  <si>
    <t>Pack’n Eat Kit™</t>
  </si>
  <si>
    <t>Cutting board, 3-pack</t>
  </si>
  <si>
    <t>Rechargeable Li-Ion battery; Burns on high for 5 hours or low for up to 120 hours.</t>
  </si>
  <si>
    <t>Durable, water-resistant ABS/TPE housing</t>
  </si>
  <si>
    <t xml:space="preserve">Light up your campsite or workspace with the tough, water-resistant Tetra USB Charger + Lantern + Flashlight. Delivering maximum brightness and functionality in a 4.3 oz. package, it’s loaded with 170 lumens and a range of brightness levels. Transform the Tetra into a focused beam by pushing the head down, and then charge your digital devices through its USB charging port. When its long-lasting rechargeable battery needs a boost, juice it up by plugging it into a standard electrical socket. </t>
  </si>
  <si>
    <t>LED light indicates battery level and charging status; Dimming switch and base of globe glow in the dark</t>
  </si>
  <si>
    <t>Frosted globe slides up for a diffused white light in lantern mode and down for flashlight mode</t>
  </si>
  <si>
    <t>Durable, water-resistant ABS/TPE housing with extendable feet for additional stability</t>
  </si>
  <si>
    <t>5 lighting modes that vary from high to low light plus 3 red LEDs that vary from tactical night vision to strobe to S.O.S. emergency strobe</t>
  </si>
  <si>
    <t>LED indicator light displays battery level and charging status; Split ring on top allows hanging</t>
  </si>
  <si>
    <t>The tough, water-resistant 3-in-1 Arka LED light is a lantern, collapses into a powerful flashlight and also charges up your digital devices. Hang it from a branch or hook or set up on a flat surface with its foldable feet. Push the head down to transform it into a 180-lumen flashlight or activate the red-light mode to preserve night vision or to read maps. In trouble? A strobe option functions as an emergency beacon. Plug the lantern into any standard electrical socket to juice up the rechargeable battery or charge one of your USB devices while out on an adventure.</t>
  </si>
  <si>
    <t>On/off switch integrated into the lens</t>
  </si>
  <si>
    <t>Constructed from durable 6000 series aluminum</t>
  </si>
  <si>
    <t>LED is in a highly water-resistant TPE housing (IPX 6)</t>
  </si>
  <si>
    <t>LED can be easily removed and used separately</t>
  </si>
  <si>
    <t>Stake your claim (and find it again) with UCO’s StakeLights. Set up your tent in the dark, answer nature’s call and quickly locate it again—these illuminated tent stakes make it easy to identify and set up your tent in a flash. Enjoy a perimeter of light around your tent or set it to “strobe” for better visibility of your tent’s location.</t>
  </si>
  <si>
    <t>Area mode: 17 lumens of light for up to 10 hours</t>
  </si>
  <si>
    <t>Battery Type (not included): One 1.5V AAA per StakeLight; Length: 9" (22.9 cm); Weight (per StakeLight - without battery): 1.3 oz. (36 g)</t>
  </si>
  <si>
    <t>Battery Type (not included): One 1.5V AAA; Length: 9" (22.9 cm); Weight (without battery): 1.3 oz. (36 g)</t>
  </si>
  <si>
    <t>Provides up to 12 hours of Red, Green, or Blue LED light</t>
  </si>
  <si>
    <t>Sold in 2-packs</t>
  </si>
  <si>
    <t>Bring a 2-pack of bling to your next outdoor overnight with the StakeLight RGB. Choose the red, green or blue LED light and these StakeLights will surround your tent with a perimeter of color, making it stand out in a crowd of tents. Just stake your tent, click the switch to choose your color and the LED-lit stakes will shine for up to 12 hours. Ideal for large campsites, music festivals, and other large gatherings.</t>
  </si>
  <si>
    <t>Thinnest, lightest, most comfortable headlamp on the market</t>
  </si>
  <si>
    <t>Includes 2 CR2032 3v Li batteries</t>
  </si>
  <si>
    <t>External battery pack slides along strap to keep weight off of forehead</t>
  </si>
  <si>
    <t>Includes 3 AAA batteries</t>
  </si>
  <si>
    <t>Say goodbye to bulky, front-heavy headlamps that never fit or feel quite right. Say, “hey there!” to a comfortable, lightweight headlamp so easy to wear that you’ll forget you’re sporting a light on your head. (Until your camping buddy yells and covers their eyes when you look up at them from your nighttime reading.) Like the new A-45 headlamp, UCO’S new A-120 headlamp is streamlined and simple: no bulky, hard hinges to irritate your head; a soft, adjustable neoprene strap for a comfortable custom fit, and an intuitive, infinitely adjustable dial to control the light that, FYI, blazes up to 120 lumens and includes a red LED for night-vision mode. Your forehead (but maybe not your buddy) will thank you.</t>
  </si>
  <si>
    <t>Durable, plastic base with on/off button</t>
  </si>
  <si>
    <t>M-12553</t>
  </si>
  <si>
    <t>M-12351</t>
  </si>
  <si>
    <t>Individual Item Packaged Weight (lbs)</t>
  </si>
  <si>
    <t>Individual Item Packaged Width (in)</t>
  </si>
  <si>
    <t>Individual Item Packaged Depth (in)</t>
  </si>
  <si>
    <t>Individual Item Packaged Height (in)</t>
  </si>
  <si>
    <t>Inner Pack Weight (lbs)</t>
  </si>
  <si>
    <t>Inner Pack Width (in)</t>
  </si>
  <si>
    <t>Inner Pack Depth (in)</t>
  </si>
  <si>
    <t>Inner Pack Height (in)</t>
  </si>
  <si>
    <t>Master Weight (lbs)</t>
  </si>
  <si>
    <t>Master Width (in)</t>
  </si>
  <si>
    <t>Master Depth (in)</t>
  </si>
  <si>
    <t>Master Height (in)</t>
  </si>
  <si>
    <t>Date New Item Available</t>
  </si>
  <si>
    <t>Pack-Up-Cup</t>
  </si>
  <si>
    <t>Pack-Up-Bottle</t>
  </si>
  <si>
    <t>Large</t>
  </si>
  <si>
    <t>Sporks'n Case</t>
  </si>
  <si>
    <t>Little</t>
  </si>
  <si>
    <t>Lefty</t>
  </si>
  <si>
    <t>Plexi</t>
  </si>
  <si>
    <t>Detachable LED light is housed in base of lantern</t>
  </si>
  <si>
    <t>Master L x W x H  / cubic feet</t>
  </si>
  <si>
    <t>MT-EMPTY-CASE is on the boxes as MT-EMPTY-CONT(-ORANGE)</t>
  </si>
  <si>
    <r>
      <t>Swedish FireSteel</t>
    </r>
    <r>
      <rPr>
        <sz val="10"/>
        <rFont val="Calibri"/>
        <family val="2"/>
      </rPr>
      <t>®</t>
    </r>
    <r>
      <rPr>
        <sz val="10"/>
        <rFont val="Arial"/>
        <family val="2"/>
      </rPr>
      <t xml:space="preserve"> Scout &amp; TinderDust Combo</t>
    </r>
  </si>
  <si>
    <t>Unique, no “hard point” hinge design fits your head perfectly and allows the lamp to focus forward or down towards the ground.</t>
  </si>
  <si>
    <t>Headache Free—Soft, adjustable neoprene strap with hook/loop adjustment for a custom, comfort fit</t>
  </si>
  <si>
    <t>Dial provides infinitely adjustable brightness on CREE XP-E LED up to 120 lumens plus red night vision mode</t>
  </si>
  <si>
    <t>Lightweight, durable aluminum construction with a patina-bronze finish</t>
  </si>
  <si>
    <t>Burns long-lasting UCO 9-hour candle in a gold anodized candle tube</t>
  </si>
  <si>
    <t>Add a touch of handcrafted yet rugged charm to your campfire dinner. Featuring a hand-stitched leather sleeve around the patina bronze candle lantern base, this made in the USA Special Edition Original Candle Lantern delivers trusted performance and a sense of warm, timeless functionality to any outdoor adventure.</t>
  </si>
  <si>
    <t>MT-TORCH</t>
  </si>
  <si>
    <t>ML-CLARUS2</t>
  </si>
  <si>
    <r>
      <t>Stormproof Torch &amp; Utility Tape</t>
    </r>
    <r>
      <rPr>
        <sz val="10"/>
        <rFont val="Calibri"/>
        <family val="2"/>
      </rPr>
      <t>™</t>
    </r>
  </si>
  <si>
    <t>New Products</t>
  </si>
  <si>
    <t>Stormproof Survival Kit™</t>
  </si>
  <si>
    <t>MT-KIT1</t>
  </si>
  <si>
    <t>HL-X120</t>
  </si>
  <si>
    <t>HL-X120R</t>
  </si>
  <si>
    <t>ML-PIKA</t>
  </si>
  <si>
    <r>
      <t>Pika 3-in-1 Rechargeable Lantern</t>
    </r>
    <r>
      <rPr>
        <sz val="10"/>
        <rFont val="Calibri"/>
        <family val="2"/>
      </rPr>
      <t>™</t>
    </r>
  </si>
  <si>
    <t>L-C-W</t>
  </si>
  <si>
    <r>
      <t>Original Candle Lantern</t>
    </r>
    <r>
      <rPr>
        <sz val="10"/>
        <rFont val="Calibri"/>
        <family val="2"/>
      </rPr>
      <t>™</t>
    </r>
  </si>
  <si>
    <t>A-LTN-KIT</t>
  </si>
  <si>
    <r>
      <t>Mini Candle Lantern Kit</t>
    </r>
    <r>
      <rPr>
        <sz val="10"/>
        <rFont val="Calibri"/>
        <family val="2"/>
      </rPr>
      <t>™</t>
    </r>
  </si>
  <si>
    <r>
      <t>Spork original</t>
    </r>
    <r>
      <rPr>
        <sz val="10"/>
        <color theme="1"/>
        <rFont val="Calibri"/>
        <family val="2"/>
      </rPr>
      <t>™</t>
    </r>
    <r>
      <rPr>
        <sz val="10"/>
        <color theme="1"/>
        <rFont val="Arial"/>
        <family val="2"/>
      </rPr>
      <t>, 4-Pack - Full Spirit</t>
    </r>
  </si>
  <si>
    <t>0.4-0.49</t>
  </si>
  <si>
    <t>~8.25</t>
  </si>
  <si>
    <t>~2</t>
  </si>
  <si>
    <t>~4</t>
  </si>
  <si>
    <t>~26.6</t>
  </si>
  <si>
    <t>Length x Width x Height versus Width x Depth x Height (UPS, USPS, DHL, FedEx use L x W x H)</t>
  </si>
  <si>
    <t>Pinpack</t>
  </si>
  <si>
    <t>Individual Item Unpackaged Weight (lbs)</t>
  </si>
  <si>
    <t>Individual Item Unpackaged Width (in)</t>
  </si>
  <si>
    <t>Individual Item Unpackaged Depth (in)</t>
  </si>
  <si>
    <t>Individual Item Unpackaged Height (in)</t>
  </si>
  <si>
    <t>Packaging Style</t>
  </si>
  <si>
    <t>Bulk</t>
  </si>
  <si>
    <t>Plexitube</t>
  </si>
  <si>
    <t>Display</t>
  </si>
  <si>
    <t>Gift Box</t>
  </si>
  <si>
    <t>Bucket</t>
  </si>
  <si>
    <t>Forest Lapplander 95</t>
  </si>
  <si>
    <t>Hunting Belly Opener</t>
  </si>
  <si>
    <t xml:space="preserve">Companion Heavy Duty (Military Green) </t>
  </si>
  <si>
    <t>Equus Farrier’s 180RH Wide</t>
  </si>
  <si>
    <t>Forest Exclusive 345</t>
  </si>
  <si>
    <t>Straight Wide Boning 7153PG</t>
  </si>
  <si>
    <t>Gutting Knife 159/288P</t>
  </si>
  <si>
    <t>Dark Grey/Orange</t>
  </si>
  <si>
    <t>Craftline HighQ Safe</t>
  </si>
  <si>
    <t>Craftline HighQ Chisel</t>
  </si>
  <si>
    <t>Classic No. 1</t>
  </si>
  <si>
    <t>Classic No. 2</t>
  </si>
  <si>
    <t>Classic No. 2/0</t>
  </si>
  <si>
    <t>Classic No. 3</t>
  </si>
  <si>
    <t>Companion Heavy Duty F (Orange)</t>
  </si>
  <si>
    <t>Companion MG</t>
  </si>
  <si>
    <t>Dial provides infinitely adjustable brightness on CREE XP-D LED up to 11 lumens plus red night vision mode; Burns up to 200 hours</t>
  </si>
  <si>
    <t>Keep “Blinded by the (Headlamp) Light” horror stories where they belong—around the campfire. Introducing UCO’s new revolutionary A-45 Comfort-Fit Headlamp—a headlamp so easy on the eyes it should be named, “Your Camping Buddy’s New BFF.” Besides not blinding him or her with every turn of your head, the soft, adjustable neoprene strap that houses the light is extremely lightweight, comfortable and easy on your skin so you'll be headache free. No bulky, hard hinges irritate your head and an intuitive, infinitely adjustable dial controls the light, which burns for up to 200 hours and tops out at 11 lumens and includes a red LED for night vision mode. Result? Your buddy will thank you. And you’ll get invited on more adventures. The new A-45: It’s everyone’s new BFF.</t>
  </si>
  <si>
    <t>Master Carton GTIN</t>
  </si>
  <si>
    <t>Inner Carton GTIN</t>
  </si>
  <si>
    <t>10054269001480</t>
  </si>
  <si>
    <t>20054269001487</t>
  </si>
  <si>
    <t>Peggable Card</t>
  </si>
  <si>
    <t>10054269001466</t>
  </si>
  <si>
    <t>20054269001463</t>
  </si>
  <si>
    <t>20054269001470</t>
  </si>
  <si>
    <t>10054269001510</t>
  </si>
  <si>
    <t>20054269001517</t>
  </si>
  <si>
    <t>10054269001497</t>
  </si>
  <si>
    <t>10054269001503</t>
  </si>
  <si>
    <t>20054269001494</t>
  </si>
  <si>
    <t>20054269001500</t>
  </si>
  <si>
    <t>Box</t>
  </si>
  <si>
    <t>Peggable Box</t>
  </si>
  <si>
    <t>20054269000879</t>
  </si>
  <si>
    <t>20054269001265</t>
  </si>
  <si>
    <t>20054269500409</t>
  </si>
  <si>
    <t>20054269000923</t>
  </si>
  <si>
    <t>Grilliput Portable Grill™</t>
  </si>
  <si>
    <t>Grilliput Portable Grill XL™</t>
  </si>
  <si>
    <t>Portable FirePit™</t>
  </si>
  <si>
    <t>Portable FirePit XL™</t>
  </si>
  <si>
    <t>Hangtag</t>
  </si>
  <si>
    <t>Hangtag w/ Polybag</t>
  </si>
  <si>
    <t>Polybag</t>
  </si>
  <si>
    <t>Peggable Sleeve</t>
  </si>
  <si>
    <t>10054269001435</t>
  </si>
  <si>
    <t>20054269001432</t>
  </si>
  <si>
    <t>054269001537</t>
  </si>
  <si>
    <t>20054269001531</t>
  </si>
  <si>
    <t>054269001551</t>
  </si>
  <si>
    <t>10054269001558</t>
  </si>
  <si>
    <t>20054269001555</t>
  </si>
  <si>
    <t>054269001544</t>
  </si>
  <si>
    <t>10054269001541</t>
  </si>
  <si>
    <t>20054269001548</t>
  </si>
  <si>
    <t>054269001612</t>
  </si>
  <si>
    <t>10054269001619</t>
  </si>
  <si>
    <t>20054269001616</t>
  </si>
  <si>
    <t>054269001629</t>
  </si>
  <si>
    <t>10054269001626</t>
  </si>
  <si>
    <t>20054269001623</t>
  </si>
  <si>
    <t>054269001599</t>
  </si>
  <si>
    <t>10054269001596</t>
  </si>
  <si>
    <t>20054269001593</t>
  </si>
  <si>
    <t>054269001582</t>
  </si>
  <si>
    <t>10054269001589</t>
  </si>
  <si>
    <t>20054269001586</t>
  </si>
  <si>
    <t>054269001605</t>
  </si>
  <si>
    <t>10054269001602</t>
  </si>
  <si>
    <t>20054269001609</t>
  </si>
  <si>
    <t>054269001520</t>
  </si>
  <si>
    <t>10054269001527</t>
  </si>
  <si>
    <t>20054269001524</t>
  </si>
  <si>
    <t>054269001643</t>
  </si>
  <si>
    <t>10054269001640</t>
  </si>
  <si>
    <t>20054269001647</t>
  </si>
  <si>
    <t>China, Germany, &amp; India</t>
  </si>
  <si>
    <t>6306.22.1000</t>
  </si>
  <si>
    <t>9613.80.2010</t>
  </si>
  <si>
    <t>10054269001473</t>
  </si>
  <si>
    <t>1.3 &amp; 2.0</t>
  </si>
  <si>
    <t>Great for low-impact camping, backyard, or patio use</t>
  </si>
  <si>
    <t>Safely contains a fire and keeps fire off the ground</t>
  </si>
  <si>
    <t>Constructed from durable stainless steel to provide high rust and corrosion resistance</t>
  </si>
  <si>
    <t>Lightweight and collapsible, with enough space to transport briquettes or wood</t>
  </si>
  <si>
    <t>Dimensions-packed: 7" x 3.125" (18 cm x 8 cm); Weight: 10.1 oz. (286 g)</t>
  </si>
  <si>
    <t>Perfect for low-impact camping or while canoeing or biking, the stainless steel Portable FirePit can be loaded with charcoal or wood and—voila! The fire is contained for safe and secure cooking. You'll save space and weight, too—the FirePit weighs in at 10 oz. and can be packed with pre-loaded fuel inside its collapsible bowl. It's ideal for use with the Grilliput Portable Grill™, other small barbecues, or by itself.</t>
  </si>
  <si>
    <t>Portable FirePit for use with the Grilliput Portable Grill, other camping grills, or by itself</t>
  </si>
  <si>
    <t>Cooking for a crew? Safely contain your grilling fuel and fire with the FireBowl XL. Its collapsible stainless steel construction is lightweight yet tough, making it easy to carry and assemble for backpacking, biking, canoeing or low-impact camping adventures. The perfect accessory to the Grilliput Quattro™ or other barbeques, its thoughtful construction allows you to carry extra wood or charcoal in its collapsed bowl.</t>
  </si>
  <si>
    <t>Extendable feet keep fire off the ground and collapse for easier storage</t>
  </si>
  <si>
    <t>Portable FirePit XL for use with the Grilliput Portable Grill XL, other camping grills, or by itself</t>
  </si>
  <si>
    <t>Dimensions-packed: 8.75" x 3" (22 cm x 7.5 cm); Weight: 12.6 oz. (384 g)</t>
  </si>
  <si>
    <t>Grill on the go! Bring it backpacking, boating or on the beach—the Grilliput Portable Grill is lightweight and assembles quickly. Use it to grill over a Portable FirePit™ filled with fuel and cook enough food for 2–3 people. Crafted from high-quality stainless steel, it’s beefy, beautiful, easy to clean and deconstructs like a minimalist’s dream. It comes apart in seconds; all pieces fit together neatly in one of the grill's side rails.</t>
  </si>
  <si>
    <t>Collapsible grill is perfect size to grill food for 2-3 people</t>
  </si>
  <si>
    <t>Constructed from durable stainless steel</t>
  </si>
  <si>
    <t>Cleaning groove for soiled grill bars</t>
  </si>
  <si>
    <t>Grill parts fit inside stainless steel tube for easy and compact storage</t>
  </si>
  <si>
    <t>Bail for hanging in storage</t>
  </si>
  <si>
    <t>Includes 1 thick tube with a stopper, 1 thin tube with a cleaning groove, 2 outer grill rods with hooks and threads, 10 grill rods, 4 grill feet</t>
  </si>
  <si>
    <t>Hot Grips™ are heat-resistant, silicone rubber finger grips that allow you to touch the hot grill, pan or foods</t>
  </si>
  <si>
    <t>Hot Dog Zone has narrower spacing between grill rods to keep smaller foods on the grill</t>
  </si>
  <si>
    <t>Collapsible grill serves 4-6 people</t>
  </si>
  <si>
    <t>Constructed from dishwasher safe stainless steel with adjustable-height aluminum legs; Tension-Interlock System™ provides extra support and stability for heavier foods</t>
  </si>
  <si>
    <t>Components conveniently store inside the side rails and are capped with the Hot Grips grill grabbers</t>
  </si>
  <si>
    <t>Includes 2 side rails, 18 grill rods, 2 tension bars, 4 grill legs, and 2 Hot Grips™</t>
  </si>
  <si>
    <t>Dimensions-packed: 17" x 1.75" (43 cm x 4 cm); Dimensions-bbq area: 16" x 17" (41 cm x 43 cm); Weight: 2 lbs. (0.91 kg)</t>
  </si>
  <si>
    <t>Party grilling just got easier! The lightweight, portable, stainless steel Grilliput Quattro assembles in a flash and cooks up enough grub for four or more people. Grab it for your next tailgating party or campground cookout—it handles the beefiest of menus, has a “Hot Dog Zone” for smaller foods, cleans up like a champ and breaks down in a cool 30 seconds.</t>
  </si>
  <si>
    <t>Bright LED provides a diffused white light, in lantern mode, up to 118 lumens</t>
  </si>
  <si>
    <t>Burns up to 130 hours</t>
  </si>
  <si>
    <t>On/off button switches light levels from high to medium to low light to conserve batteries or strobe for emergency situations</t>
  </si>
  <si>
    <t>Mini Kit</t>
  </si>
  <si>
    <t>Includes Mini Candle Lantern, UCO 4-hour tealight candles x2, UCO citronella tealight candles x2, and a fleece bag for storage</t>
  </si>
  <si>
    <t>Dimensions: 4" high x 2.25" diameter (10 cm x 6 cm); Weight (w/ candle): 3.5 oz. (99 g); Candle: Tealight candle with 4-5 hour burn time each</t>
  </si>
  <si>
    <t>Tealight candles burn 4-5 hours each; Citronella oil is mixed into the paraffin for the citronella tealights</t>
  </si>
  <si>
    <t>Dimensions: 4" high x 2.25" diameter (10 cm x 6 cm); Weight (w/ candle): 3.5 oz. (99 g); Candle: Tealight candle with 4-5 hour burn time</t>
  </si>
  <si>
    <t>Esbit® Emergency Stove: Folds into cooking position, then flat again for several uses; constructed from durable, galvanized steel—lightweight and pliable.</t>
  </si>
  <si>
    <t>Esbit® Solid Fuel Tablets x3: Large 14 g solid fuel tablets burn about 12 minutes each; individually packaged for one at a time usage</t>
  </si>
  <si>
    <t>Survival Stormproof Match Kit™: 15 Survival Stormproof Matches™—windproof, waterproof, and burn up to 12 seconds</t>
  </si>
  <si>
    <t>Contents store easily inside zippered pouch</t>
  </si>
  <si>
    <t>Narrow Fillet Knife 9180P</t>
  </si>
  <si>
    <t>Narrow Fillet Knife 9197P</t>
  </si>
  <si>
    <t>Wide Fillet Knife 9210P</t>
  </si>
  <si>
    <t>Narrow Fillet Knife 9151P</t>
  </si>
  <si>
    <t>Narrow Fillet Knife 9160P</t>
  </si>
  <si>
    <t>Narrow Fillet Knife 8197UG</t>
  </si>
  <si>
    <t>Narrow Fillet Knife 9218PG</t>
  </si>
  <si>
    <t>Narrow Fillet Knife 9180PG</t>
  </si>
  <si>
    <t>Wide Fillet Knife 9210PG</t>
  </si>
  <si>
    <t>2 P</t>
  </si>
  <si>
    <t>M-12002</t>
  </si>
  <si>
    <t>S-FP-MEDIUMFLOOR</t>
  </si>
  <si>
    <t>S-FS2TD</t>
  </si>
  <si>
    <t>Hangtag w/Polybag</t>
  </si>
  <si>
    <t>E-ST300S</t>
  </si>
  <si>
    <t>NAVY BLUE</t>
  </si>
  <si>
    <t>ASST10PK</t>
  </si>
  <si>
    <t>HAPPY</t>
  </si>
  <si>
    <t>WILD FOREST</t>
  </si>
  <si>
    <t>WILDFOREST</t>
  </si>
  <si>
    <t>WILDELEMENT</t>
  </si>
  <si>
    <t>GR-OR-BL</t>
  </si>
  <si>
    <t>COCO</t>
  </si>
  <si>
    <t>S-FP-ADV-WALL</t>
  </si>
  <si>
    <t>FirePackage Adventure, Wall</t>
  </si>
  <si>
    <t>Individual Item Unpackaged Length/Width (in)</t>
  </si>
  <si>
    <t>~7.9</t>
  </si>
  <si>
    <t>~0.6</t>
  </si>
  <si>
    <t>3.5/7.1</t>
  </si>
  <si>
    <t>Clamshell</t>
  </si>
  <si>
    <t>P-UC</t>
  </si>
  <si>
    <t>BaseClamp</t>
  </si>
  <si>
    <t>BaseClamp 2.5</t>
  </si>
  <si>
    <t>UltraPod II Digital Lightweight Camera Tripod</t>
  </si>
  <si>
    <t>STD</t>
  </si>
  <si>
    <t>Flavor Fountain 36-Pack Assortment</t>
  </si>
  <si>
    <t>Flavor Fountain 4-Pack Assortment</t>
  </si>
  <si>
    <t>Bottle</t>
  </si>
  <si>
    <t>2.5/3.5</t>
  </si>
  <si>
    <t>4.25/6.5</t>
  </si>
  <si>
    <t>4.75/7</t>
  </si>
  <si>
    <t>4.5/6.5</t>
  </si>
  <si>
    <t>4.75/6.75</t>
  </si>
  <si>
    <t>5.25/7.75</t>
  </si>
  <si>
    <t>Polished Silver</t>
  </si>
  <si>
    <t>Matte Grey</t>
  </si>
  <si>
    <t>Matte Silver</t>
  </si>
  <si>
    <t>0.40 R, 0.43 C</t>
  </si>
  <si>
    <t>0.51 R, 0.54 C</t>
  </si>
  <si>
    <t>0.62 R, 0.66 C</t>
  </si>
  <si>
    <t>0.14 R, 0.16 C/M</t>
  </si>
  <si>
    <t>1.18 R, 1.10 C/M</t>
  </si>
  <si>
    <t>0.30 R, 0.31 C</t>
  </si>
  <si>
    <t>0.17 R, 0.18 C/M</t>
  </si>
  <si>
    <t>0.20 R, 0.17 C/M</t>
  </si>
  <si>
    <t>0.11 C/M, 0.12 R</t>
  </si>
  <si>
    <t>Knife with a 3.2 mm thick black, anticorrosive-coated carbon steel blade</t>
  </si>
  <si>
    <t>0.22 R, 0.19 M</t>
  </si>
  <si>
    <t>P-UPGRIP</t>
  </si>
  <si>
    <r>
      <t>UltraPod Grip</t>
    </r>
    <r>
      <rPr>
        <sz val="10"/>
        <rFont val="Calibri"/>
        <family val="2"/>
      </rPr>
      <t>™</t>
    </r>
  </si>
  <si>
    <r>
      <t>UltraPod II</t>
    </r>
    <r>
      <rPr>
        <sz val="10"/>
        <rFont val="Calibri"/>
        <family val="2"/>
      </rPr>
      <t>™</t>
    </r>
  </si>
  <si>
    <r>
      <t>UltraPod Go</t>
    </r>
    <r>
      <rPr>
        <sz val="10"/>
        <rFont val="Calibri"/>
        <family val="2"/>
      </rPr>
      <t>™</t>
    </r>
  </si>
  <si>
    <r>
      <t>UltraPod</t>
    </r>
    <r>
      <rPr>
        <sz val="10"/>
        <rFont val="Calibri"/>
        <family val="2"/>
      </rPr>
      <t>™</t>
    </r>
    <r>
      <rPr>
        <sz val="10"/>
        <rFont val="Arial"/>
        <family val="2"/>
      </rPr>
      <t xml:space="preserve"> - Blue</t>
    </r>
  </si>
  <si>
    <r>
      <t>UltraPod</t>
    </r>
    <r>
      <rPr>
        <sz val="10"/>
        <rFont val="Calibri"/>
        <family val="2"/>
      </rPr>
      <t>™</t>
    </r>
  </si>
  <si>
    <r>
      <t>Cellpod</t>
    </r>
    <r>
      <rPr>
        <sz val="10"/>
        <rFont val="Calibri"/>
        <family val="2"/>
      </rPr>
      <t>™</t>
    </r>
    <r>
      <rPr>
        <sz val="10"/>
        <rFont val="Arial"/>
        <family val="2"/>
      </rPr>
      <t xml:space="preserve"> Adapter</t>
    </r>
  </si>
  <si>
    <t>UltraClamp™</t>
  </si>
  <si>
    <t>UltraClamp™ 2.5</t>
  </si>
  <si>
    <t>UltraClamp™ 360°</t>
  </si>
  <si>
    <t>UltraClamp™ 4.0</t>
  </si>
  <si>
    <t>UltraClamp™ - No Package</t>
  </si>
  <si>
    <t>UltraMount™ 360°</t>
  </si>
  <si>
    <t>UltraMount™ - No Package</t>
  </si>
  <si>
    <t>Magnetic UltraMount™</t>
  </si>
  <si>
    <t>UltraMount™</t>
  </si>
  <si>
    <t>2.3 x 0.65 x 1.4</t>
  </si>
  <si>
    <t>21-26</t>
  </si>
  <si>
    <t xml:space="preserve">Classic Wood Splitter </t>
  </si>
  <si>
    <t>Stainless, Twin sheath</t>
  </si>
  <si>
    <t>Boron &amp; Stainless Steel</t>
  </si>
  <si>
    <t>054269001568</t>
  </si>
  <si>
    <t>MT-SM-CONT (POP)</t>
  </si>
  <si>
    <t>4.5625/6.375</t>
  </si>
  <si>
    <t>YayLabs!</t>
  </si>
  <si>
    <t>FireLighting Kit</t>
  </si>
  <si>
    <t>Extra-Medium</t>
  </si>
  <si>
    <t>Dimensions–open: 6.5" high x 2" diameter (17 cm x 5 cm); Dimensions–closed: 4.25" high x 2" diameter (11 cm x 5 cm); Weight (w/ candle): 7.2 oz. (204 g); Candle: UCO 9-hour or citronella candles, or 12-hour beeswax candles</t>
  </si>
  <si>
    <t>054269001575</t>
  </si>
  <si>
    <t>Changing Soon</t>
  </si>
  <si>
    <t>Discontinued When Stock = 0</t>
  </si>
  <si>
    <t>Update Information</t>
  </si>
  <si>
    <t>10054269001282</t>
  </si>
  <si>
    <t>2005426001289</t>
  </si>
  <si>
    <t>Individual Item Unpackaged Height (in) (closed/open)</t>
  </si>
  <si>
    <t>Burn Time (up to): 25 seconds; Length: 4.125" (10.5 cm); Weight: 3.4 oz. (95 g)</t>
  </si>
  <si>
    <t>Burn Time (up to): 25 seconds; Length: 4.125" (10.5 cm); Weight (Kit): 2.8 oz. (80 g)</t>
  </si>
  <si>
    <t>Questions</t>
  </si>
  <si>
    <t>Coming Soon</t>
  </si>
  <si>
    <t>A colorful outdoor knife with Swedish FireSteel® fire starter. The Swedish FireKnife™ is a collaboration between Light My Fire and Mora of Sweden, and we could hardly have picked a better partner. Mora has made top-notch knives for 120 years. But this is more than just an extremely sharp, flexible, and sturdy all-around knife: the handle contains a fire starter. In other words, you can gut and clean a fish, split kindling and light a campfire with one single handy tool.</t>
  </si>
  <si>
    <t>Three refillable compartments for various spices.</t>
  </si>
  <si>
    <t>Airtight, shock-resistant, and waterproof.</t>
  </si>
  <si>
    <t>Rubber gasket keeps spices fresh.</t>
  </si>
  <si>
    <t>End opening to shake out just the spices you need.</t>
  </si>
  <si>
    <t>Fits inside a SnapBox original inside a LunchKit or MealKit 2.0.</t>
  </si>
  <si>
    <t>Floats.</t>
  </si>
  <si>
    <t>Spice is the variety of life, but how do you take it with you on an outing? The Salt &amp; Pepper Plus™ carries 3 spices in waterproof, airtight, and shock-resistant compartments. As practical in a forest glade as in the darkness of your briefcase, the Salt &amp; Pepper Plus™ floats and fits inside the LunchKit or MealKit 2.0's SnapBox Original waterproof container.</t>
  </si>
  <si>
    <r>
      <t>You know a great idea when you see it</t>
    </r>
    <r>
      <rPr>
        <sz val="10"/>
        <color indexed="8"/>
        <rFont val="Calibri"/>
        <family val="2"/>
      </rPr>
      <t>—</t>
    </r>
    <r>
      <rPr>
        <sz val="10"/>
        <color indexed="8"/>
        <rFont val="Arial"/>
        <family val="2"/>
      </rPr>
      <t>simple, obvious, yet completely new. This is how people react to our products. From making fires to eating meals</t>
    </r>
    <r>
      <rPr>
        <sz val="10"/>
        <color indexed="8"/>
        <rFont val="Calibri"/>
        <family val="2"/>
      </rPr>
      <t>—</t>
    </r>
    <r>
      <rPr>
        <sz val="10"/>
        <color indexed="8"/>
        <rFont val="Arial"/>
        <family val="2"/>
      </rPr>
      <t>our outdoor accessories are loved by both backyard adventurers and backwoods survivalists. From the moment you first hold our products in your hand, you'll want them...and so will your family and friends. Based in Sweden, Light My Fire specializes in outdoor accessories that are as practical in the city as they are in the wild.</t>
    </r>
  </si>
  <si>
    <t>The perfect kit for work, school, picnics, or holiday outings. The LunchKit contains all you need to eat your lunch in style anywhere, anytime. It comes with two high-edged plates, a Spork original (spoon-fork-knife combo) and two waterproof SnapBoxes in different shapes and sizes. Now you can easily organize and store your food. Comes with a tight and neat Harness to keep the contents stored safely inside.</t>
  </si>
  <si>
    <t>LunchKit includes: 1 lid/plate, 1 plate/bowl, 1 Spork original, 1 SnapBox original, 1 SnapBox oval, and 1 Harness.</t>
  </si>
  <si>
    <r>
      <t>Easy to clean</t>
    </r>
    <r>
      <rPr>
        <sz val="10"/>
        <rFont val="Calibri"/>
        <family val="2"/>
      </rPr>
      <t>—</t>
    </r>
    <r>
      <rPr>
        <sz val="10"/>
        <rFont val="Arial"/>
        <family val="2"/>
      </rPr>
      <t>stain and odor resistant.</t>
    </r>
  </si>
  <si>
    <t>MealKit 2.0 includes: 1 lid/plate, 1 plate/bowl, 1 SnapBox original, 1 SnapBox oval, 1 Pack-up-Cup, 1 strainer/cutting board, 1 Spork original, and 1 Harness.</t>
  </si>
  <si>
    <t>The newest version of our popular messkit is the ideal kit for your backpack, boat, bike, or picnic basket. It has all you need to prepare and eat a meal in all outdoor environments. The MealKit 2.0™ comes with a number of features and functions: two plates, a foldable Pack-up-Cup with a lid (260 ml), a combined strainer and cutting board, a Spork original (spoon-fork-knife combo), and two waterproof SnapBoxes in different shapes and sizes. Also comes with a harness to keep everything neatly packed.</t>
  </si>
  <si>
    <t>Contains 1 Light My Fire Spork Original, unpackaged.</t>
  </si>
  <si>
    <t>Contains 2 Light My Fire Spork extra-medium.</t>
  </si>
  <si>
    <t>Contains 2 Light My Fire Spork large.</t>
  </si>
  <si>
    <t>Contains 2 Light My Fire Spork leftys.</t>
  </si>
  <si>
    <t>Contains 2 Light My Fire Grandpa's FireForks.</t>
  </si>
  <si>
    <t>Promotion Displays</t>
  </si>
  <si>
    <t>CocoShell</t>
  </si>
  <si>
    <t>Inner Carton EAN</t>
  </si>
  <si>
    <t>Spirit - cy/li/gr/fu</t>
  </si>
  <si>
    <t>Master Carton EAN</t>
  </si>
  <si>
    <t>Master Carton ITF14</t>
  </si>
  <si>
    <t>7331423100200</t>
  </si>
  <si>
    <t>7331423100217</t>
  </si>
  <si>
    <t>7331423100224</t>
  </si>
  <si>
    <t>7331423200368</t>
  </si>
  <si>
    <t>17331423200365</t>
  </si>
  <si>
    <t>7331423200375</t>
  </si>
  <si>
    <t>17331423200372</t>
  </si>
  <si>
    <t>7331423200382</t>
  </si>
  <si>
    <t>17331423200389</t>
  </si>
  <si>
    <t>Spirit - cy/li/gr/fu/or/bl</t>
  </si>
  <si>
    <t>Bulk - plastic bag</t>
  </si>
  <si>
    <t>Tinder-on-a-Rope™</t>
  </si>
  <si>
    <t>7331423200177</t>
  </si>
  <si>
    <t>17331423200174</t>
  </si>
  <si>
    <t>7331423200184</t>
  </si>
  <si>
    <t>17331423200181</t>
  </si>
  <si>
    <t>7331423200191</t>
  </si>
  <si>
    <t>17331423200198</t>
  </si>
  <si>
    <t>17331423200204</t>
  </si>
  <si>
    <t>Spirit - li/cy, gr/bl, fu/or</t>
  </si>
  <si>
    <t>Fuschia &amp; Orange</t>
  </si>
  <si>
    <t>Spirit - bl/or, fu/cy, li/gr</t>
  </si>
  <si>
    <t>8108.90.3060</t>
  </si>
  <si>
    <r>
      <t>Spork original</t>
    </r>
    <r>
      <rPr>
        <sz val="10"/>
        <rFont val="Calibri"/>
        <family val="2"/>
      </rPr>
      <t>™</t>
    </r>
    <r>
      <rPr>
        <sz val="10"/>
        <rFont val="Arial"/>
        <family val="2"/>
      </rPr>
      <t>, 4-Pack</t>
    </r>
  </si>
  <si>
    <t>Element - gr/rd/cy/or</t>
  </si>
  <si>
    <r>
      <t>Spork original</t>
    </r>
    <r>
      <rPr>
        <sz val="10"/>
        <color theme="1"/>
        <rFont val="Calibri"/>
        <family val="2"/>
      </rPr>
      <t>™</t>
    </r>
    <r>
      <rPr>
        <sz val="10"/>
        <color theme="1"/>
        <rFont val="Arial"/>
        <family val="2"/>
      </rPr>
      <t>, 4-Pack</t>
    </r>
  </si>
  <si>
    <t>2LICYTGRTB</t>
  </si>
  <si>
    <t>Individual Item Unpackaged Length (in)</t>
  </si>
  <si>
    <t>Individual Item Packaged Length (in)</t>
  </si>
  <si>
    <t>Inner Pack Length (in)</t>
  </si>
  <si>
    <t>Master Length (in)</t>
  </si>
  <si>
    <t>3TPFUTOORG</t>
  </si>
  <si>
    <t>Sunset - t.pi/fu/t.or/or</t>
  </si>
  <si>
    <t>Ocean - t.gr/li/t.bl/cy</t>
  </si>
  <si>
    <t>4LIBLGRORG</t>
  </si>
  <si>
    <t>Wild Element - li/bl/gr/or</t>
  </si>
  <si>
    <t>FULLSPIRIT</t>
  </si>
  <si>
    <t>Full Spirit - cy/li/gr/fu/or/bl</t>
  </si>
  <si>
    <t>TB-CY</t>
  </si>
  <si>
    <t>TP-FU</t>
  </si>
  <si>
    <t>TG-GR</t>
  </si>
  <si>
    <t>TO-OR</t>
  </si>
  <si>
    <t>LI-PU</t>
  </si>
  <si>
    <t>SILVER</t>
  </si>
  <si>
    <t>TRNBLUE</t>
  </si>
  <si>
    <t>TRNGREEN</t>
  </si>
  <si>
    <t>TRNORANGE</t>
  </si>
  <si>
    <t>Happy - t.gr/t.bl/t.pi/t.or</t>
  </si>
  <si>
    <t>Inner Carton EAN/GTIN</t>
  </si>
  <si>
    <r>
      <t>Spork original</t>
    </r>
    <r>
      <rPr>
        <sz val="10"/>
        <rFont val="Calibri"/>
        <family val="2"/>
      </rPr>
      <t>™</t>
    </r>
    <r>
      <rPr>
        <sz val="10"/>
        <rFont val="Arial"/>
        <family val="2"/>
      </rPr>
      <t xml:space="preserve"> Plexi + 200 pcs</t>
    </r>
  </si>
  <si>
    <t>Spork original™ Plexi + 200 pcs</t>
  </si>
  <si>
    <t>Spork original™ Plexi + 60 pcs</t>
  </si>
  <si>
    <t>GRN-CY</t>
  </si>
  <si>
    <t>RED-ORANGE</t>
  </si>
  <si>
    <t>Red &amp; Pink</t>
  </si>
  <si>
    <t>Fuchsia &amp; Orange</t>
  </si>
  <si>
    <t>Red &amp; Orange</t>
  </si>
  <si>
    <t>Green &amp; Cyan</t>
  </si>
  <si>
    <t>Element - rd/or, cr/cy</t>
  </si>
  <si>
    <t>S-SP-JUMBO</t>
  </si>
  <si>
    <t>Spork original™ Plexi + 700 pcs</t>
  </si>
  <si>
    <t>Spirit - li/gr, fu/cy, bl/or</t>
  </si>
  <si>
    <r>
      <t>Spork little</t>
    </r>
    <r>
      <rPr>
        <sz val="10"/>
        <color theme="1"/>
        <rFont val="Calibri"/>
        <family val="2"/>
      </rPr>
      <t>™,</t>
    </r>
    <r>
      <rPr>
        <sz val="10"/>
        <color theme="1"/>
        <rFont val="Arial"/>
        <family val="2"/>
      </rPr>
      <t xml:space="preserve"> 3-pack w/in Plexi</t>
    </r>
  </si>
  <si>
    <r>
      <t>Spork little</t>
    </r>
    <r>
      <rPr>
        <sz val="10"/>
        <rFont val="Calibri"/>
        <family val="2"/>
      </rPr>
      <t>™</t>
    </r>
    <r>
      <rPr>
        <sz val="10"/>
        <rFont val="Arial"/>
        <family val="2"/>
      </rPr>
      <t xml:space="preserve"> Plexitube + 40 pcs of 3-Packs</t>
    </r>
  </si>
  <si>
    <t>Spirit - li/cy/fu, cy/li/pbl, fu/or/pi</t>
  </si>
  <si>
    <t>Lime, Cyan, &amp; Fuchsia</t>
  </si>
  <si>
    <t>Cyan, Lime, &amp; Passion Blue</t>
  </si>
  <si>
    <t>Fuchsia, Orange, &amp; Pink</t>
  </si>
  <si>
    <t>within Plexitube</t>
  </si>
  <si>
    <r>
      <t>Spork little</t>
    </r>
    <r>
      <rPr>
        <sz val="10"/>
        <rFont val="Calibri"/>
        <family val="2"/>
      </rPr>
      <t>™</t>
    </r>
    <r>
      <rPr>
        <sz val="10"/>
        <rFont val="Arial"/>
        <family val="2"/>
      </rPr>
      <t>, 3-Pack</t>
    </r>
  </si>
  <si>
    <t>CY-LI-PBLU</t>
  </si>
  <si>
    <t>FU-ORG-PI</t>
  </si>
  <si>
    <t>LI-CY-FU</t>
  </si>
  <si>
    <t>17331423201096</t>
  </si>
  <si>
    <r>
      <t>Pack-up-Cup</t>
    </r>
    <r>
      <rPr>
        <sz val="10"/>
        <rFont val="Calibri"/>
        <family val="2"/>
      </rPr>
      <t>™</t>
    </r>
    <r>
      <rPr>
        <sz val="10"/>
        <rFont val="Arial"/>
        <family val="2"/>
      </rPr>
      <t>, 4-pack</t>
    </r>
  </si>
  <si>
    <t>7331423007158</t>
  </si>
  <si>
    <t>7331423008254</t>
  </si>
  <si>
    <t>17331423201188</t>
  </si>
  <si>
    <t>6307.90.9889</t>
  </si>
  <si>
    <t>7331423200221</t>
  </si>
  <si>
    <t>17331423200228</t>
  </si>
  <si>
    <t>7331423200238</t>
  </si>
  <si>
    <t>17331423200235</t>
  </si>
  <si>
    <t>7331423200252</t>
  </si>
  <si>
    <t>17331423200259</t>
  </si>
  <si>
    <t>7331423200276</t>
  </si>
  <si>
    <t>17331423200273</t>
  </si>
  <si>
    <t>7331423200269</t>
  </si>
  <si>
    <t>17331423200266</t>
  </si>
  <si>
    <t>17331423200280</t>
  </si>
  <si>
    <t>Lime, Fuchsia, &amp; Cyan</t>
  </si>
  <si>
    <t>Green, Orange, &amp; Black</t>
  </si>
  <si>
    <r>
      <t>Salt &amp; Pepper Plus</t>
    </r>
    <r>
      <rPr>
        <b/>
        <sz val="12"/>
        <rFont val="Calibri"/>
        <family val="2"/>
      </rPr>
      <t>™</t>
    </r>
  </si>
  <si>
    <r>
      <t>SnapBox</t>
    </r>
    <r>
      <rPr>
        <b/>
        <sz val="12"/>
        <rFont val="Calibri"/>
        <family val="2"/>
      </rPr>
      <t>™</t>
    </r>
  </si>
  <si>
    <t>ORG-BLK</t>
  </si>
  <si>
    <t>Element - gr/cy, rd/or</t>
  </si>
  <si>
    <t>Orange &amp; Black</t>
  </si>
  <si>
    <t>Cord w/ Hangtag</t>
  </si>
  <si>
    <t>Cord w/ Wrap</t>
  </si>
  <si>
    <t>Assorted - Outdoor</t>
  </si>
  <si>
    <t>Lime &amp; Green, Orange &amp; Cyan</t>
  </si>
  <si>
    <t>S-CPID-SPORK80S</t>
  </si>
  <si>
    <t>S-CPID-SPORK80P</t>
  </si>
  <si>
    <t>Green &amp; Cyan, Fuchsia &amp; Lime, Lime &amp; Green</t>
  </si>
  <si>
    <t>S-P-ULTIMATESPORK</t>
  </si>
  <si>
    <r>
      <t>Spork little</t>
    </r>
    <r>
      <rPr>
        <sz val="10"/>
        <rFont val="Calibri"/>
        <family val="2"/>
      </rPr>
      <t>™</t>
    </r>
    <r>
      <rPr>
        <sz val="10"/>
        <rFont val="Arial"/>
        <family val="2"/>
      </rPr>
      <t>, 36-count, 3-pack, Display</t>
    </r>
  </si>
  <si>
    <r>
      <t>Spork titanium</t>
    </r>
    <r>
      <rPr>
        <sz val="10"/>
        <rFont val="Calibri"/>
        <family val="2"/>
      </rPr>
      <t>™</t>
    </r>
    <r>
      <rPr>
        <sz val="10"/>
        <rFont val="Arial"/>
        <family val="2"/>
      </rPr>
      <t>, 18-count, Display</t>
    </r>
  </si>
  <si>
    <r>
      <t>Spork original</t>
    </r>
    <r>
      <rPr>
        <sz val="10"/>
        <rFont val="Calibri"/>
        <family val="2"/>
      </rPr>
      <t>™</t>
    </r>
    <r>
      <rPr>
        <sz val="10"/>
        <rFont val="Arial"/>
        <family val="2"/>
      </rPr>
      <t>, 120-count, Display</t>
    </r>
  </si>
  <si>
    <r>
      <t>Grandpa's FireFork</t>
    </r>
    <r>
      <rPr>
        <sz val="10"/>
        <rFont val="Calibri"/>
        <family val="2"/>
      </rPr>
      <t>™</t>
    </r>
    <r>
      <rPr>
        <sz val="10"/>
        <rFont val="Arial"/>
        <family val="2"/>
      </rPr>
      <t>, 24-count, Display</t>
    </r>
  </si>
  <si>
    <r>
      <t>Swedish FireSteel 2.0</t>
    </r>
    <r>
      <rPr>
        <sz val="10"/>
        <rFont val="Calibri"/>
        <family val="2"/>
      </rPr>
      <t>®</t>
    </r>
    <r>
      <rPr>
        <sz val="10"/>
        <rFont val="Arial"/>
        <family val="2"/>
      </rPr>
      <t xml:space="preserve"> scout, 16-count, Display</t>
    </r>
  </si>
  <si>
    <r>
      <t>Grill'n Chill Kit</t>
    </r>
    <r>
      <rPr>
        <sz val="10"/>
        <rFont val="Calibri"/>
        <family val="2"/>
      </rPr>
      <t>™</t>
    </r>
    <r>
      <rPr>
        <sz val="10"/>
        <rFont val="Arial"/>
        <family val="2"/>
      </rPr>
      <t xml:space="preserve"> Promotion, 24-count, Display</t>
    </r>
  </si>
  <si>
    <r>
      <t>Pack'n Snack Kit</t>
    </r>
    <r>
      <rPr>
        <sz val="10"/>
        <rFont val="Calibri"/>
        <family val="2"/>
      </rPr>
      <t>™</t>
    </r>
    <r>
      <rPr>
        <sz val="10"/>
        <rFont val="Arial"/>
        <family val="2"/>
      </rPr>
      <t xml:space="preserve"> Promotion, 36-count, Display</t>
    </r>
  </si>
  <si>
    <r>
      <t>Ultimate Spork Kit</t>
    </r>
    <r>
      <rPr>
        <sz val="10"/>
        <rFont val="Calibri"/>
        <family val="2"/>
      </rPr>
      <t>™</t>
    </r>
    <r>
      <rPr>
        <sz val="10"/>
        <rFont val="Arial"/>
        <family val="2"/>
      </rPr>
      <t xml:space="preserve"> Promotion, 24-count, Display</t>
    </r>
  </si>
  <si>
    <r>
      <t>Spork original</t>
    </r>
    <r>
      <rPr>
        <sz val="10"/>
        <rFont val="Calibri"/>
        <family val="2"/>
      </rPr>
      <t>™</t>
    </r>
    <r>
      <rPr>
        <sz val="10"/>
        <rFont val="Arial"/>
        <family val="2"/>
      </rPr>
      <t>, 80-count, Display</t>
    </r>
  </si>
  <si>
    <t>Peacock - pm/pet/si/pg</t>
  </si>
  <si>
    <t>PETROLEUM</t>
  </si>
  <si>
    <t>Petroleum</t>
  </si>
  <si>
    <t>PINK METAL</t>
  </si>
  <si>
    <t>Pink Metal</t>
  </si>
  <si>
    <t>PIRATE GOLD</t>
  </si>
  <si>
    <t>Pirate Gold</t>
  </si>
  <si>
    <t>Petroleum &amp; Silver</t>
  </si>
  <si>
    <t>PEACOCK</t>
  </si>
  <si>
    <r>
      <t>Add-a-Twist</t>
    </r>
    <r>
      <rPr>
        <sz val="10"/>
        <rFont val="Calibri"/>
        <family val="2"/>
      </rPr>
      <t>™</t>
    </r>
  </si>
  <si>
    <t>Spring 2016</t>
  </si>
  <si>
    <t>Blue Haze</t>
  </si>
  <si>
    <t>7331423009985</t>
  </si>
  <si>
    <t>7331423010004</t>
  </si>
  <si>
    <t>7331423009992</t>
  </si>
  <si>
    <t>7331423201099</t>
  </si>
  <si>
    <t>7331423201181</t>
  </si>
  <si>
    <t>7331423200283</t>
  </si>
  <si>
    <t>Fall 2016</t>
  </si>
  <si>
    <t>Lime, Green, Black, Orange, Fuchsia</t>
  </si>
  <si>
    <t>Mora of Sweden makes this flexible and sturdy blade of Sandvik 12C27 stainless steel with a Scandinavian grind.</t>
  </si>
  <si>
    <t>Sturdy, half-tang blade.</t>
  </si>
  <si>
    <t>High-friction, anti-slip rubber handle.</t>
  </si>
  <si>
    <t>Polypropylene sheath with drain hole and belt clip.</t>
  </si>
  <si>
    <t>Includes an original Swedish FireSteel® Scout fire starter to be used with the specially ground back of the knife—lasts approximately 3,000 strikes.</t>
  </si>
  <si>
    <t>Reliable performance at all altitudes and in cold weather—2,980°C (5,400°F) spark.</t>
  </si>
  <si>
    <t>Dimensions (in sheath): 8.9" x 1.8" x 1.5" (225 mm x 45 mm x 38 mm); Knife Length: 8.5" (215 mm); Blade Length: 3.75" (95 mm); Blade Thickness: 0.07" (1.9 mm); Weight (w/ sheath): 3.4 oz. (94 g)</t>
  </si>
  <si>
    <r>
      <t>You know a great idea when you see it</t>
    </r>
    <r>
      <rPr>
        <sz val="10"/>
        <color indexed="8"/>
        <rFont val="Calibri"/>
        <family val="2"/>
      </rPr>
      <t>—</t>
    </r>
    <r>
      <rPr>
        <sz val="10"/>
        <color indexed="8"/>
        <rFont val="Arial"/>
        <family val="2"/>
      </rPr>
      <t>simple, obvious, yet completely new. This is how people react to our products. From making fires to eating meals</t>
    </r>
    <r>
      <rPr>
        <sz val="10"/>
        <color indexed="8"/>
        <rFont val="Calibri"/>
        <family val="2"/>
      </rPr>
      <t>—</t>
    </r>
    <r>
      <rPr>
        <sz val="10"/>
        <color indexed="8"/>
        <rFont val="Arial"/>
        <family val="2"/>
      </rPr>
      <t>our outdoor accessories are loved by both backyard adventurers and backwoods survivalists. From the moment you first hold our products in your hand, you'll want them...and so will your family and friends. Based in Sweden, Light My Fire specializes in outdoor accessories that are as practical in the city as they are in the wild. To learn more or connect with Light My Fire of Sweden visit them at www.lightmyfire.com.</t>
    </r>
  </si>
  <si>
    <t>Made in Sweden</t>
  </si>
  <si>
    <r>
      <t>Replacement FireSteel® Scout fire starter for the Swedish FireKnife</t>
    </r>
    <r>
      <rPr>
        <sz val="10"/>
        <rFont val="Calibri"/>
        <family val="2"/>
      </rPr>
      <t>™</t>
    </r>
  </si>
  <si>
    <t>Durable - Scout model lasts approximately 3,000 strikes.</t>
  </si>
  <si>
    <t>Bright spark - can be used as emergency signal.</t>
  </si>
  <si>
    <t>Reliable performance at all altitudes and in cold, wet weather.</t>
  </si>
  <si>
    <t>Produces a 2,980°C (5,400°F) spark</t>
  </si>
  <si>
    <t>The replacement Swedish FireSteel Scout for the Swedish FireKnife is a flash of genius. Its 2,980°C spark makes fire building easy in any weather, at any altitude. Swedish FireSteel's dependability has already made it a favorite of survival experts, hunters, fishermen and campers. It has also found its way into cabins and backyards as a fool-proof way to light stoves and gas-barbecues.</t>
  </si>
  <si>
    <t>Durable—lasts approximately 3,000 strikes.</t>
  </si>
  <si>
    <t>Ignites all tinder and can be used for campfires, gas stoves, and gas barbecues.</t>
  </si>
  <si>
    <t>Works equally well when wet.</t>
  </si>
  <si>
    <t>Striker handle includes a built-in emergency whistle.</t>
  </si>
  <si>
    <t>Bright spark can be used as an emergency signal.</t>
  </si>
  <si>
    <t>Material: Swedish FireSteel - magnesium alloy, striker - Stainless steel; Weight: 0.95 oz. (27 g)</t>
  </si>
  <si>
    <t>Durable—lasts approximately 12,000 strikes.</t>
  </si>
  <si>
    <t>Material: Swedish FireSteel - magnesium alloy, striker - Stainless steel; Weight: 1.8 oz. (50 g)</t>
  </si>
  <si>
    <t>Originally developed for the Swedish Department of Defense, our legendary Swedish FireSteel® is the original fire starter. Being the best, however, means always having to push the envelope. The result was a newer generation with an improved striker that makes it even easier to build a fire in any weather, at any altitude. Our second generation Swedish FireSteel 2.0® also features a new design, a lanyard, and a built-in emergency whistle. The Swedish FireSteel's dependability and intense, close to 2,980°C (5,400°F) sparks, have long made it a favorite of survival experts, hunters, fishermen, and campers. It has also found its way into cabins and backyards as a foolproof way to light stoves and gas barbecues.</t>
  </si>
  <si>
    <t>Durable—lasts approximately 1,500 strikes.</t>
  </si>
  <si>
    <t>Material: Swedish FireSteel - magnesium alloy, striker - Stainless steel; Weight: 0.5 oz. (14 g)</t>
  </si>
  <si>
    <t>Originally developed for the Swedish Department of Defense, Swedish FireSteel® fire starter is a flash of genius. Its 2,980°C (5,400°F)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 barbecues.</t>
  </si>
  <si>
    <t>Material: Swedish FireSteel - magnesium alloy, striker - Stainless steel; Weight: 1.1 oz. (31 g)</t>
  </si>
  <si>
    <t>Material: Swedish FireSteel - magnesium alloy, striker - Stainless steel; Weight: 1.9 oz. (51 g)</t>
  </si>
  <si>
    <t>Having a hard time finding the perfect gift for someone for the holidays or a birthday, anniversary, or 'just because' gift? Why not give the tools and share the skills necessary to build a fire in the outdoors! The Fire Lighting Kit comes with a Swedish FireSteel® 2.0 Scout with its 2,980°C (5,400°F) spark that makes fire building easy in any weather, at any altitude. The perfect companion to the Scout is the Tinder-on-a-Rope with its 80% resin content—carve off some shavings that are easy to light and it'll work even when wet since it is the resin (oil) that burns, not the wood. A fire wouldn't be complete without roasting some hotdogs or making some s'mores! Grandpa's FireFork makes roasting marshmallows, hot dogs, and anything else easy as it simply attaches to practically any stick.</t>
  </si>
  <si>
    <r>
      <rPr>
        <b/>
        <sz val="10"/>
        <rFont val="Arial"/>
        <family val="2"/>
      </rPr>
      <t>Swedish FireSteel® 2.0 Scout:</t>
    </r>
    <r>
      <rPr>
        <sz val="10"/>
        <rFont val="Arial"/>
        <family val="2"/>
      </rPr>
      <t xml:space="preserve"> Reliable performance at all altitudes and in cold weather—2,980°C (5,400°F) spark. Durable—lasts approximately 3,000 strikes. Ignites all tinder and can be used for campfires, gas stoves, and gas barbecues. Works equally well when wet. Striker handle includes a built-in emergency whistle. Bright spark can be used as an emergency signal.
</t>
    </r>
  </si>
  <si>
    <r>
      <rPr>
        <b/>
        <sz val="10"/>
        <rFont val="Arial"/>
        <family val="2"/>
      </rPr>
      <t>Tinder-on-a-Rope™:</t>
    </r>
    <r>
      <rPr>
        <sz val="10"/>
        <rFont val="Arial"/>
        <family val="2"/>
      </rPr>
      <t xml:space="preserve"> Made from Pinus Montezumae (fatwood) stumps—no chemical additives. Easy to light, even when wet. 100% natural and environmentally-friendly fire starter. Produces an extremely hot flame—up to 80% resin content. Handy cord attaches to belt or backpack.</t>
    </r>
  </si>
  <si>
    <r>
      <rPr>
        <b/>
        <sz val="10"/>
        <rFont val="Arial"/>
        <family val="2"/>
      </rPr>
      <t xml:space="preserve">Grandpa's FireFork™: </t>
    </r>
    <r>
      <rPr>
        <sz val="10"/>
        <rFont val="Arial"/>
        <family val="2"/>
      </rPr>
      <t>Curved points hold food firmly—also works well as a fire poker. No need to cut branches—attaches to practically any stick. Made from a single stainless steel wire. Safety cap for easy storage. Hole in safety cap allows cord to be attached.</t>
    </r>
  </si>
  <si>
    <r>
      <rPr>
        <b/>
        <sz val="10"/>
        <rFont val="Arial"/>
        <family val="2"/>
      </rPr>
      <t>Swedish FireSteel® 2.0 Scout:</t>
    </r>
    <r>
      <rPr>
        <sz val="10"/>
        <rFont val="Arial"/>
        <family val="2"/>
      </rPr>
      <t xml:space="preserve"> Material: Swedish FireSteel - magnesium alloy; Striker - Stainless steel; Weight: 0.95 oz. (27 g)
</t>
    </r>
    <r>
      <rPr>
        <b/>
        <sz val="10"/>
        <rFont val="Arial"/>
        <family val="2"/>
      </rPr>
      <t>Tinder-on-a-Rope™:</t>
    </r>
    <r>
      <rPr>
        <sz val="10"/>
        <rFont val="Arial"/>
        <family val="2"/>
      </rPr>
      <t xml:space="preserve"> Material: Pinus Montezumae stumps; Dimensions: 5.9" x 0.9" x 0.9" (15 cm x 2.2 cm x 2.2 cm); Weight: 1.8-2.5 oz. (50-70 g)
</t>
    </r>
    <r>
      <rPr>
        <b/>
        <sz val="10"/>
        <rFont val="Arial"/>
        <family val="2"/>
      </rPr>
      <t>Grandpa's FireFork™:</t>
    </r>
    <r>
      <rPr>
        <sz val="10"/>
        <rFont val="Arial"/>
        <family val="2"/>
      </rPr>
      <t xml:space="preserve"> Material: Cap - Tritan™; Wire - Stainless spring steel; Dimensions: 3.9" x 1.9" x 0.8" (10 cm x 4.7 cm x 2 cm); Weight: 0.6 oz. (18 g)</t>
    </r>
  </si>
  <si>
    <t>Easy to light, even when wet.</t>
  </si>
  <si>
    <t>All natural and environmentally-friendly fire starter.</t>
  </si>
  <si>
    <t>Produces a hot flame—up to 80% resin content.</t>
  </si>
  <si>
    <t>The ultimate way to start a fire in any weather and it is all natural. Don't use harmful chemicals with noxious fumes to start your fire! TinderSticks™ are made from Pinus Montezumae, a cultivated, fatwood pine from the highlands of Guatemala and Mexico. With their 80% resin content, TinderSticks are extremely easy to light, work even when wet, and produce an extremely hot flame. One or 2 sticks will light any fire or BBQ. The perfect companion to Light My Fire's Swedish FireSteel 2.0® fire starter!</t>
  </si>
  <si>
    <t>Materials: Pinus Montezumae (fatwood) stumps; Dimensions-approximately: 7.9" x 0.6" x 0.6" (20 cm x 1.5 cm x 1.5 cm); Weight: 6.5-8 oz. (180-220 g)</t>
  </si>
  <si>
    <t>Handy cord attaches to belt or backpack—scrape and carve tinder when you need it.</t>
  </si>
  <si>
    <t>Materials: Pinus Montezumae (fatwood) stumps; Dimensions-approximately: 5.9" x 0.9" x 0.9" (15 cm x 2.2 cm x 2.2 cm); Weight: 1.8-2.5 oz. (50-70 g)</t>
  </si>
  <si>
    <t>The ultimate and natural way to start a fire in any weather. Don't use harmful chemicals with noxious fumes to start your fire! Our tinder starters are made of stumps from cultivated pine (fatwood) from the highlands of Guatemala and Mexico. With their 80% resin content, our tinder starters are extremely easy to light and work even when wet since it is the resin (oil) that burns not the wood. They burn long and hot and they are the perfect companion to our Swedish FireKnife™!</t>
  </si>
  <si>
    <t>A number of years ago, a man camping with his grandson took a single length of wire and fashioned it into the most versatile holder we've ever seen. Our Grandpa's FireFork™ is inspired by his ingenious design and is destined to become a modern classic. It's compact so you can travel anywhere with it—backpacking, camping, or wherever! Use it to grill marshmallows and hot dogs or just about anything else you can come up with. Attaches firmly to practically any stick; no need to cut fresh branches. Also makes a great fire-poker. Comes with a safety cap for easy and secure storage. Made of a single stainless steel wire to last and last.</t>
  </si>
  <si>
    <t>Materials: Cap—Tritan™; Wire—stainless spring steel; Dimensions: 3.9" x 1.9" x 0.8" (10 cm x 4.7 cm x 2 cm); Weight: 0.6 oz. (18 g)</t>
  </si>
  <si>
    <t>Contains 1 Swedish FireSteel 2.0 Scout, 1 Tinder-on-a-Rope, and 1 Grandpa's FireFork.</t>
  </si>
  <si>
    <t>Collapsible for easy storage.</t>
  </si>
  <si>
    <t>Made from durable stainless steel.</t>
  </si>
  <si>
    <t xml:space="preserve">Why limit yourself to sausages or marshmallows?  Now you can easily extend your vacation menu enjoying grilled veggies, newly caught fish, and tasty burgers. Simply attach Grandpa’s FireGrill to any stick, load up your FireGrill, relax at a comfotable distance from the fire and enjoy a wonderful outdoor BBQ on your plates. </t>
  </si>
  <si>
    <t>Spoon-fork-knife combo with serrated edge on side of fork.</t>
  </si>
  <si>
    <t>Extremely durable.</t>
  </si>
  <si>
    <t>Polished surface means no metallic taste.</t>
  </si>
  <si>
    <t>Non-corrosive and non-magnetic.</t>
  </si>
  <si>
    <t>Hypoallergenic.</t>
  </si>
  <si>
    <t>Material: Titanium; Length: 6.75" (17 cm); Weight: 0.7 oz. (20 g)</t>
  </si>
  <si>
    <t>The Spork Titanium is made of titanium, one of the toughest alloys on the planet. Titanium is widely used in aircraft construction because of its lightness and extreme strength, yet it is also used in the medical and sports industries. Its high biocompatibility means that it is very non-toxic plus it is hypoallergenic, non-corrosive, and non-magnetic. Great for your next outing, no matter where it is.</t>
  </si>
  <si>
    <t>Contains 4 Light My Fire Spork originals.</t>
  </si>
  <si>
    <t>Contains 2 Light My Fire Spork originals.</t>
  </si>
  <si>
    <t>Contains 1 Light My Fire Spork original, unpackaged.</t>
  </si>
  <si>
    <t>Spoon-fork-knife combo with a serrated edge on side of fork.</t>
  </si>
  <si>
    <t>Lightweight—only 0.3 oz. (9 g) each.</t>
  </si>
  <si>
    <t>Safe for non-stick cookware.</t>
  </si>
  <si>
    <t>Made from BPA-free Eastman Tritan™.</t>
  </si>
  <si>
    <t>Material: Tritan™; Length: 6.75" (17 cm); Weight/Spork: 0.3 oz. (9 g)</t>
  </si>
  <si>
    <t>Plexitube comes with 60 pieces in 4 colors and can be refilled with any variety of colors.</t>
  </si>
  <si>
    <t>Plexitube comes with 200 pieces in 4 colors and can be refilled with any variety of colors.</t>
  </si>
  <si>
    <t>Plexitube comes with 700 pieces in 4 colors and can be refilled with any variety of colors.</t>
  </si>
  <si>
    <t>The 600 million left-handed people in the world now have a Spork to call their own. Spork lefty has the same sleek Scandinavian curves, ruggedness, and versatility as the Spork original, only now specially designed to be used left handed. Available in original size and sold in twin packs in assorted colors.</t>
  </si>
  <si>
    <t>The Sporks'n Case makes it easier to bring along your Sporks regardless of if it's a hike, a trek, or a trip to the beach. With its snap closure, the Sporks'n Case keep your Sporks clean on the way out and your pack clean on the way home. Made of polypropylene material, the case is as tough as it is attractive. Eyelet allows it to be hung around your neck. Fits 1 or 2 Spork original, titanium or lefty. Comes with 2 BPA-Free Tritan™ Spork originals.</t>
  </si>
  <si>
    <t>Tight snap closure.</t>
  </si>
  <si>
    <t>Protective case includes 2  Light My Fire Spork originals.</t>
  </si>
  <si>
    <t>Eyelet for hanging.</t>
  </si>
  <si>
    <t>Fits up to two Spork originals, titaniums, or leftys.</t>
  </si>
  <si>
    <t>Material: Case—Polypropylene; Spork—BPA-free Eastman Tritan™; Dimensions: 7.5" x 1.8" x 1.1" (19 cm x 4.5cm x 2.9 cm); Weight (w/ 2 Sporks): 1.4 oz. (39 g)</t>
  </si>
  <si>
    <t>Some committed outdoor folks wanted something a bit longer than the Spork original for those deep, freeze-dried food pouches that are just a little too deep. So we added a slightly larger model (extra medium) to our assortment with the same features as our Spork original, only slightly longer and wider. The Spork extra-medium is perfect for stirring the ingredients at the bottom of that bag without putting your hand in your food. And just like the Spork original, the Spork extra-medium is perfect for your backpack, boat, picnic basket, lunchbox, purse, or briefcase.</t>
  </si>
  <si>
    <t>Contains 1 Light My Fire Spork extra-medium, unpackaged.</t>
  </si>
  <si>
    <t>Contains 1 Light My Fire Spork extra-medium.</t>
  </si>
  <si>
    <t>Longer design for deep food-bags or pots.</t>
  </si>
  <si>
    <t>Designed for left-handed use, the Spork lefty is reversed from the original design for more effective and comfortable use.</t>
  </si>
  <si>
    <t>Dishwasher safe. Made from BPA-free Eastman Tritan™.</t>
  </si>
  <si>
    <t>Lightweight—only 0.6 oz. (18 g) each.</t>
  </si>
  <si>
    <t>Material: Tritan™; Length: 8" (20 cm); Weight/Spork: 0.6 oz. (18 g)</t>
  </si>
  <si>
    <t>Lightweight—only 1.1 oz. (32 g) each.</t>
  </si>
  <si>
    <t>Material: Tritan™; Length: 9.9" (25 cm); Weight/Spork: 1.1 oz. (32 g)</t>
  </si>
  <si>
    <t>You don't stir the pot with your teaspoon at home, so why do the same outdoors? The Spork large is just under 10" of pot stirring, burger flipping, pasta serving utility. No need to carry multiple cooking utensils when the Spork large covers all the bases. It is also perfect when paired up, for serving salads at home, pot luck events, and picnics.</t>
  </si>
  <si>
    <t>Contains 3 Light My Fire Spork littles.</t>
  </si>
  <si>
    <t>Contains 40 3-packs of Light My Fire Spork littles.</t>
  </si>
  <si>
    <r>
      <t>Designed for children</t>
    </r>
    <r>
      <rPr>
        <sz val="10"/>
        <rFont val="Calibri"/>
        <family val="2"/>
      </rPr>
      <t>—s</t>
    </r>
    <r>
      <rPr>
        <sz val="10"/>
        <rFont val="Arial"/>
        <family val="2"/>
      </rPr>
      <t>maller, thicker, and rounder Spork with no serrated edges for safety.</t>
    </r>
  </si>
  <si>
    <t>Lightweight—only 0.3 oz. (8 g) each.</t>
  </si>
  <si>
    <t>Material: Tritan™; Length: 5.5" (14 cm); Weight/Spork: 0.3 oz. (8 g)</t>
  </si>
  <si>
    <t>The Light My Fire Spork little has been designed from the ground up for infants, toddlers, and children of all ages. The Spork little is not only smaller, it's thicker and rounder for ease of use and safety. The serrated edges have also been removed to protect small mouths. The Spork little is made with BPA-free Tritan™. Great to carry in your bag and versatile enough for both a rugged camping trip and dishing out baby food at a city cafe.</t>
  </si>
  <si>
    <t>Designed for children—smaller, thicker, and rounder Spork with no serrated edges for safety.</t>
  </si>
  <si>
    <t>This practical Pack-up-Bottle™ holds up to 700 ml of liquid, collapses into three parts, and is made from BPA-free polypropylene and soft antislip TPE. The standard-size bottleneck allows for easy drinking and gives you the possibility to add other functions, such as a water filter. Remove the cap and bottleneck and the Pack-up-Bottle is easy to clean and refill. Cap and bottleneck can be used as an extra cup. The soft loop on the cap makes it comfortable to carry and easy to strap to any backpack. This is the ultimate bottle for the serious adventurer as well as the practical-minded city dweller.</t>
  </si>
  <si>
    <t>Materials: Bottle—TPE; Bottleneck and cap—polypropylene; Dimensions: 9.8" x 3.5" x 3.5" (25 cm x 9 cm x 9 cm); Volume: 23.6 oz. (700 ml); Weight: 7.1 oz. (202 g)</t>
  </si>
  <si>
    <t>Collapsible for easy transport.</t>
  </si>
  <si>
    <t>Easy to clean and refill—three separate parts.</t>
  </si>
  <si>
    <t>Suitable for both warm and cold beverages.</t>
  </si>
  <si>
    <t>Standard mouth opening allows optional mouthpieces and water filters.</t>
  </si>
  <si>
    <t>Stain and odor resistant. Dishwasher and microwave safe.</t>
  </si>
  <si>
    <t>Measuring lines. Secured cap.</t>
  </si>
  <si>
    <t>Measuring lines.</t>
  </si>
  <si>
    <t>The Pack-up-Cup holds 260 ml of liquid and works just as well on the hiking trip as in the office! Just fold out and fill up. A tight and secured lid keeps your beverage warm and protects it from dirt and curious bugs. Base made of antislip TPE material. The Pack-up-Cup is easy to clean and when folded, takes next to no space in your bag. Just pack it up!</t>
  </si>
  <si>
    <t>Materials: Base—TPE; Top—polypropylene; Dimensions: 3.9" x 3" x 3" (10 cm x 7.5 cm x 7.5 cm); Volume: 8.8 oz. (260 ml); Weight: 1.9 oz. (54 g)</t>
  </si>
  <si>
    <t>Contains 4 Light My Fire Pack-up-Cups.</t>
  </si>
  <si>
    <t>Materials: Polypropylene; Spork-Tritan™; Harness-TPE; Dimensions (packed): 7.6" x 7.6" x 2.4" (19.4 cm x 19.4 cm x 6.1 cm); Volume (SnapBox original): 5.7 oz. (170 ml); Volume (SnapBox oval): 10.8 oz. (320 ml); Volume (Pack-up-Cup): 8.8 oz. (260 ml); Weight: 13.5 oz. (384 g)</t>
  </si>
  <si>
    <t xml:space="preserve">
A custom harness that gives you an easy and secure way of carrying your LunchKit or MealKit (sold separately). The three-way design locks everything up tight, no matter how you travel.</t>
  </si>
  <si>
    <t>Fits the MealKit 2.0 or LunchKit.</t>
  </si>
  <si>
    <t>Flexible material—easy to handle.</t>
  </si>
  <si>
    <t>Durable.</t>
  </si>
  <si>
    <t>Material: TPE; Dimensions: 7.2" x 5.8" x 0.6" (18.3 cm x 14.8 cm x 1.5 cm); Weight: 0.8 oz. (24 g)</t>
  </si>
  <si>
    <t>The perfect kit for work, school, picnics, or holiday outings. The LunchKit contains all you need to eat your lunch in style anywhere, anytime. It comes with two high-edged plates, a Spork original (spoon-fork-knife combo) and two waterproof SnapBoxes in different shapes and sizes. Now you can easily organize and store your food. Comes with a tight and neat harness to keep the contents stored safely inside.</t>
  </si>
  <si>
    <t>Materials: Polypropylene; Spork-Tritan™; Harness-TPE; Dimensions (packed): 7.6" x 7.6" x 2.4" (19.4 cm x 19.4 cm x 6.1 cm); Volume (SnapBox original): 5.7 oz. (170 ml); Volume (SnapBox oval): 10.8 oz. (320 ml); Weight: 9.9 oz. (281 g)</t>
  </si>
  <si>
    <t>This kit doubles the fun of outdoor meals. Two high-edged plates with a lid and harness pack up food safely. Two Pack-Up-Cups™, perfect for both hot and cold drinks, with attached lids to keep out bugs. Plus, two Spork originals make everything from stews to salads easy to enjoy together.</t>
  </si>
  <si>
    <t>Pack’n Eat Kit includes: 1 plate/bowl, 2 lid/plate, 2 Pack-up-Cup, 2 Spork original, and 1 harness.</t>
  </si>
  <si>
    <t>Material: Polypropylene; Spork—Tritan™; Harness—TPE; Pack-up-Cup-TPE and polypropylene; Dimensions: 7.6" x 7.6" x 3.2" (19.4 cm x 19.4 cm x 8.1 cm); Volume (Pack-up-Cup): 8.8 oz. (260 ml); Weight: 12 oz. (342 g)</t>
  </si>
  <si>
    <t>Fill it, drink it, crush it—Shareable and compact drink kit.</t>
  </si>
  <si>
    <t>Pack-up-Drink Kit includes: 1 pack-up-Bottle and 2 Pack-up Cups.</t>
  </si>
  <si>
    <t>Material: Base-TPE; Bottleneck, cap, and top-polypropylene; Volume (Pack-up-Bottle): 23.6 oz. (700 ml); Volume (Pack-up-Cup): 8.8 oz. (260 ml); Weight: 9.2 oz. (262 g)</t>
  </si>
  <si>
    <t>Fold out to fill. Fold in when empty. This kit consists of two Pack-Up-Cups and one Pack-Up-Bottle. The Pack-Up-Cups hold 260 ml/8.8 oz. and have attached lids to keep the right temperature in and bugs out. The Pack-Up-Bottle works with standard water filters, and has a sturdy loop to make sure the cap isn't lost and that carrying is easy. Of course, the whole kit is easy to clean and BPA-free.</t>
  </si>
  <si>
    <t>Stackable.</t>
  </si>
  <si>
    <t>Easy to clean—stain and odor resistant.</t>
  </si>
  <si>
    <t>Measuring lines at 50 ml, 100 ml, and 150 ml.</t>
  </si>
  <si>
    <t>Materials: Polypropylene; Dimensions: 4" x 4" x 1.6" (10.1 cm x 10.1 cm x 4 cm); Volume: 5.7 oz. (170 ml); Weight: 1.3 oz. (38 g)</t>
  </si>
  <si>
    <t>Different colors for chopping vegetables, meat, and fish.</t>
  </si>
  <si>
    <t>Materials: Polypropylene; Dimensions: 5.9" x 6.3" (15.1 cm x 15.9 cm); Weight: 9.2 oz. (262 g)</t>
  </si>
  <si>
    <t>Combination cutting board and strainer allows you to strain your pasta and choose different colors for chopping vegetables, meat, and fish.</t>
  </si>
  <si>
    <t>BPA-free.</t>
  </si>
  <si>
    <t>Measuring lines at 100 ml, 200 ml, and 300 ml.</t>
  </si>
  <si>
    <t>Contains 3 Light My Fire Cutting Boards</t>
  </si>
  <si>
    <t>Cutting Boards</t>
  </si>
  <si>
    <t>Dishwasher and microwave safe. BPA-free.</t>
  </si>
  <si>
    <t>Contains 2 Light My Fire SnapBox originals.</t>
  </si>
  <si>
    <t>Materials: Polypropylene; Dimensions: 6.6" x 2.8" x 2.0" (16.8 cm x 7 cm x 5 cm); Volume: 10.8 oz. (320 ml); Weight: 2.0 oz. (57 g)</t>
  </si>
  <si>
    <t>Contains 2 Light My Fire SnapBox ovals.</t>
  </si>
  <si>
    <t>Also great to store medications.</t>
  </si>
  <si>
    <t>Materials: Base and lid—ABS; Gasket—TPE; Dimensions: 2.8" x 2.8" x 1.2" (7 cm x 7 cm x 3.1 cm); Weight: 1.4 oz. (40 g)</t>
  </si>
  <si>
    <t>Spice is the variety of life, but how do you take it with you on an outing? The Salt &amp; Pepper Plus™ carries 3 spices in waterproof, airtight, and shock-resistant compartments. As practical in a forest glade as in the darkness of your briefcase, the Salt &amp; Pepper Plus floats and fits inside the LunchKit or MealKit 2.0's SnapBox original waterproof container.</t>
  </si>
  <si>
    <t>Airtight, shock-resistant, waterproof, and floats.</t>
  </si>
  <si>
    <t>Contains 40 Salt&amp;Pepper Plus.</t>
  </si>
  <si>
    <t>Contains 36 3-packs of Light My Fire Spork littles.</t>
  </si>
  <si>
    <t>Hypoallergenic. Dishwasher safe.</t>
  </si>
  <si>
    <t>Contains 18 Light My Fire Spork titanium.</t>
  </si>
  <si>
    <t>Contains 120 Light My Fire Spork originals.</t>
  </si>
  <si>
    <t>Contains 24 Light My Fire Grandpa's FireForks.</t>
  </si>
  <si>
    <t>Contains 16 Light My Fire Swedish FireSteel 2.0 Scouts.</t>
  </si>
  <si>
    <t>Contains 80 Light My Fire Spork originals.</t>
  </si>
  <si>
    <t>Bayonet lock allows quick and easy access.</t>
  </si>
  <si>
    <t>Waterproof and shockproof organizer for your backpack. Strong, tough and versatile for the most demanding adventures. Perfect for gear you need to keep dry, safe and easy to find. The containers lock into each other and can be combined endlessly. Each container has a double sealed lid that makes it waterproof and airtight.</t>
  </si>
  <si>
    <t>Waterproof and airtight with double-sealed lid that keeps gear dry.</t>
  </si>
  <si>
    <r>
      <t>Rugged and impact resistant</t>
    </r>
    <r>
      <rPr>
        <sz val="10"/>
        <rFont val="Calibri"/>
        <family val="2"/>
      </rPr>
      <t>—</t>
    </r>
    <r>
      <rPr>
        <sz val="11"/>
        <rFont val="Arial"/>
        <family val="2"/>
      </rPr>
      <t>sturdy construction and strong materials make it shockproof</t>
    </r>
    <r>
      <rPr>
        <sz val="10"/>
        <rFont val="Arial"/>
        <family val="2"/>
      </rPr>
      <t>.</t>
    </r>
  </si>
  <si>
    <r>
      <t>Versatile and adaptable to your needs</t>
    </r>
    <r>
      <rPr>
        <sz val="10"/>
        <rFont val="Calibri"/>
        <family val="2"/>
      </rPr>
      <t>—</t>
    </r>
    <r>
      <rPr>
        <sz val="11"/>
        <rFont val="Arial"/>
        <family val="2"/>
      </rPr>
      <t>different sized containers can be added, removed, or rearranged with a simple twist.</t>
    </r>
  </si>
  <si>
    <t>Easy to pack, carry, or hang.</t>
  </si>
  <si>
    <t>Slips easily into your backpack.</t>
  </si>
  <si>
    <t>Easy to clean. Floats.</t>
  </si>
  <si>
    <t>Stacking design keeps lids and bottom of containers free from dirt.</t>
  </si>
  <si>
    <t>Comfortable XACT-Fit™ system located on the back of the band provides micro-adjustment for a custom fit.</t>
  </si>
  <si>
    <t>Settings include flood, spot, and red night vision modes.</t>
  </si>
  <si>
    <t>Dial provides transition between light modes and adjusts brightness continuously from 0 to 120 lumens.</t>
  </si>
  <si>
    <t>Battery Type (included): Three 1.5V AAA alkaline; Bulb Type: Super bright XP-E CREE LED; Highly Water Resistant: IPX 4; Fits (circumference of head): 21-26" (53-65 cm); Dimensions of Headlamp: 2.3" x 0.65" x 1.4" (5.9 cm x 1.7 cm x 3.5 cm); Weight (with batteries): 3.7 oz. (104 g)</t>
  </si>
  <si>
    <t>Powered by included rechargeable Li-Ion battery pack with integrated micro USB input or 3 AAA batteries (not included).</t>
  </si>
  <si>
    <t>Battery Type (included): Rechargeable Li-Ion battery pack (or 3x 1.5v AAA – not included); Bulb Type: Super bright XP-E CREE LED; Highly Water Resistant: IPX 4; Fits (circumference of head): 21-26" (53-65 cm); Dimensions of Headlamp: 2.3" x 1.3" x 1.8" (5.8 cm x 3.3 cm x 4.6 cm); Weight (with batteries): 4.9 oz. (139 g)</t>
  </si>
  <si>
    <r>
      <t>SoftShell Ice Cream Ball</t>
    </r>
    <r>
      <rPr>
        <sz val="10"/>
        <rFont val="Calibri"/>
        <family val="2"/>
      </rPr>
      <t>™</t>
    </r>
    <r>
      <rPr>
        <sz val="10"/>
        <rFont val="Arial"/>
        <family val="2"/>
      </rPr>
      <t>, pint</t>
    </r>
  </si>
  <si>
    <r>
      <t>SoftShell Ice Cream Ball</t>
    </r>
    <r>
      <rPr>
        <sz val="10"/>
        <rFont val="Calibri"/>
        <family val="2"/>
      </rPr>
      <t>™</t>
    </r>
    <r>
      <rPr>
        <sz val="10"/>
        <rFont val="Arial"/>
        <family val="2"/>
      </rPr>
      <t>, quart</t>
    </r>
  </si>
  <si>
    <t>Blueberry</t>
  </si>
  <si>
    <t>Raspberry</t>
  </si>
  <si>
    <r>
      <t>SoftShell Ice Cream Ball</t>
    </r>
    <r>
      <rPr>
        <sz val="10"/>
        <rFont val="Calibri"/>
        <family val="2"/>
      </rPr>
      <t>™</t>
    </r>
    <r>
      <rPr>
        <sz val="10"/>
        <rFont val="Arial"/>
        <family val="2"/>
      </rPr>
      <t>, pint, LLB</t>
    </r>
  </si>
  <si>
    <r>
      <t>SoftShell Ice Cream Ball</t>
    </r>
    <r>
      <rPr>
        <sz val="10"/>
        <rFont val="Calibri"/>
        <family val="2"/>
      </rPr>
      <t>™</t>
    </r>
    <r>
      <rPr>
        <sz val="10"/>
        <rFont val="Arial"/>
        <family val="2"/>
      </rPr>
      <t>, quart, LLB</t>
    </r>
  </si>
  <si>
    <t>Bubblegum</t>
  </si>
  <si>
    <t>E-STOVE-6X14M</t>
  </si>
  <si>
    <t>Date Available</t>
  </si>
  <si>
    <t>E-FF16-TI</t>
  </si>
  <si>
    <t>E-FK12.5-TI</t>
  </si>
  <si>
    <t>E-FS17.5-TI</t>
  </si>
  <si>
    <t>E-TC4-TI</t>
  </si>
  <si>
    <t>Titanium Cutlery Set, 3 pieces (fork, spoon, knife)</t>
  </si>
  <si>
    <t>SoftShell Ice Cream Ball</t>
  </si>
  <si>
    <t>LLB Pint</t>
  </si>
  <si>
    <t>LLB Quart</t>
  </si>
  <si>
    <r>
      <t>Ice Cream Ball</t>
    </r>
    <r>
      <rPr>
        <sz val="10"/>
        <rFont val="Calibri"/>
        <family val="2"/>
      </rPr>
      <t>™</t>
    </r>
    <r>
      <rPr>
        <sz val="10"/>
        <rFont val="Arial"/>
        <family val="2"/>
      </rPr>
      <t>, pint</t>
    </r>
  </si>
  <si>
    <t>Inflatable Cover, pint</t>
  </si>
  <si>
    <t>Inflatable Cover, quart</t>
  </si>
  <si>
    <t>Make delicious ice cream anywhere, anytime—great for parties, barbecues, picnics, camping trips, etc.</t>
  </si>
  <si>
    <t>Just add natural ingredients that are as simple as cream, sugar, and vanilla in one end then add ice and rock salt in the other end.</t>
  </si>
  <si>
    <t>The softshell exterior makes it fun to shake, roll, and play your way to a pint of delicious ice cream in about 20 minutes.</t>
  </si>
  <si>
    <t>Wide and shallow canister makes it easy to mix ingredients and scoop out ice cream.</t>
  </si>
  <si>
    <t>The built-in handles make opening the ends easy; flip back the handle and lay it on a table to allow easy access to stir ingredients or scoop out ice cream.</t>
  </si>
  <si>
    <t>Constructed from food-safe, BPA-free materials.</t>
  </si>
  <si>
    <t>Includes Pure &amp; Simple recipe booklet.</t>
  </si>
  <si>
    <r>
      <t>An answer to those searching for a fun, creative activity that gets kids moving and then rewards them with a delicious treat, the SoftShell Ice Cream Ball</t>
    </r>
    <r>
      <rPr>
        <sz val="10"/>
        <rFont val="Calibri"/>
        <family val="2"/>
      </rPr>
      <t>™</t>
    </r>
    <r>
      <rPr>
        <sz val="10"/>
        <rFont val="Arial"/>
        <family val="2"/>
      </rPr>
      <t xml:space="preserve"> provides entertainment for parties, camping trips, picnics, and much more. Simply mix natural ingredients, such as cream, sugar and vanilla, and add into one side of the ball and then add ice and rock salt into the other end. Once the ball is loaded, kids and adults alike can roll, shake, or play with the ball for about 20 minutes. In no time, you, your family and friends will be enjoying a delicious, frozen treat. Be sure to try out the many recipes (sorbet, frozen yogurt, shakes, icy drinks, and more) listed in the included Pure &amp; Simple recipe booklet!</t>
    </r>
  </si>
  <si>
    <t>Since 2004, YayLabs! has been providing families with fun, simple and rewarding moments. Enjoy any of YayLabs! products without the need for electricity or other gadgets. Creative, homemade, and natural, the YayLabs! SoftShell Ice Cream Ball makes ice cream anywhere, anytime. It’s great for parties, barbeques, picnics, camping trips, and wherever the fun takes you. YayLabs! is a division of Industrial Revolution, Inc., a Seattle-based company that manufactures and distributes products enjoyed by outdoor enthusiasts worldwide.</t>
  </si>
  <si>
    <t>The softshell exterior makes it fun to shake, roll, and play your way to a pint of delicious ice cream in about 30 minutes.</t>
  </si>
  <si>
    <t>Weight When Empty: 2.5 lbs.; Weight When Full: 7.5 lbs.; Diameter: 8" (20 cm); Ice Cream Capacity: 1 Pint/16 fl. oz.; Approximate Play Time: 20 minutes
WARNING: SoftShell Ice Cream Ball is to be used under the direct supervision of an adult. Use caution when handling and disposing of ice and water mixture, as it may be extremely cold. DO NOT DROP, KICK, THROW, OR BOUNCE! This misuse could result in injury to the user or damage to the SoftShell Ice Cream Ball. Damage due to misuse is not covered under warranty.</t>
  </si>
  <si>
    <t>Weight When Empty: 3.5 lbs.; Weight When Full: 9.5 lbs.; Diameter: 9" (23 cm); Ice Cream Capacity: 1 Quart/32 fl. oz.; Approximate Play Time: 30 minutes
WARNING: SoftShell Ice Cream Ball is to be used under the direct supervision of an adult. Use caution when handling and disposing of ice and water mixture, as it may be extremely cold. DO NOT DROP, KICK, THROW, OR BOUNCE! This misuse could result in injury to the user or damage to the SoftShell Ice Cream Ball. Damage due to misuse is not covered under warranty.</t>
  </si>
  <si>
    <r>
      <t>An answer to those searching for a fun, creative activity that gets kids moving and then rewards them with a delicious treat, the SoftShell Ice Cream Ball</t>
    </r>
    <r>
      <rPr>
        <sz val="10"/>
        <rFont val="Calibri"/>
        <family val="2"/>
      </rPr>
      <t>™</t>
    </r>
    <r>
      <rPr>
        <sz val="10"/>
        <rFont val="Arial"/>
        <family val="2"/>
      </rPr>
      <t xml:space="preserve"> provides entertainment for parties, camping trips, picnics, and much more. Simply mix natural ingredients, such as cream, sugar and vanilla, and add into one side of the ball and then add ice and rock salt into the other end. Once the ball is loaded, kids and adults alike can roll, shake, or play with the ball for about 30 minutes. In no time, you, your family and friends will be enjoying a delicious, frozen treat. Be sure to try out the many recipes (sorbet, frozen yogurt, shakes, icy drinks, and more) listed in the included Pure &amp; Simple recipe booklet!</t>
    </r>
  </si>
  <si>
    <t>Make ice cream anywhere—great for camping trips, picnics, and barbecues.</t>
  </si>
  <si>
    <t>Shake, roll, and play your way to a pint of delicious ice cream in about 20 minutes.</t>
  </si>
  <si>
    <t>Weight When Empty: 2 lbs.; Weight When Full: 7 lbs.; Diameter: 8" (20 cm); Ice Cream Capacity: 1 Pint/16 fl. oz.; Approximate Play Time: 20 minutes
WARNING: Ice Cream Ball is to be used under the direct supervision of an adult. Use caution when handling and disposing of ice and water mixture, as it may be extremely cold. DO NOT DROP, KICK, THROW, OR BOUNCE! This misuse could result in injury to the user or damage to the Ice Cream Ball. Damage due to misuse is not covered under warranty.</t>
  </si>
  <si>
    <t>With the unique YayLabs!™ Ice Cream Ball, you can make ice cream anywhere! You don’t need electricity, just add ice and rock salt in one end and ice cream mix in the other end–then have a ball as you shake it, roll it and play with it! The ice cream mix can be as simple as cream, sugar and vanilla. Try flavors from our recipe list included or make up your own. Made of durable materials, it’s lightweight, portable and easy to clean. It’s ideal for Camping, Boating, Picnics, Parties, Travel...anywhere!</t>
  </si>
  <si>
    <r>
      <t>Insulates and provides cushioned fun when making ice cream with the Ice Cream Ball</t>
    </r>
    <r>
      <rPr>
        <sz val="10"/>
        <rFont val="Calibri"/>
        <family val="2"/>
      </rPr>
      <t>—p</t>
    </r>
    <r>
      <rPr>
        <sz val="10"/>
        <rFont val="Arial"/>
        <family val="2"/>
      </rPr>
      <t>erfect for the backyard, beach, parties, picnics, and barbecues.</t>
    </r>
  </si>
  <si>
    <t>Hook and loop tabs on sides provide secure closure.</t>
  </si>
  <si>
    <t>Two air valves allow easy inflation and deflation.</t>
  </si>
  <si>
    <t>Constructed from phthalate-free plastic.</t>
  </si>
  <si>
    <t>Includes 1 set of "build your own" Monster stickers for continual fun for the kids.</t>
  </si>
  <si>
    <t>For those who already own a YayLabs™ Ice Cream Ball™, the Inflatable Cover is a fun accessory to add to your ice cream making arsenal. Just place your Ice Cream Ball inside the Inflatable Cover, secure it closed with the tab closures, and have cushioned fun as you shake it, pass it, or roll it around for about 20 minutes for a pint of delicious, homemade ice cream. This is the perfect time for kids to sing songs, tell jokes, or come up with fun games while shaking and passing the ball around. Kids can also have fun building their own ice cream monster on the Inflatable Cover with the included reusable stickers.</t>
  </si>
  <si>
    <t>Weight: 10.1 oz. (286 g)</t>
  </si>
  <si>
    <t>For those who already own a YayLabs™ Ice Cream Ball™, the Inflatable Cover is a fun accessory to add to your ice cream making arsenal. Just place your Ice Cream Ball inside the Inflatable Cover, secure it closed with the tab closures, and have cushioned fun as you shake it, pass it, or roll it around for about 30 minutes for a quart of delicious, homemade ice cream. This is the perfect time for kids to sing songs, tell jokes, or come up with fun games while shaking and passing the ball around. Kids can also have fun building their own ice cream monster on the Inflatable Cover with the included reusable stickers.</t>
  </si>
  <si>
    <t xml:space="preserve">Each 1.7 oz. bottle will flavor 3 quarts of ice cream or 10 shakes.  </t>
  </si>
  <si>
    <r>
      <t>Flavors ice cream, shakes, smoothies, even diet and nutritional drinks</t>
    </r>
    <r>
      <rPr>
        <sz val="10"/>
        <rFont val="Calibri"/>
        <family val="2"/>
      </rPr>
      <t>—</t>
    </r>
    <r>
      <rPr>
        <sz val="10"/>
        <rFont val="Arial"/>
        <family val="2"/>
      </rPr>
      <t>A perfect match for the YayLabs! SoftShell Ice Cream Ball.</t>
    </r>
  </si>
  <si>
    <t>The exclusive line of flavorings especially formulated for homemade ice cream, shakes, and smoothies. Suitable for use in the YayLabs! Ice Cream Ball, blenders, smoothie makers, and ice cream makers of all types. Why settle for plain vanilla or struggle with complicated recipes with hard to find ingredients? These concentrated, unsweetened, kosher, and non-allergenic LorAnn's flavorings will transform any plain vanilla recipe into a fun and colorful gourmet treat. Each 1.7 oz. bottle will flavor over three quarts of homemade ice cream or 10 shakes.</t>
  </si>
  <si>
    <t>Not a syrup. Not an ice cream topping. Flavor Fountain puts the flavoring secrets of major ice cream manufacturers into the hands of home consumers!</t>
  </si>
  <si>
    <t>Chocolate Fudge, Vanilla, Strawberry, &amp; Butter Pecan</t>
  </si>
  <si>
    <t>Assortment of four flavors: Chocolate Fudge, Strawberry, French Vanilla, and Butter Pecan.</t>
  </si>
  <si>
    <r>
      <t>CellPod</t>
    </r>
    <r>
      <rPr>
        <sz val="10"/>
        <rFont val="Calibri"/>
        <family val="2"/>
      </rPr>
      <t>™</t>
    </r>
  </si>
  <si>
    <t>9006.99.0000</t>
  </si>
  <si>
    <t>4260149870933</t>
  </si>
  <si>
    <t>E-FUEL-16X5</t>
  </si>
  <si>
    <t>Solid Fuel</t>
  </si>
  <si>
    <t>Solid Fuel Stoves &amp; Cooksets</t>
  </si>
  <si>
    <t>Alcohol Stoves &amp; Cooksets</t>
  </si>
  <si>
    <t>Cookware</t>
  </si>
  <si>
    <t>Solid Fuel Tablets, 12 x 14 g</t>
  </si>
  <si>
    <t>3606.90.9000</t>
  </si>
  <si>
    <t>Solid Fuel Tablets, 20 x 4 g</t>
  </si>
  <si>
    <t>Solid Fuel Tablets, 16 x 5 g</t>
  </si>
  <si>
    <t>4021684000120</t>
  </si>
  <si>
    <t>Food Jugs &amp; Vacuum Flasks</t>
  </si>
  <si>
    <t>Emergency Stove with Solid Fuel Tablets, 3 x 14 g</t>
  </si>
  <si>
    <t>Medium Pocket Stove with Solid Fuel Tablets, 6 x 14 g</t>
  </si>
  <si>
    <t>Large Pocket Stove with Solid Fuel Tablets, 12 x 14 g</t>
  </si>
  <si>
    <t>Small Pocket Stove with Solid Fuel Tablets, 6 x 14 g</t>
  </si>
  <si>
    <t>Small Pocket Stove &amp; Solid Fuel Tablet, Counter Stand</t>
  </si>
  <si>
    <t>18 each</t>
  </si>
  <si>
    <t>CS585HA Solid Fuel Stove &amp; Cookset</t>
  </si>
  <si>
    <t>E-FJ750SP-BG</t>
  </si>
  <si>
    <t>CS985HA Alcohol Stove &amp; Trekking Cookset</t>
  </si>
  <si>
    <t>CS2350WN Alcohol Stove &amp; Camp Cookset</t>
  </si>
  <si>
    <t>Alcohol Burner</t>
  </si>
  <si>
    <t>Folding Pot Stand &amp; Stove</t>
  </si>
  <si>
    <t>4260149870940</t>
  </si>
  <si>
    <t>4260149870957</t>
  </si>
  <si>
    <t>4260149870964</t>
  </si>
  <si>
    <t>4260149870988</t>
  </si>
  <si>
    <t>Aluminum Mug</t>
  </si>
  <si>
    <t>Titanium Pot</t>
  </si>
  <si>
    <t>Water Kettle, 1400 ml</t>
  </si>
  <si>
    <t>Water Kettle, 600 ml</t>
  </si>
  <si>
    <t>2.35L Pot with Heat Exchanger</t>
  </si>
  <si>
    <t>Coffee Maker</t>
  </si>
  <si>
    <t>Titanium Fork, foldable</t>
  </si>
  <si>
    <t xml:space="preserve">Titanium Knife, foldable </t>
  </si>
  <si>
    <t>Titanium Spoon, foldable</t>
  </si>
  <si>
    <t>Food Jug, 0.5L</t>
  </si>
  <si>
    <t xml:space="preserve">Dark Blue/Dark Grey </t>
  </si>
  <si>
    <t>Stand for Foldable BBQ Box</t>
  </si>
  <si>
    <t>Virtually smokeless and residue-free solid fuel tablets are used to cook and heat up food and beverages—can also be used to start campfires and grills.</t>
  </si>
  <si>
    <t>Works at high altitudes and sub-zero temperatures.</t>
  </si>
  <si>
    <t>Includes 12 tablets that are individually packed in waterproof packaging.</t>
  </si>
  <si>
    <t>Each 14 g tablet burns approximately 12 minutes and up to 1400°F (760°C).</t>
  </si>
  <si>
    <t>One tablet boils 500 ml of water in about 8 minutes.</t>
  </si>
  <si>
    <t>Can be stored for 10+ years.</t>
  </si>
  <si>
    <t>Ignites with match or lighter.</t>
  </si>
  <si>
    <t>Quantity: 12 x 14 g tablets; Dimensions-packaged: 4.2" x 3.5" x 1.2" (10.7 cm x 8.9 cm x 3.0 cm); Weight-packaged: 6.5 oz. (184 g)</t>
  </si>
  <si>
    <t xml:space="preserve">The Esbit story began in 1936, and for more than 75 years, Esbit has been making gear that is made to survive. The German brand’s history is rich in innovation, inventing the first solid fuel tablets and pocket stoves. The products are simple and useful and have been the standard issue for military and government agencies for decades. Esbit’s user-friendly outdoor products provide added value and security that can be relied upon at any time. </t>
  </si>
  <si>
    <t>Also used to operate toy steam engines and other hobby items.</t>
  </si>
  <si>
    <t>Each 4 g tablet burns approximately 5 minutes and is perfect for heating small quantities of water.</t>
  </si>
  <si>
    <t>Includes 20 tablets that are individually wrapped.</t>
  </si>
  <si>
    <t>Quantity: 20 x 4 g tablets; Dimensions-packaged: 3.1" x 2.7" x 0.6" (7.9 cm x 6.9 cm x 1.5 cm); Weight-packaged: 2.9 oz. (82 g)</t>
  </si>
  <si>
    <t>Each 5 g tablet burns approximately 7 minutes and up to 1400°F (760°C).</t>
  </si>
  <si>
    <t>Includes 16 tablets that are individually packed in waterproof packaging.</t>
  </si>
  <si>
    <t>Quantity: 16 x 5 g tablets; Dimensions-packaged: 3.1" x 2.8" x 0.7" (8.0 cm x 7.0 cm x 1.7 cm); Weight-packaged: 3.1 oz. (88 g)</t>
  </si>
  <si>
    <r>
      <t>The Esbit 12 x 14g  solid fuel cubes have a burn time of approximately 12 minutes and each box includes 12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handle and simple technique which cannot fail. It has no visible smoke and leaves almost no ash after burning. It is used by various NATO forces, expeditions, in the aftermath of disasters.</t>
    </r>
  </si>
  <si>
    <r>
      <t>The Esbit 20 x 4 g solid fuel cubes have a burn time of approximately 5 minutes and each box includes 20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hande and simple technique which cannot fail. It has no visible smoke and leaves almost no ash after burning. It is used by various NATO forces, expeditions, in the aftermath of disasters. Also used to operate toy steam engines and other hobby items.</t>
    </r>
  </si>
  <si>
    <r>
      <t>The Esbit 16 x 5 g  solid fuel cubes have a burn time of approximately 7 minutes and each box includes 16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handle and simple technique which cannot fail. It has no visible smoke and leaves almost no ash after burning. It is used by various NATO forces, expeditions, in the aftermath of disasters. Also used to operate toy steam engines and other hobby items.</t>
    </r>
  </si>
  <si>
    <t>Ideal for your home, auto, or boat emergency kit or survivalist situation yet also suited for lightweight backpacking. When the need arises, the pliable Emergency Stove is easy to fold into the cooking position for use then will fold flat for storage and includes three 14 g solid fuel tablets that burn about 12 minutes each.</t>
  </si>
  <si>
    <t>Folds into cooking position, then flat again for about 15 uses—perfect for emergency kits, bug out bags, etc.</t>
  </si>
  <si>
    <t>Constructed from durable, galvanized steel—lightweight and pliable.</t>
  </si>
  <si>
    <t>Tablet tray holds solid fuel in place—includes 3 x 14 g solid fuel tablets.</t>
  </si>
  <si>
    <t>Large solid fuel tablets burn up to 12 minutes each and are individually packaged to allow for one at a time usage.</t>
  </si>
  <si>
    <t>Stove design approved and used within NATO.</t>
  </si>
  <si>
    <t>Dimensions-flat: 4.5" x 3.5" x 0.06" (11.5 cm x 8.8 cm x 1.5 cm); Weight: 2.6 oz. (75 g)</t>
  </si>
  <si>
    <t>The Esbit Titanium Stove is a simply designed folding stove for burning Esbit solid fuel tablets that is ideal for minimalist and ultralight hikers. The stove is made from titanium, and is configured with three 'legs' that fold and unfold around a small tray in the center sized to hold a 14 g Esbit solid fuel tablet. The legs are designed to allow the stove to be used with various sizes of cups and pots-larger pots can rest on the top of the legs, and smaller cups can rest on the serrated edges. An excellent addition to any pack on summit day.</t>
  </si>
  <si>
    <t>The lightest and most compact backpacking stove that is constructed from ultralight titanium.</t>
  </si>
  <si>
    <t>Lightweight and foldable—stores in included mesh bag.</t>
  </si>
  <si>
    <t>Tablet tray holds solid fuel in place.</t>
  </si>
  <si>
    <t>Use with Esbit solid fuel tablets (not included).</t>
  </si>
  <si>
    <t>Works well with the Esbit Titanium Pot.</t>
  </si>
  <si>
    <t>Dimensions-folded: 3.3" x 1.1" (8.4 cm x 2.9 cm); Weight: 0.4 oz. (11.5 g)</t>
  </si>
  <si>
    <t>Ideal for backpacking, camping or your home or auto emergency kit, these small, compact stoves fold and can fit in a pocket. With three selectable cooking grades, the Esbit Pocket Stove is suitable for use with cups, pots, and pans. Includes twelve Esbit 14 g solid fuel tablets that will burn about 12 minutes each.</t>
  </si>
  <si>
    <t>Ideal for backpacking, camping or your home or auto emergency kit, these small, compact stoves fold and can fit in a pocket. With two selectable cooking grades, the Esbit Pocket Stove is suitable for use with cups, pots, and pans. Includes six Esbit 14 g solid fuel tablets that will burn about 12 minutes each.</t>
  </si>
  <si>
    <t>Simple, stable, and reliable stove with 3 cooking positions available—suitable for cups, pots, and pans (not included).</t>
  </si>
  <si>
    <t>Simple, stable, and reliable stove with 2 cooking positions available—suitable for cups, pots, and pans (not included).</t>
  </si>
  <si>
    <t>Dimensions - approx.: 13" w x 16.5" h x 6.25" d (33 cm x 42 cm x 16 cm)</t>
  </si>
  <si>
    <t>Folds down to a small, compact size.</t>
  </si>
  <si>
    <t>Constructed from durable, galvanized steel.</t>
  </si>
  <si>
    <t>Includes 12 Esbit 14 g solid fuel tablets. Extra solid fuel tablets store inside stove.</t>
  </si>
  <si>
    <t>Includes 6 Esbit 14 g solid fuel tablets. Extra solid fuel tablets store inside stove.</t>
  </si>
  <si>
    <t>Pocket Stove is used within NATO.</t>
  </si>
  <si>
    <t>Dimensions (closed/folded): 5.2" x 3.8" x 1.5" (13.2 cm x 9.6 cm x 3.9 cm); Weight (including solid fuel): 12.7 oz. (360 g)</t>
  </si>
  <si>
    <t>Dimensions (closed/folded): 3.9" x 3" x 0.9" (9.8 cm x 7.7 cm x 2.3 cm); Weight (including solid fuel): 6.3 oz. (180 g)</t>
  </si>
  <si>
    <t>Great for 1-2 person multi-day treks where light weight and compact size are important.</t>
  </si>
  <si>
    <t>Pot with volume indicators in ml/oz. and 2 hinged, stainless steel, silicone-coated grips.</t>
  </si>
  <si>
    <t>Windscreen/pot stand designed for use with Esbit solid fuel tablets (fuel not included).</t>
  </si>
  <si>
    <t>Includes 585 ml pot, lid, and a windscreen/pot stand that is highly efficient at transmitting heat.</t>
  </si>
  <si>
    <t>Dimensions-packed: 3.4" x 4.4" (8.6 cm x 11.1 cm); Weight: 6.9 oz. (197 g); Capacity: 20 oz. (585 ml)</t>
  </si>
  <si>
    <t>This lightweight, self-contained complete cooking system is constructed from hard-anodized aluminum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t>
  </si>
  <si>
    <t>985 ml pot with volume indicator in ml/oz.; 470 ml pot that also serves as lid.</t>
  </si>
  <si>
    <t>Pots include 2 hinged, stainless steel, silicone-coated grips.</t>
  </si>
  <si>
    <t>Includes stand, 985 ml pot, 470 ml pot/lid, alcohol burner, and base for an Esbit solid fuel tablet.</t>
  </si>
  <si>
    <t>Pot stand, alcohol burner, and solid fuel base nest inside big pot.</t>
  </si>
  <si>
    <t>Constructed from extremely light, hard-anodized aluminum for efficient heat transfer.</t>
  </si>
  <si>
    <t>Alcohol burner constructed from brass with a screw top and rubber gasket. Alcohol burner has variable temperature control with a fold-away handle that helps to regulate or extinguish flame.</t>
  </si>
  <si>
    <t>Dimensions-packed: 5.8" x 5.0" (14.7 cm x 12.8 cm); Weight: 14.7 oz. (417 g)</t>
  </si>
  <si>
    <t>The Esbit CS985HA Alcohol Stove &amp; Trekking Cookset provides various options for cooking out on the trail. It has a 985 ml pot with a volume indicator in ml/oz. increments on the side, and a 470 ml pot/pan which also serves as a lid. Constructed from extremely light, hard anodized aluminum, the set includes a stand that supports the pots, and includes a base for Esbit solid fuel tablets and a solid brass alcohol burner. The alcohol burner is constructed from brass and allows variable temperature control, plus it holds the denatured alcohol in it during transport. Everything can be stored and carried in the large pot, which comes with a mesh bag, and fits compactly in your backpack.</t>
  </si>
  <si>
    <t>The Esbit CS2350WN Alcohol Stove &amp; Camp Cookset provides various options for cooking out on the trail or at the campground for multiple people. Use less energy to boil large volumes of water when using the 1.8 L and 2.35 L pots with heat exchangers for higher cooking efficiency. The textured bottom of the 7 1/4 inch fry pan allows heat retention and even distribution while cooking plus the non-stick coating on the pan helps keep foods from sticking. The stainless steel kettle/pan stand works in combination with the cookset stand for additional stability with the included frying pan or for use with the Esbit Water Kettle (sold separately). Constructed from extremely light, hard anodized aluminum, the cookset also includes a stand that supports the cookware, lid with plastic grip, pot holder, gripper, alcohol burner, and 2 plates to serve the meal on. The alcohol burner is constructed from brass and allows variable temperature control, plus it holds the denatured alcohol in it during transport. Most everything can be stored and carried in the large pot, which comes with a mesh bag, and fits in your backpack.</t>
  </si>
  <si>
    <t>Pots with heat exhanger provide higher cooking efficiency by improving boil times by 30%, thereby reducing fuel useage, so it can boil larger volumes using less energy. Includes volume indicators in ml/oz.</t>
  </si>
  <si>
    <t>7 1/4 in./18.5 cm-wide frying pan with textured bottom for heat retention and even distribution plus a multi-layer, non-stick coating.</t>
  </si>
  <si>
    <t>The stainless steel kettle/pan stand works in combination with the cookset stand for additional stability with the frying pan or for use with the Esbit Water Kettle (E-WK600HA—not included).</t>
  </si>
  <si>
    <t>Dimensions-packed: 5.0" x 8.0" (12.8 cm x 20.2 cm); Weight: 2 lbs. 5.9 oz. (1.075 kg)</t>
  </si>
  <si>
    <t>The take-apart, stainless steel Folding Pot Stand &amp; Stove includes a tray for an Esbit solid fuel tablet. When put together, it provides a three-sided pot stand which will hold any pot that fits over a standard Nalgene® Bottle. The Folding Pot Stand &amp; Stove is versatile so you can remove the tablet tray and snap in an Esbit Alcohol Burner. It's ultralight and very flat when taken apart and placed in the included pouch with belt loop. When disassembled and placed in the included pouch, the pouch will also hold six Esbit solid fuel tablets (not included).</t>
  </si>
  <si>
    <t>Lightweight—stores flat in included mesh bag.</t>
  </si>
  <si>
    <t>Dimensions-packed: 4.7" x 4.3" x 0.4" (12 cm x 11 cm x 1 cm); Weight: 3.3 oz. (93 g)</t>
  </si>
  <si>
    <t>Constructed from brass with a screw top and rubber gasket.</t>
  </si>
  <si>
    <t>Variable temperature control.</t>
  </si>
  <si>
    <t>Fold-away handle on the flame regulator to extinguish flame.</t>
  </si>
  <si>
    <t>Fuel stores in burner so no need for extra bottles or cans.</t>
  </si>
  <si>
    <t>Works with denatured alcohol only.</t>
  </si>
  <si>
    <t>Dimensions: 1.8" x 2.9" (4.6 cm x 7.4 cm); Weight: 3.25 oz. (92 g)</t>
  </si>
  <si>
    <t>The Esbit Alcohol Burner is a lightweight alternative to a liquid gas or canister stove. Denatured alcohol is easy to find and cheaper to use than alternatives. Alcohol stoves are the stove of choice for ultralight and long-distance backpackers. There are no moving parts or burners to wear out or break. Just fill it and light it. It can be used alone providing you have some sort of pot support with you. Some ultralighters use tent stakes to support the pots to save weight. Uses Denatured alcohol only for fuel which will be easily available at a local hardware or grocery store.</t>
  </si>
  <si>
    <t>Simple, durable design with plastic handle and edge of lip for safe use with hot liquids.</t>
  </si>
  <si>
    <t>Volume: 11.8 oz. (350 ml); Dimensions: 3.3" x 4.3" (8.5 cm x 10.9 cm); Weight: 2.8 oz. (80 g)</t>
  </si>
  <si>
    <t>750 ml/25 oz. pot with 2 low-profile, hinged grips and vented lid with lockable grip.</t>
  </si>
  <si>
    <t>Esbit Titanium Stove and solid fuel tablets (both sold separately) can store inside pot.</t>
  </si>
  <si>
    <t>Stores in specially designed mesh bag with 2 pockets for utensils (utensils not included).</t>
  </si>
  <si>
    <t>Volume: 25 oz. (750 ml); Dimensions-packed: 4.3" x 3.9" (11 cm x 9.9 cm); Weight: 3.75 oz. (106 g)</t>
  </si>
  <si>
    <t>Lid and kettle with hinged grips make it easier to pour boiling water.</t>
  </si>
  <si>
    <t>Wide stable base is more efficient in heating water than narrower pots.</t>
  </si>
  <si>
    <t>The 1.4L Esbit Water Kettle is just the right size to boil some water quickly for a couple of cups of hot tea and some tasty freeze-dried breakfast on a chilly morning in camp. This lightweight, hard-anodized water kettle fits on most stoves and has a coated, hinged grip on the kettle for easy removal.</t>
  </si>
  <si>
    <t>The 0.6L Esbit Water Kettle is just the right size to boil some water quickly for a couple of cups of hot tea or cocoa on a chilly morning in camp. This lightweight, hard-anodized water kettle fits on most stoves and has a coated, hinged grip on the kettle for easy removal.</t>
  </si>
  <si>
    <t>Dimensions—packed: 3.9" x 5.9" (10 cm x 15 cm); Weight: 6.1 oz. (174 g)</t>
  </si>
  <si>
    <t>Dimensions—packed: 3" x 5.9" (7.5 cm x 15 cm); Weight: 4.9 oz. (140 g)</t>
  </si>
  <si>
    <t>0.6 liter fits inside CS2350HA Alcohol Stove &amp; Camp Cookset (sold separately).</t>
  </si>
  <si>
    <t>Pot with heat exchanger provides higher cooking efficiency by boiling larger volumes using less energy.</t>
  </si>
  <si>
    <t>Pot has volume indicators in liter/oz.</t>
  </si>
  <si>
    <t>Includes 2.35L pot, lid with plastic grip, pot holder, and pot gripper.</t>
  </si>
  <si>
    <t>Volume: 79.4 oz. (2.35 L);  Dimensions-packed: 4.9" x 8.0" (12.5 cm x 20.2 cm); Weight: 14.5 oz. (412 g)</t>
  </si>
  <si>
    <t>The Esbit 2.35L Pot with Heat Exchanger is an excellent addition to any cookset. The heat exchanger reduces the time to boil, making your stove energy efficient and saving fuel when cooking so you don't have to carry as much. This pot also comes with a lid, pot gripper, and a pot holder which all store inside the included mesh bag.</t>
  </si>
  <si>
    <t xml:space="preserve">
If you like to brew a good strong cup of coffee using your favorite gourmet grinds out on the trail, then the Esbit Coffee Maker is just what you need for a chilly morning in camp. Just remove the stove stand that stores neatly inside the stainless steel coffee maker, fill up the coffee pot with water, put in the grounds holder and put your grounds on top, screw the lid on, place it on the stove and light up the solid fuel tablet. Place your coffee cup underneath the spout and when the coffee is ready it will flow directly into your cup. When your done cleaning up your coffee maker it all stores inside the coffee pot in a compact size.</t>
  </si>
  <si>
    <t>Coffee pot includes a safety valve, a very fine coffee filter, a stand with tablet tray that holds Esbit solid fuel in place, and a flame extinguisher.</t>
  </si>
  <si>
    <t>Makes approximately 1 cup (200 ml) of coffee.</t>
  </si>
  <si>
    <t>Volume: 8.1 oz. (240 ml); Dimensions-packed: 4.3" x 4.25" (11 cm x 10.8 cm); Weight: 10.6 oz. (300 g)</t>
  </si>
  <si>
    <t>Polished cutting surface.</t>
  </si>
  <si>
    <t>Polished mouthpiece.</t>
  </si>
  <si>
    <t>Foldable to reduce pack size.</t>
  </si>
  <si>
    <t>Dimensions—packed: 1.1" x 4.2" (2.7 cm x 10.7 cm); Weight: 0.6 oz. (16 g)</t>
  </si>
  <si>
    <t>Dimensions—packed: 0.8" x 4.0" (2.1 cm x 10.2 cm); Weight: 0.4 oz. (12 g)</t>
  </si>
  <si>
    <t>Dimensions—packed: 1.5" x 4.1" (3.9 cm x 10.4 cm); Weight: 0.6 oz. (18 g)</t>
  </si>
  <si>
    <t>The foldable Esbit Titanium Spoon should be part of the standard equipment of any trip. Thanks to titanium, it is not only ultralight, but it also folds, and can be easily placed almost anywhere in your pack.</t>
  </si>
  <si>
    <t>The foldable Esbit Titanium Fork should be part of the standard equipment of any trip. Thanks to titanium, it is not only ultralight, but it also folds, and can be easily placed almost anywhere in your pack.</t>
  </si>
  <si>
    <t>The foldable Esbit Titanium Knife should be part of the standard equipment of any trip. Thanks to titanium, it is not only ultralight, but it also folds, and can be easily placed almost anywhere in your pack.</t>
  </si>
  <si>
    <t>The robust Esbit Titanium Cutlery Set, suitable for universal use, saves where it counts: on weight. It is extremely light and visually attractive too – thanks to its exceptional design. The eating and cutting surfaces are painstakingly polished and a heat-resistant, silicone sleeve conveniently holds together the cutlery set when it's not in use.</t>
  </si>
  <si>
    <t>Includes a knife, fork, and spoon.</t>
  </si>
  <si>
    <t>Deep spoon is suitable for soups.</t>
  </si>
  <si>
    <t>Practical sleeve made of heat-resistant silicone conveniently holds the cutlery together.</t>
  </si>
  <si>
    <t>Dimensions—packed: 1.6" x 7.1" (4.0 cm x 18.1 cm); Weight: 1.5 oz. (42 g)</t>
  </si>
  <si>
    <t>Robust vacuum flask with double-walled construction of high-quality, 18/8 stainless steel; BPA-free.</t>
  </si>
  <si>
    <t>Vacuum Flask, 1L / 1000 ml</t>
  </si>
  <si>
    <t>Food Jug, 0.75L / 750 ml</t>
  </si>
  <si>
    <t>Reliable vacuum insulation keeps beverages hot or cold for 24 hours.</t>
  </si>
  <si>
    <t>Each flask includes 1 double-walled, stainless steel lid/drinking cup (8.5 oz./250 ml) plus 1 plastic drinking cup (4.5 oz./135 ml).</t>
  </si>
  <si>
    <t>Easy to use screw plug with pouring function.</t>
  </si>
  <si>
    <t>Dimensions:  11.625" x 3.5" (29.5 cm x 9 cm); Weight:  20.8 oz. (589 g)</t>
  </si>
  <si>
    <t>Whatever the day may bring, nothing much can go wrong with this German vacuum flask. Not only will its high-quality vacuum insulation technology keep cold drinks cold and hot drinks hot for a long time, it is also very robust and dependable for almost any activity. It has a 1 litre capacity and a special feature is its compact double-walled high–grade stainless steel cup. There is also an extra plastic cup included. A very useful feature is its combined screw and pouring closure.</t>
  </si>
  <si>
    <t>Robust food jug with double-walled construction of high-quality, 18/8 stainless steel; BPA-free.</t>
  </si>
  <si>
    <t>Reliable vacuum insulation keeps meals hot or cold for 24 hours.</t>
  </si>
  <si>
    <t>Included fold-away, stainless steel spoon conveniently nests in the screw plug.</t>
  </si>
  <si>
    <t>Double-walled, stainless steel lid also serves as a bowl (10.5 oz./310 ml).</t>
  </si>
  <si>
    <t>Large mouth opening allows easy filling, eating from, and cleaning of food jug.</t>
  </si>
  <si>
    <t>Dimensions:  6.625" x 4.3" (16.5 cm x 10.9 cm); Weight:  19.3 oz. (548 g)</t>
  </si>
  <si>
    <t>When the day demands a lot, you will sometimes lack the energy to prepare a proper meal. On these days, this robust, double-walled, high-grade stainless steel food jug is just what you need. Designed in Germany, it has a capacity of 0.75 litres. Its high-quality vacuum insulation technology will keep hot food hot or cold food cold for a long time. The double-wall high-grade stainless steel lid can also be used as a bowl. The stopper incorporates an integrated, foldable, high-grade stainless steel spoon.</t>
  </si>
  <si>
    <t>Compact, collapsible design makes it easy to pack or carry for picnics, car camping, tailgating, or boating; Constructed from durable, high-quality stainless steel.</t>
  </si>
  <si>
    <t>Three level, height-adjustable grate with removable handle. Stand for stability.</t>
  </si>
  <si>
    <t>Charcoal bag allows one portion of charcoal to be stored inside the packed charcoal grill (charcoal not included).</t>
  </si>
  <si>
    <t>Charcoal bag is nylon with a waterproof internal coating plus webbing and buckle closure.</t>
  </si>
  <si>
    <t>Carrier bag organizes and stores everything in one bag.</t>
  </si>
  <si>
    <t>Carrier bag is nylon with a waterproof coating. Adjustable shoulder strap with pad plus hook and loop closure.</t>
  </si>
  <si>
    <t>Dimensions-packed: 12" x 9.1" x 3.5" (30.5 cm x 23 cm x 9 cm); Dimensions-built: 12" x 9.1" x 7.1" (30.5 cm x 23 cm x 18 cm); Weight: 5 lbs. 4 oz. (2.38 kg)</t>
  </si>
  <si>
    <t xml:space="preserve">
The Foldable BBQ Box is a portable "All-In-One" solution for a tasty grilling adventure on the way or at home outside. The well-proven folding technique of the Esbit solid fuel Pocket Stove has been adapted to a charcoal grill. Its compact size allows an easy transport and space-saving storage. An outstanding feature is the charcoal bag which is included in the package. Different to other portable grills, Esbit's Foldable BBQ Box has been constructed in a way that the filled charcoal bag can be carried inside the grill.</t>
  </si>
  <si>
    <t>BBQ-ing is a successful combination of enjoyment and adventure. A little comfort during this original outdoor experience is no contradiction, however. The stainless steel stand for BBQ300S is the best proof of this. It provides a comfortable working height of about 24"/61 cm (including charcoal grill), with a tray for storage. The legs can be screwed in and removed easily and the nylon bag with zip fastener can be stored easily inside the charcoal BBQ when not in use.</t>
  </si>
  <si>
    <t>Constructed of high-quality stainless steel.</t>
  </si>
  <si>
    <t>Legs easily screw into the Esbit Foldable BBQ Box (sold separately) to provide a comfortable working height of about 24"/61 cm (including the Grill)</t>
  </si>
  <si>
    <t>Practical tray for storage.</t>
  </si>
  <si>
    <t>Can be stored inside the Foldable BBQ Box.</t>
  </si>
  <si>
    <t>High-quality nylon bag with zip fastener.</t>
  </si>
  <si>
    <t>Dimensions-packed: 11" x 8.9" x 1.2" (28 cm x 22.5 cm x 3 cm); Dimensions-built: 11.8" x 8.9" x 11" (30 cm x 22.5 cm x 28 cm); Weight: 1 lb. 12 oz. (785 g)</t>
  </si>
  <si>
    <t>Contains 36 packages of: Pack-up-Cup and a SnapBox original.</t>
  </si>
  <si>
    <t>Contains 24 packages of: Swedish FireSteel 2.0, Grandpa's FireFork, Pack-up-Cup, plus the "Little Book of Tips'n Tricks".</t>
  </si>
  <si>
    <t>Contains 24 packages of: Spork titanium, Spork original, SporkCase, and a Spork cleaner.</t>
  </si>
  <si>
    <t>S-AAT</t>
  </si>
  <si>
    <t>Add-a-Twist</t>
  </si>
  <si>
    <t>Super bright LED provides infinitely adjustable brightness up to 150 lumens.</t>
  </si>
  <si>
    <t>R4 XP-G2 CREE LED provides infinitely adjustable brightness up to 170 lumens.</t>
  </si>
  <si>
    <t>R3 XP-E CREE LED provides infinitely adjustable brightness up to 180 lumens; Burns on high for 6-8 hours or low for up to 100 hours.</t>
  </si>
  <si>
    <t>Strobe mode: flashing light for up to 24 hours.</t>
  </si>
  <si>
    <t>On/off switch is integrated into the lens and glows in the dark.</t>
  </si>
  <si>
    <t>USB cable included; D-ring for hanging.</t>
  </si>
  <si>
    <t>100-240V charger and USB cable included.</t>
  </si>
  <si>
    <t>USB cable included.</t>
  </si>
  <si>
    <t>3.7V 1800mAh Li-ion rechargeable battery; Burns on for up to 80 hours.</t>
  </si>
  <si>
    <t>Durable, water-resistant ABS/TPE housing.</t>
  </si>
  <si>
    <t>LED light indicates battery level and charging status.</t>
  </si>
  <si>
    <t>Light up your campsite or workspace with the tough, water-resistant Pika USB Charger + Lantern + Flashlight. Delivering maximum brightness and functionality in a 4.0 oz. package, it’s loaded with 150 lumens and a range of brightness levels. Transform the Pika into a focused beam by pushing the head down, and then charge your digital devices through its USB charging port. When its long-lasting rechargeable battery needs a boost, juice it up by plugging it into a standard electrical socket. - See more at: http://ucogear.com/pika-3-in-1-rechargeable-lantern.html#sthash.AVxKvP5U.dpuf</t>
  </si>
  <si>
    <t>Dimensions: 1.875" x 1.25" x 4.125" (4.8 cm x 3.2 cm x 10.5); Dimensions—tape: 1 7/8'' x 36'' (67.5 in²); Weight (w/o fuel): 3.4 oz. (95 g)</t>
  </si>
  <si>
    <t>Three feet of strong, versatile utility tape that tears off easily by hand and adheres well to metal, plastics, fabrics, etc. for temporary repairs, binding, sealing or marking.</t>
  </si>
  <si>
    <t>The small, powerful UCO Clarus Lantern + Flashlight is one of the most lightweight, versatile lights you’ll ever own. Built for adventure, it’s reliable, convenient and sheds up to 118 lumens of light wherever you need it. Use it as a lantern and adjust the brightness to high, mid or dim—useful if battery power needs to be conserved—or push the head down and collapse it into a flashlight when you need a focused beam of light. Activate the strobe function in an emergency; the hanging hook makes hands-free operation a snap.</t>
  </si>
  <si>
    <t>Start your 10 essentials survival kit with the Stormproof Survival Kit! The essentials for fire, cooking, and shelter all in a compact bag. The UCO Survival Stormproof Match Kit contains 15 compact Stormproof Matches that will stay lit for up to 12 seconds and will light in any weather—plus they will relight even after being submerged in water! The Esbit® Emergency Stove is easy to fold into the cooking position for use then will fold flat for storage. It includes three 14 g Esbit solid fuel tablets that burn about 12 minutes each—enough time to boil some water or reheat some food in a pot (not included). The polyester film tube tent provides compact emergency protection for two adults that retains/reflects back 90% of body heat to help keep you warm.</t>
  </si>
  <si>
    <t>Dimensions—packed: 6.75" x 1.75" x 6.25" (17.1 cm x 4.4 cm x 15.9 cm); Weight: 8.8 oz. (250 g)</t>
  </si>
  <si>
    <t>Grab the Mini Candle Lantern Kit and start your adventure! The kit includes a Mini Candle Lantern, two UCO 4-hour tealight candles, two UCO citronella tealight candles, and a fleece bag for storage. The Mini Candle Lantern is a safe and convenient source of light and warmth both outdoors and in. Lightweight and fueled by a tealight candle, it’s ideal for ultralight hiking, bike touring and world travel, as well as a handy light to use around the home.</t>
  </si>
  <si>
    <t>We took one of the best camp hacks of all time and wrapped it around this beast of a torch! That’s right, this handy triple-jet butane torch has 3 feet of strong utility tape wrapped around it, ready to go! Keep it handy for that bonfire beach party with friends or just any time you need to light up or fix something on the fly. Easily tear off a piece of tape to make a splint, fix your tent pole, patch your mattress, or prank your friends when out in the wild. The Stormproof Torch is a refillable butane lighter with triple-jet power and an adjustable flame. Hook it to your backpack or hang it from your belt with the carabiner. Fix-it quick and stay lit and with this rapid fire torch.</t>
  </si>
  <si>
    <t>Triple-jet butane torch has more flame surface area and an adjustable flame height; Torch can be removed from the case and used on its own.</t>
  </si>
  <si>
    <t>Piezo-Electric Ignition System good for over 30,000 ignitions that burn clean.</t>
  </si>
  <si>
    <t>Refillable butane lighter (butane not included); Holds 3g of butane, enough for approximately 700 ignitions.</t>
  </si>
  <si>
    <t>Waterproof design uses durable ABS and a double-interference silicon lid.</t>
  </si>
  <si>
    <t>Aluminum carabiner clip allows easy attachment to a bag, belt, or loop.</t>
  </si>
  <si>
    <t>10054269001237</t>
  </si>
  <si>
    <t>20054269001234</t>
  </si>
  <si>
    <t>10054269001046</t>
  </si>
  <si>
    <t>20054269001043</t>
  </si>
  <si>
    <t>10054269001275</t>
  </si>
  <si>
    <t>20054269001272</t>
  </si>
  <si>
    <t>20054269100333</t>
  </si>
  <si>
    <t>20054269100302</t>
  </si>
  <si>
    <t>20054269100937</t>
  </si>
  <si>
    <t>20054269100906</t>
  </si>
  <si>
    <t>10054269001572</t>
  </si>
  <si>
    <t>20054269001579</t>
  </si>
  <si>
    <t>10054269000421</t>
  </si>
  <si>
    <t>20054269000428</t>
  </si>
  <si>
    <t>10054269000414</t>
  </si>
  <si>
    <t>20054269000411</t>
  </si>
  <si>
    <t>10054269000407</t>
  </si>
  <si>
    <t>20054269000404</t>
  </si>
  <si>
    <t>30054269001217</t>
  </si>
  <si>
    <t>40054269001214</t>
  </si>
  <si>
    <t>M-11733</t>
  </si>
  <si>
    <t>Bulk Display</t>
  </si>
  <si>
    <t>Gold Haze</t>
  </si>
  <si>
    <t>Hunting</t>
  </si>
  <si>
    <t>Classic</t>
  </si>
  <si>
    <t>M-12540</t>
  </si>
  <si>
    <t>Craft</t>
  </si>
  <si>
    <t>Kitchen</t>
  </si>
  <si>
    <t>Gutting</t>
  </si>
  <si>
    <t>M-1-1030S-P</t>
  </si>
  <si>
    <t>Fish Slaughter Knife 1030SP</t>
  </si>
  <si>
    <t>M-1-1040S-P</t>
  </si>
  <si>
    <t>Fish Slaughter Knife 1040SP</t>
  </si>
  <si>
    <t>M-1-1591P</t>
  </si>
  <si>
    <t>Roe &amp; Bleeding Knife 1591P</t>
  </si>
  <si>
    <t>Boning</t>
  </si>
  <si>
    <t>M-10973</t>
  </si>
  <si>
    <t>Curved Boning CB5MF-E</t>
  </si>
  <si>
    <t>M-121-5040</t>
  </si>
  <si>
    <t>Straight Wide Boning 9130P</t>
  </si>
  <si>
    <t>Filleting</t>
  </si>
  <si>
    <t>Butcher</t>
  </si>
  <si>
    <r>
      <t>Frosts</t>
    </r>
    <r>
      <rPr>
        <sz val="10"/>
        <rFont val="Calibri"/>
        <family val="2"/>
      </rPr>
      <t>®</t>
    </r>
  </si>
  <si>
    <t>Replacement Fire Starter for Bushcraft Survival</t>
  </si>
  <si>
    <t>BLADE LENGTH (in)</t>
  </si>
  <si>
    <t>BLADE THICKNESS (mm)</t>
  </si>
  <si>
    <t>Steel Type</t>
  </si>
  <si>
    <t>Bushcraft Tactical (w/ MOLLE sheath)</t>
  </si>
  <si>
    <t>Bushcraft Tactical SRT (w/ MOLLE sheath)</t>
  </si>
  <si>
    <t>Bushcraft Survival Black</t>
  </si>
  <si>
    <t>Bushcraft Survival Orange</t>
  </si>
  <si>
    <t>Companion Orange</t>
  </si>
  <si>
    <t>Companion Black</t>
  </si>
  <si>
    <t>Companion Magenta</t>
  </si>
  <si>
    <t>Companion Green</t>
  </si>
  <si>
    <t>Companion Blue</t>
  </si>
  <si>
    <t>Orange, Black, Blue, Green, Magenta</t>
  </si>
  <si>
    <t>Companion Heavy Duty MG</t>
  </si>
  <si>
    <t>Companion Heavy Duty Orange</t>
  </si>
  <si>
    <t>Companion Tactical (w/ MOLLE sheath)</t>
  </si>
  <si>
    <t>Companion F Serrated</t>
  </si>
  <si>
    <t>Companion F Rescue</t>
  </si>
  <si>
    <t>Classic Scout 39 Safe</t>
  </si>
  <si>
    <t>Birchwood</t>
  </si>
  <si>
    <t>8211.92.6000</t>
  </si>
  <si>
    <t>Polyester film tube tent: Compact emergency protection in all weather conditions; retains/reflects back 90% of body heat; accommodates 2 Adults - 59'' x 94.5'' (150 cm x 240 cm); nylon cord included</t>
  </si>
  <si>
    <t>Outdoor Axe</t>
  </si>
  <si>
    <t>1.10 / 0.31</t>
  </si>
  <si>
    <t>Morakniv 2000</t>
  </si>
  <si>
    <t>Outdoor Kit (Axe &amp; 2000)</t>
  </si>
  <si>
    <t>6.0 / 2.5</t>
  </si>
  <si>
    <t>4.5 / 4.3</t>
  </si>
  <si>
    <t>12.7 / 8.7</t>
  </si>
  <si>
    <t>Fishing Comfort Fillet 090</t>
  </si>
  <si>
    <t>Black/Lime</t>
  </si>
  <si>
    <t>Fishing Comfort Fillet 155</t>
  </si>
  <si>
    <t>Marine Rescue</t>
  </si>
  <si>
    <t>7391846012344</t>
  </si>
  <si>
    <t>Hunting Set 3000 (2 knives &amp; 1 sharpener)</t>
  </si>
  <si>
    <t>5.75 / 6.22 / 6.6</t>
  </si>
  <si>
    <t>Red Birchwood</t>
  </si>
  <si>
    <t>Classic Craftsmen No. 601</t>
  </si>
  <si>
    <t>Classic Craftsmen No. 611</t>
  </si>
  <si>
    <t>Classic Craftsmen No. 612</t>
  </si>
  <si>
    <t>8211.92.9060</t>
  </si>
  <si>
    <t>Woodcarving Basic</t>
  </si>
  <si>
    <t>Woodcarving Jr. 73/164</t>
  </si>
  <si>
    <t>Woodcarving Hook No. 162</t>
  </si>
  <si>
    <t>Woodcarving Hook No. 163</t>
  </si>
  <si>
    <t>Woodcarving Hook No. 164</t>
  </si>
  <si>
    <t>Classic Wood Splitter No. 220</t>
  </si>
  <si>
    <t>Woodcarving No. 105</t>
  </si>
  <si>
    <t>Woodcarving No. 106</t>
  </si>
  <si>
    <t>Woodcarving No. 120</t>
  </si>
  <si>
    <t>Woodcarving No. 122</t>
  </si>
  <si>
    <t>Morakniv 711</t>
  </si>
  <si>
    <t>Morakniv 746</t>
  </si>
  <si>
    <t>Morakniv 731</t>
  </si>
  <si>
    <t>748 MG</t>
  </si>
  <si>
    <t>Morakniv 749</t>
  </si>
  <si>
    <t>Craftsmen 175P Carpet/Roofing/Leather</t>
  </si>
  <si>
    <t>7391846015086</t>
  </si>
  <si>
    <t>7391846015062</t>
  </si>
  <si>
    <t>7391846017196</t>
  </si>
  <si>
    <t>7391846015147</t>
  </si>
  <si>
    <t>7391846015161</t>
  </si>
  <si>
    <t>7391846015208</t>
  </si>
  <si>
    <t>7391846015123</t>
  </si>
  <si>
    <t>7391846015185</t>
  </si>
  <si>
    <t>7391846015048</t>
  </si>
  <si>
    <t>Red/Charcoal</t>
  </si>
  <si>
    <t>Blue/Charcoal</t>
  </si>
  <si>
    <t>Purple/Charcoal</t>
  </si>
  <si>
    <t>Lt. Blue/Charcoal</t>
  </si>
  <si>
    <t>Lime/Charcoal</t>
  </si>
  <si>
    <t>Tan/Charcoal</t>
  </si>
  <si>
    <t>Hardwood/Brass</t>
  </si>
  <si>
    <t>7391846015109</t>
  </si>
  <si>
    <t>Charcoal/Yellow</t>
  </si>
  <si>
    <t>7391846015222</t>
  </si>
  <si>
    <t>Classic 1891 Chef's Knife</t>
  </si>
  <si>
    <t>8211.92.9030</t>
  </si>
  <si>
    <t>Classic 1891 Utility Knife</t>
  </si>
  <si>
    <t>Classic 1891 Bread Knife</t>
  </si>
  <si>
    <t>Classic 1891 Fillet Knife</t>
  </si>
  <si>
    <t>Classic 1891 Paring Knife</t>
  </si>
  <si>
    <t>Classic 1891 3-Pack (Chef, Bread, Paring)</t>
  </si>
  <si>
    <t>Steak Knife Gift Set</t>
  </si>
  <si>
    <t>Curly Birch</t>
  </si>
  <si>
    <t>Steak Knife Classic Gift Set</t>
  </si>
  <si>
    <t>Diamond Sharpener S</t>
  </si>
  <si>
    <t>6804.30.3000</t>
  </si>
  <si>
    <t>Diamond Sharpener L-Fine</t>
  </si>
  <si>
    <t>7316220059005</t>
  </si>
  <si>
    <t>8211.94.1000</t>
  </si>
  <si>
    <t>Knife Blade No. 1 Carbon</t>
  </si>
  <si>
    <t>Laminated Carbon</t>
  </si>
  <si>
    <t>Knife Blade No. 1 Laminated Carbon</t>
  </si>
  <si>
    <t>Knife Blade No. 2 Carbon</t>
  </si>
  <si>
    <t>Knife Blade No. 2 Laminated Carbon</t>
  </si>
  <si>
    <t>8211.92.2000</t>
  </si>
  <si>
    <t>Stiff</t>
  </si>
  <si>
    <t>7316220052105</t>
  </si>
  <si>
    <t>Gutting Knife 352P w/ Spoon</t>
  </si>
  <si>
    <t>Gutting Knife 9152P w/ Spoon</t>
  </si>
  <si>
    <t>Flexible</t>
  </si>
  <si>
    <t>TOTAL KNIFE LENGTH (in) or BLADE PROPERTY</t>
  </si>
  <si>
    <t>Blade Thickness: 0.08"</t>
  </si>
  <si>
    <t>Frosts®</t>
  </si>
  <si>
    <t>Gutting Knife 299P w/ Spoon</t>
  </si>
  <si>
    <t>Medium-Flex</t>
  </si>
  <si>
    <t>Gutting Knife 299 w/ Spoon</t>
  </si>
  <si>
    <t>7316220051900</t>
  </si>
  <si>
    <t>Curved Narrow Boning 9124PG</t>
  </si>
  <si>
    <t>Curved Narrow Boning 7154PG</t>
  </si>
  <si>
    <t>Straight Narrow Boning 7151PG</t>
  </si>
  <si>
    <t>Straight Wide Boning 7179PG</t>
  </si>
  <si>
    <t>Fillet Knife 9151PG</t>
  </si>
  <si>
    <t>Skinning Knife 7146UG</t>
  </si>
  <si>
    <t>Butcher Knife 149S G2WG</t>
  </si>
  <si>
    <t>Butcher Knife 147S G2WG</t>
  </si>
  <si>
    <t>Scandinavian Trimming Knife 7215PG</t>
  </si>
  <si>
    <t>Butcher Knife 7253UG</t>
  </si>
  <si>
    <t>Butcher Knife 7305UG</t>
  </si>
  <si>
    <t>Equus Farrier’s Knife 330</t>
  </si>
  <si>
    <t>7391846012887</t>
  </si>
  <si>
    <t>7391846012894</t>
  </si>
  <si>
    <t>Black plastic sheath with belt loop.</t>
  </si>
  <si>
    <t>Blade Thickness: 3.2 mm; Blade Length: 4.3" (109 mm); Total Length: 9.1" (232 mm); Net Weight: 5.7 oz. (162 g)</t>
  </si>
  <si>
    <t>Ergonomic handle with high-friction rubber grip gives the feeling of control, making work easier, as if the knife were an extension of your hand.</t>
  </si>
  <si>
    <r>
      <t>A knife in the Bushcraft family with a black 0.125" (3.2 mm) thick blade that is one of the most sturdy knives we have ever made. The carbon steel blade has a black coating which protects against corrosion. You can use the back of the blade with a fire starter (not included) as the 90</t>
    </r>
    <r>
      <rPr>
        <sz val="10"/>
        <rFont val="Calibri"/>
        <family val="2"/>
      </rPr>
      <t>°</t>
    </r>
    <r>
      <rPr>
        <sz val="10"/>
        <rFont val="Arial"/>
        <family val="2"/>
      </rPr>
      <t xml:space="preserve"> spine of the blade is sharp and ground especially for that purpose. The plastic sheath comes with a belt loop.</t>
    </r>
  </si>
  <si>
    <t>30054269000180</t>
  </si>
  <si>
    <t>30054269000357</t>
  </si>
  <si>
    <r>
      <t>The 90</t>
    </r>
    <r>
      <rPr>
        <sz val="10"/>
        <color rgb="FF1C1C1E"/>
        <rFont val="Calibri"/>
        <family val="2"/>
      </rPr>
      <t xml:space="preserve">° </t>
    </r>
    <r>
      <rPr>
        <sz val="10"/>
        <color rgb="FF1C1C1E"/>
        <rFont val="Arial"/>
        <family val="2"/>
      </rPr>
      <t>spine of the blade has been ground especially for use with a fire starter (sold separately).</t>
    </r>
  </si>
  <si>
    <t>Semi-serrated blade of stainless steel with black anti-corrosion coating.</t>
  </si>
  <si>
    <t>Blade Thickness: 3.2 mm; Blade Length: 4.3" (109 mm); Total Length: 9.1" (232 mm); Net Weight: 5.7 oz. (163 g)</t>
  </si>
  <si>
    <t>A semi-serrated knife in the Bushcraft family with a black 0.125" (3.2 mm) thick blade that is one of the most sturdy knives we have ever made. The stainless steel blade has a black coating which protects against corrosion. You can use the back of the blade with a fire starter (not included) as the 90° spine of the blade is sharp and ground especially for that purpose. The plastic sheath comes with a belt loop.</t>
  </si>
  <si>
    <t>Black MOLLE-compatible sheath of heavy-duty nylon.</t>
  </si>
  <si>
    <t>Blade Thickness: 3.2 mm; Blade Length: 4.3" (109 mm); Total Length: 9.1" (232 mm); Net Weight: 6.3 oz. (180 g)</t>
  </si>
  <si>
    <t>A knife in the Bushcraft family with a black 0.125" (3.2 mm) thick blade that is one of the most sturdy knives we have ever made. The carbon steel blade has a black coating which protects against corrosion. You can use the back of the blade with a fire starter (not included) as the spine of the blade is sharp and ground especially for that purpose. Black MOLLE-compatible sheath of heavy-duty nylon.</t>
  </si>
  <si>
    <t>A semi-serrated knife in the Bushcraft family with a black 0.125" (3.2 mm) thick blade that is one of the most sturdy knives we have ever made. The carbon steel blade has a black coating which protects against corrosion. You can use the back of the blade with a fire starter (not included) as the 90° spine of the blade is sharp and ground especially for that purpose. Black MOLLE-compatible sheath of heavy-duty nylon.</t>
  </si>
  <si>
    <t>The 90° spine of the blade is sharp and ground especially for use with a fire starter.</t>
  </si>
  <si>
    <t>Black plastic sheath with interchangeable belt loop and belt clip plus integrated diamond sharpener and fire starter.</t>
  </si>
  <si>
    <t>The integrated fire starter yields approximately 7,000 strikes and creates sparks at 5430 F° (3000 C°) making it easy to light a fire in any kind of weather—rain or snow and at any altitude.</t>
  </si>
  <si>
    <t>The integrated fire starter can ignite gas stoves or grills and the spark is so bright, it can also be used as an emergency signal.</t>
  </si>
  <si>
    <t>Blade Thickness: 3.2 mm; Blade Length: 4.3" (109 mm); Total Length: 9.1" (232 mm); Net Weight: 8.1 oz. (229 g)</t>
  </si>
  <si>
    <t>All-around knife with a profile-ground blade of Swedish cold-rolled special stainless steel.</t>
  </si>
  <si>
    <t>Patterned high-friction grip.</t>
  </si>
  <si>
    <t>Blade Thickness: 2.5 mm; Blade Length: 4.3" (109 mm); Total Length: 9.1" (232 mm); Net Weight: 5.0 oz. (142 g)</t>
  </si>
  <si>
    <t>A first-rate, all-around knife with a profile-ground blade of Swedish cold-rolled special stainless steel. Comfortable handle with a patterned high-friction grip. Forest green plastic sheath with a belt loop.</t>
  </si>
  <si>
    <t>The 90° spine of the blade is sharp and ground especially for use with a fire starter (sold separately).</t>
  </si>
  <si>
    <t>Knife with a 3.2 mm thick carbon steel blade with anti-corrosion coating.</t>
  </si>
  <si>
    <t>Razor sharp 3.2 mm thick carbon steel blade with black anti-corrosive coating.</t>
  </si>
  <si>
    <t>Knife with a 3.2 mm thick stainless steel blade that stays sharp for a long time.</t>
  </si>
  <si>
    <t>The blade is ridgeground especially for use with a fire starter (sold separately).</t>
  </si>
  <si>
    <t>Ergonomic handle with a soft, high friction grip</t>
  </si>
  <si>
    <t>Forest green plastic sheath with belt loop.</t>
  </si>
  <si>
    <t>Orange plastic sheath with a belt loop.</t>
  </si>
  <si>
    <t>Blade Thickness: 3.2 mm; Blade Length: 4.3" (109 mm); Total Length: 9.1" (232 mm); Net Weight: 6.1 oz. (174 g)</t>
  </si>
  <si>
    <t>Bushcraft in orange keeps you from losing your knife while the 0.125" (3.2 mm) thick stainless steel blade is heavier and more robust. You can use the back of the blade with a fire starter (not included) as the 90° spine of the blade is sharp and ground especially for that purpose. The plastic sheath comes with a belt loop.</t>
  </si>
  <si>
    <t xml:space="preserve">Knife with a 3.2 mm thick stainless steel blade that stays sharp for a long time. </t>
  </si>
  <si>
    <t xml:space="preserve">The blade is ridgeground especially for use with a fire starter. </t>
  </si>
  <si>
    <t>Orange plastic sheath with interchangeable belt loop and belt clip plus integrated diamond sharpener and fire starter.</t>
  </si>
  <si>
    <t>Blade Thickness: 3.2 mm; Blade Length: 4.3" (109 mm); Total Length: 9.1" (232 mm); Net Weight: 7.5 oz. (212 g)</t>
  </si>
  <si>
    <t>A razor sharp blade with a distinct tip, an all-weather Morakniv® fire starter and a diamond sharpener make the Bushcraft Survival Orange the natural choice for those who love the great outdoors. The 0.125" (3.2 mm) thick Swedish stainless steel blade stays sharp for a long time, is extremely tolerant against wear and has considerable cutting strength. The blade is ground especially for use with the fire starter. The robust sheath is provided with a well thought out space for the fire starter and completed with a diamond sharpener, making it easy to sharpen the knife blade. An orange handle with high-friction grip gives the finishing touch to the Bushcraft Survival Orange and minimizes the risk of losing your knife. A knife that suits a tough lifestyle! Bring the fire starter on your outdoor tour and be able to light a fire wherever you are. Just pull the specially designed knife back slowly and heavily along the fire starter. The sparks easily light your barbecue, paper, birch bark or dry grass.</t>
  </si>
  <si>
    <t>Bring the fire starter on your outdoor tour and be able to light a fire wherever you are. Just pull the specially designed knife back slowly and heavily along the fire starter. The sparks easily light your barbecue, paper, birch bark or dry grass. For use with knives that have been ground for use with a fire starter and as a replacement fire starter in the Morakniv Bushcraft Survival Orange or Bushcraft Survival Black.</t>
  </si>
  <si>
    <t>Yields approximately 7,000 strikes.</t>
  </si>
  <si>
    <t>Ignites stoves and gas grills.</t>
  </si>
  <si>
    <t xml:space="preserve">The spark is so bright, it can also be used as an emergency signal. </t>
  </si>
  <si>
    <t xml:space="preserve">Sparks of 5430 F° (3000 C°) makes it easy to light a fire in any kind of weather—rain or snow and at any altitude. </t>
  </si>
  <si>
    <r>
      <t>Sturdy 6.7"/170 mm blade of high carbon steel with a black anti-corrosion coating. The 90</t>
    </r>
    <r>
      <rPr>
        <sz val="10"/>
        <rFont val="Calibri"/>
        <family val="2"/>
      </rPr>
      <t>°</t>
    </r>
    <r>
      <rPr>
        <sz val="10"/>
        <rFont val="Arial"/>
        <family val="2"/>
      </rPr>
      <t xml:space="preserve"> spine of the blade has been ground especially for use with a fire starter (not included). Black MOLLE-compatible sheath of heavy-duty nylon.</t>
    </r>
  </si>
  <si>
    <t>Blade Thickness: 3.2 mm; Blade Length: 6.7" (170 mm); Total Length: 11.6" (295 mm); Net Weight: 8.8 oz. (250 g)</t>
  </si>
  <si>
    <t>Pathfinder</t>
  </si>
  <si>
    <t>Knife with a 2.5 mm thick cold-rolled stainless steel blade.</t>
  </si>
  <si>
    <t>Scandinavian grind produces a very sharp edge with excellent control of the cut and is easy to sharpen.</t>
  </si>
  <si>
    <t>Ergonomic handle with patterned high-friction rubber grip gives the feeling of control, making work easier, as if the knife were an extension of your hand.</t>
  </si>
  <si>
    <t>Color-matching plastic sheath with belt clip.</t>
  </si>
  <si>
    <t>Blade Thickness: 2.5 mm; Blade Length: 4.1" (104 mm); Total Length: 8.5" (217 mm); Net Weight: 4.1 oz. (116 g)</t>
  </si>
  <si>
    <t>The all-in-one knife for outdoor buffs with a blade of Swedish cold-rolled special stainless steel. The patterned high-friction grip that makes the knife pleasant to hold and easy to handle. Plastic sheath with a belt clip.</t>
  </si>
  <si>
    <t>Knife with a 2.0 mm thick carbon steel blade.</t>
  </si>
  <si>
    <t>The all-in-one knife for outdoor buffs with a blade of carbon steel. The patterned high-friction grip that makes the knife pleasant to hold and easy to handle. Plastic sheath with a belt clip.</t>
  </si>
  <si>
    <t>Forest green plastic sheath with belt clip.</t>
  </si>
  <si>
    <t>Orange plastic sheath with belt clip.</t>
  </si>
  <si>
    <t>Black plastic sheath with belt clip.</t>
  </si>
  <si>
    <t>Magenta plastic sheath with belt clip.</t>
  </si>
  <si>
    <t>Green plastic sheath with belt clip.</t>
  </si>
  <si>
    <t>Cyan plastic sheath with belt clip.</t>
  </si>
  <si>
    <t>Blade Thickness: 2.0 mm; Blade Length: 4.1" (104 mm); Total Length: 8.5" (217 mm); Net Weight: 3.9 oz. (110 g)</t>
  </si>
  <si>
    <t>Knife with a 3.2 mm thick carbon steel blade.</t>
  </si>
  <si>
    <t>Extra-large ergonomic handle with soft, high-friction rubber grip gives the feeling of control, making work easier, as if the knife were an extension of your hand.</t>
  </si>
  <si>
    <t>Blunter edge angle of 27° for maximum sharpness retention.</t>
  </si>
  <si>
    <t>Blade Thickness: 3.2 mm; Blade Length: 4.1" (104 mm); Total Length: 8.8" (224 mm); Net Weight: 4.8 oz. (135 g)</t>
  </si>
  <si>
    <t>Companion Heavy Duty is a powerful tool for bushcrafters, hunters and outdoor people. If you need a knife that has great strength requirements, we recommend the Companion Heavy Duty with its three-layer injection molding and the slightly blunter edge angle of 27° for maximum sharpness retention (default is otherwise an angle of 23°). The knife has an extra-large ergonomic handle with a soft, high-friction grip. The knife has a blade of 0.125" (3.2 mm) thick carbon steel with high-load capacity. The classic scandi grind combined with high-quality carbon steel makes the knife easy to resharpen. Plastic sheath with a belt clip.</t>
  </si>
  <si>
    <t>Companion BlackBlade</t>
  </si>
  <si>
    <t>Coated blade helps prevent corrosion and reflection.</t>
  </si>
  <si>
    <t>Blade Thickness: 2.5 mm; Blade Length: 4.1" (104 mm); Total Length: 8.5" (217 mm); Net Weight: 5.7 oz. (160 g)</t>
  </si>
  <si>
    <t>Blade of stainless steel with a black ED-coating which gives the blade a dark-colored layer, approximately 20μm thick. When used, the primary edge will eventually be scraped off and thereby reach maximum sharpness. Not for use with fire starter. Plastic sheath with belt clip.</t>
  </si>
  <si>
    <t>Blade of stainless steel with a black ED-coating which gives the blade a dark-colored layer, approximately 20µm thick. When used, the primary edge will eventually be scraped off and thereby reach maximum sharpness. Not for use with fire starter. Black MOLLE-compatible sheath of heavy-duty nylon.</t>
  </si>
  <si>
    <t>Serrated blade for cutting rope, nylon and fiber.</t>
  </si>
  <si>
    <t>Blade Thickness: 2.5 mm; Blade Length: 4.1" (104 mm); Total Length: 8.6" (218 mm); Net Weight: 4.1 oz. (116 g)</t>
  </si>
  <si>
    <t>Knife with a patterned high-friction grip and serrated blade that has been developed for cutting rope, nylon, and fiber. Blade of Swedish cold-rolled special stainless steel. Plastic sheath with a belt clip.</t>
  </si>
  <si>
    <t>Knife with a 2.5 mm thick cold-rolled stainless steel blade and a blunt safety tip.</t>
  </si>
  <si>
    <t>Blade Thickness: 2.5 mm; Blade Length: 3.9" (99 mm); Total Length: 8.4" (214 mm); Net Weight: 4.1 oz. (116 g)</t>
  </si>
  <si>
    <t>Knife with a patterned high-friction grip and serrated blade that has been developed for cutting rope, nylon, and fiber. The blade of Swedish cold-rolled special stainless steel has a blunt safety tip. Plastic sheath with a belt clip.</t>
  </si>
  <si>
    <t>Blade Thickness: 2.0 mm; Blade Length: 4.1" (103 mm); Total Length: 8.5" (216 mm); Net Weight: 3.6 oz. (103 g)</t>
  </si>
  <si>
    <t>An adaptable knife with a patterned high-friction grip that makes the knife pleasant to hold and easy to handle. Carbon steel blade and plastic sheath with a belt clip.</t>
  </si>
  <si>
    <t>Black plastic sheath.</t>
  </si>
  <si>
    <t>Blade Thickness: 2.0 mm; Blade Length: 3.7" (95 mm); Total Length: 8.2" (208 mm); Net Weight: 3.5 oz. (100 g)</t>
  </si>
  <si>
    <t>High-quality, all-round carbon steel wilderness blade with a black, ergonomically designed plastic handle that is impact resistant. Black plastic sheath included.</t>
  </si>
  <si>
    <t>Ergonomic plastic handle that is impact resistant.</t>
  </si>
  <si>
    <t>Knife with a 2.0 mm thick stainless steel blade and a blunt safety tip.</t>
  </si>
  <si>
    <t>Oiled birchwood handle.</t>
  </si>
  <si>
    <t>Double-finger protection.</t>
  </si>
  <si>
    <t>Blade Thickness: 2.0 mm; Blade Length: 3.3" (85 mm); Total Length: 6.9" (175 mm); Net Weight: 2.4 oz. (69 g)</t>
  </si>
  <si>
    <t>A classic outdoor knife with double-finger protection and an oiled birchwood handle. The knife has a blade of stainless steel with a blunt safety tip and comes with a black leather sheath.</t>
  </si>
  <si>
    <t>Leather sheath for axe head.</t>
  </si>
  <si>
    <t>Blade Thickness: 6.0 mm; Blade Length: 4.5" (115 mm); Total Length: 12.7" (322 mm); Net Weight: 17.6 oz. (500 g)</t>
  </si>
  <si>
    <t>Axe head of black epoxy coated boron steel. Reinforced plastic handle. Leather sheath.</t>
  </si>
  <si>
    <t>The Outdoor 2000 knife is high-quality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Orange plastic sheath with a flexible leather strap.
Axe head of black epoxy coated boron steel. Reinforced plastic handle. Leather sheath.</t>
  </si>
  <si>
    <t>Knife with a 2.5 mm thick profile-ground stainless steel blade.</t>
  </si>
  <si>
    <t>Orange plastic sheath with flexible leather strap.</t>
  </si>
  <si>
    <t>Axe Specs: Blade Thickness: 6.0 mm; Blade Length: 4.5" (115 mm); Total Length: 12.7" (322 mm); Net Weight: 17.6 oz. (500 g)</t>
  </si>
  <si>
    <t>Forest green plastic sheath with flexible leather strap.</t>
  </si>
  <si>
    <t>Blade Thickness: 2.5 mm; Blade Length: 4.3" (109 mm); Total Length: 8.7" (220 mm); Net Weight: 5.0 oz. (141 g)</t>
  </si>
  <si>
    <t>Knife Specs: Blade Thickness: 2.5 mm; Blade Length: 4.3" (109 mm); Total Length: 8.7" (220 mm); Net Weight: 5.0 oz. (141 g)</t>
  </si>
  <si>
    <t>High-quality knife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Forest green plastic sheath with a flexible leather strap.</t>
  </si>
  <si>
    <t>Handle of laminated hardwood and brass.</t>
  </si>
  <si>
    <t>Knife with a 3.0 mm thick cold-rolled stainless steel blade. Full tang.</t>
  </si>
  <si>
    <t>Black leather sheath with belt loop.</t>
  </si>
  <si>
    <t>Leather sheath with belt loop.</t>
  </si>
  <si>
    <t>Blade Thickness: 3.0 mm; Blade Length: 3.7" (95 mm); Total Length: 7.9" (200 mm); Net Weight: 8.8 oz. (250 g)</t>
  </si>
  <si>
    <t>Handmade hunting knife with a blade of Swedish cold-rolled special stainless steel plus a handle of laminated hardwood and brass. Leather sheath with belt loop.</t>
  </si>
  <si>
    <t>Knife with a 2.7 mm thick laminated steel blade.</t>
  </si>
  <si>
    <t>Handle of hardwood and brass.</t>
  </si>
  <si>
    <t>Blade Thickness: 2.7 mm; Blade Length: 4.0" (101 mm); Total Length: 8.1" (205 mm); Net Weight: 6.3 oz. (180 g)</t>
  </si>
  <si>
    <t>Handmade hunting knife with a laminated steel blade and a handle of hardwood and brass. Dark brown leather sheath with belt loop.</t>
  </si>
  <si>
    <t>Knife with a 1.6 mm thick cold-rolled stainless steel blade.</t>
  </si>
  <si>
    <t> The real horsehair brush is easily accessible to brush away debris without damaging the mushroom. </t>
  </si>
  <si>
    <t>Ergonomically designed plastic handle is comfortable to hold.</t>
  </si>
  <si>
    <t>Plastic "Easy-Clean" sheath can be hung from your belt or buttonhole, keeping it within reach.</t>
  </si>
  <si>
    <t>Swedish cold-rolled special stainless steel blade and a real horsehair brush to brush away debris without damaging the mushroom. Plastic "Easy-Clean" sheath can hang from belt.</t>
  </si>
  <si>
    <t>Blade Thickness: 1.6 mm; Blade Length: 2.4" (62 mm); Total Length: 5.6" (141 mm); Net Weight: 1.9 oz. (55 g)</t>
  </si>
  <si>
    <t>Knife with a 2.0 mm thick blade of Swedish cold-rolled special stainless steel with inside edge.</t>
  </si>
  <si>
    <t>Plastic "Easy-Clean" sheath.</t>
  </si>
  <si>
    <t>Blade Thickness: 2.0 mm; Blade Length: 2.6" (66 mm); Total Length: 7.1" (180 mm); Net Weight: 3.9 oz. (111 g)</t>
  </si>
  <si>
    <t>Blade of Swedish cold-rolled special stainless steel with inside edge. Plastic handle and plastic "Easy-Clean" sheath.</t>
  </si>
  <si>
    <t xml:space="preserve">Set with a boning knife, skinning knife, and a sharpening steel that are packaged in a practical carrying case. </t>
  </si>
  <si>
    <t>Knives have blades of Swedish cold-rolled special stainless steel.</t>
  </si>
  <si>
    <t>Sharpening steel has a comfortable rubber handle and a long steel rod that makes sharpening knives quick and easy.</t>
  </si>
  <si>
    <t>Knives have an ergonomically designed rubber handle with a patterned high-friction grip and finger protection.</t>
  </si>
  <si>
    <t>Set with a skinning and boning knife plus a sharpening steel that is packaged in a practical carrying case. The knives have an ergonomically designed handle with a patterned high-friction grip, finger protection and blades of Swedish cold-rolled special stainless steel. The knives will stay sharp and ready with the handy sharpening steel.</t>
  </si>
  <si>
    <t>Knives and sharpening steel are packaged in a practical carrying case. Net weight: 12 oz. (337 g).</t>
  </si>
  <si>
    <t>Boning Knife: Blade Thickness: 1.3 mm; Blade Length: 5.75" (146 mm); Total Length: 10.2" (260 mm)</t>
  </si>
  <si>
    <t>10.2 / 10.5 / 11.4</t>
  </si>
  <si>
    <t>Sharpening Steel: Rod Length: 6.6" (168 mm); Total Length: 11.4" (289 mm)</t>
  </si>
  <si>
    <t>Skinning Knife: Blade Thickness: 2.0 mm; Blade Length: 6.2" (158 mm); Total Length: 10.5" (267 mm)</t>
  </si>
  <si>
    <t>Peggable Blister Card</t>
  </si>
  <si>
    <t>Sand</t>
  </si>
  <si>
    <t>Black/Green</t>
  </si>
  <si>
    <t>The Morakniv Bushcraft Survival Black is an indispensable tool for a variety of outdoor, hunting, emergency, or tactical applications. High carbon steels are preferred in applications that demand durability and frequent regrinding and at the core is the Bushcraft Black knife with its razor-sharp, burly 1/8-inch (3.2 mm) thick carbon steel blade treated with an anti-corrosive black coating. The scandi grind makes it a perfect Bushcraft knife as it prevents the knife from slipping off easily, bites into the surface without getting stuck, is sharp, and stays sharp longer. The 4.3” (109 mm) long blade is relatively thin making it easier to carve with. It comes with a black plastic sheath, with interchangeable belt clip and belt loop, that holds a Morakniv Fire Starter (included) and features an integrated diamond sharpener, making it easy to sharpen the blade. The spine of the blade is ridge ground so that it can be used with the Morakniv fire starter that lasts approximately 7,000 strikes and produces a 3,000 degree spark, even when wet. The ergonomic handle with high-friction rubber grip gives the feeling of control, making work easier and more enjoyable, as if the knife were an extension of your hand. To further avoid corrosion, clean and wipe knife dry plus oil the blade after each use.</t>
  </si>
  <si>
    <t>Blade Thickness: 1.3 mm; Blade Length: 3.5" (90 mm); Total Length: 8.0" (204 mm); Net Weight: 3.3 oz. (93 g)</t>
  </si>
  <si>
    <t>A short filleting knife with a blade of Swedish cold-rolled special stainless steel. Patterned high-friction grip handle and black plastic sheath with belt clip.</t>
  </si>
  <si>
    <t>Short filleting knife with a 1.3 mm thick cold-rolled stainless steel blade.</t>
  </si>
  <si>
    <t>A short cleaning knife with a serrated back for scaling. Suitable for carving. Blade of Swedish cold-rolled special stainless steel. Patterned high-friction grip handle and black plastic sheath with belt clip.</t>
  </si>
  <si>
    <t>Cleaning and scaling knife with a 2.0 mm thick cold-rolled stainless steel blade.</t>
  </si>
  <si>
    <t>Blade Thickness: 2.0 mm; Blade Length: 3.9" (98 mm); Total Length: 8.4" (214 mm); Net Weight: 3.7 oz. (104 g)</t>
  </si>
  <si>
    <t>Long filleting knife with a 1.9 mm thick cold-rolled stainless steel blade.</t>
  </si>
  <si>
    <t>Plastic "Easy-Clean" sheath with two interchangeable belt clips.</t>
  </si>
  <si>
    <t>Blade Thickness: 1.9 mm; Blade Length: 6.1" (155 mm); Total Length: 10.6" (270 mm); Net Weight: 3.5 oz. (99 g)</t>
  </si>
  <si>
    <t>A long filleting knife with a blade of Swedish cold-rolled special stainless steel. Patterned high-friction grip handle and "Easy-Clean" sheath with two interchangeable belt clips - one belt loop and one belt clip.</t>
  </si>
  <si>
    <t>Long cleaning and scaling knife with a 2.0 mm thick cold-rolled stainless steel blade.</t>
  </si>
  <si>
    <t>Blade Thickness: 2.0 mm; Blade Length: 5.9" (150 mm); Total Length: 10.4" (265 mm); Net Weight: 4.1 oz. (115 g)</t>
  </si>
  <si>
    <t>Knife with a 2.0 mm thick cold-rolled stainless steel blade.</t>
  </si>
  <si>
    <t>Impact-resistant plastic handle with substantial finger protection.</t>
  </si>
  <si>
    <t>Serrated blade for cutting rope, nylon and fiber with a blunt tip.</t>
  </si>
  <si>
    <t>Blade Thickness: 2.0 mm; Blade Length: 3.9" (100 mm); Total Length: 7.8" (198 mm); Net Weight: 3.4 oz. (97 g)</t>
  </si>
  <si>
    <t>Long allround knife with a serrated back for scaling. Blade of Swedish cold-rolled special stainless steel. Patterned high-friction grip handle and "Easy-Clean" sheath with two interchangeable belt clips - one belt loop and one belt clip.</t>
  </si>
  <si>
    <t>Marine knife with a serrated edge and blunt tip plus an impact-resistant plastic handle with substantial finger protection. Blade of Swedish stainless steel. Plastic sheath.</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</si>
  <si>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Chef's knife has a blade length of 22 cm. The blade has an integrated finger stop. The knife has an excellent balance. The beveled tip allows safe handling and prevents stick injuries.</t>
  </si>
  <si>
    <t>Blade has an integrated finger stop.</t>
  </si>
  <si>
    <t>The knife has excellent balance.</t>
  </si>
  <si>
    <t>Beveled tip allows safe handling and prevents stick injuries.</t>
  </si>
  <si>
    <t>Handle of red-stained Swedish birch.</t>
  </si>
  <si>
    <t>Blade Thickness: 2.5 mm; Blade Length: 8.7" (220 mm); Total Length: 13.6" (345 mm); Net Weight: 6.2 oz. (175 g)</t>
  </si>
  <si>
    <t>Handle of black-stained Swedish birch.</t>
  </si>
  <si>
    <t xml:space="preserve">Ergonomically designed to avoid knuckles from hitting the chopping board. </t>
  </si>
  <si>
    <t>Progressive curved edge makes it easy to cut through bread.</t>
  </si>
  <si>
    <t>Blade Thickness: 2.5 mm; Blade Length: 9.7" (246 mm); Total Length: 14.6" (371 mm); Net Weight: 5.5 oz. (157 g)</t>
  </si>
  <si>
    <t>Blade has an integrated finger stop and slightly rounded tip for safe handling.</t>
  </si>
  <si>
    <t>Developed for cutting onions and other vegetables.</t>
  </si>
  <si>
    <t>Blade Thickness: 2.0 mm; Blade Length: 5.0" (128 mm); Total Length: 9.2" (233 mm); Net Weight: 3.3 oz. (94 g)</t>
  </si>
  <si>
    <t>Blade increases in flexibility towards the tip for smooth filleting.</t>
  </si>
  <si>
    <t>Blade has a stop that prevents the hand from slipping up over the blade.</t>
  </si>
  <si>
    <t>Blade Thickness: 2.5 mm; Blade Length: 7.4" (188 mm); Total Length: 12.3" (313 mm); Net Weight: 4.1 oz. (116 g)</t>
  </si>
  <si>
    <t>Designed to peel and chop fruits and vegetables.</t>
  </si>
  <si>
    <t>Blade Thickness: 2.2 mm; Blade Length: 3.3" (85 mm); Total Length: 7.5" (190 mm); Net Weight: 2.8 oz. (78 g)</t>
  </si>
  <si>
    <t>Blades of stainless steel that stays sharp for a long time.</t>
  </si>
  <si>
    <t>Set of 3 includes a Chef, Bread, and Paring knife.</t>
  </si>
  <si>
    <t>Chef's Knife: Blade Thickness: 2.5 mm; Blade Length: 8.7" (220 mm); Total Length: 13.6" (345 mm); Net Weight: 6.2 oz. (175 g)
Bread Knife: Blade Thickness: 2.5 mm; Blade Length: 9.7" (246 mm); Total Length: 14.6" (371 mm); Net Weight: 5.5 oz. (157 g)
Paring Knife: Blade Thickness: 2.2 mm; Blade Length: 3.3" (85 mm); Total Length: 7.5" (190 mm); Net Weight: 2.8 oz. (85 g)</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</si>
  <si>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Chef's knife has a blade length of 22 cm. The blade has an integrated finger stop. The knife has an excellent balance. The beveled tip allows safe handling and prevents stick injuries. The bread knife has a blade length of 24 cm. It is ergonomically designed to avoid knuckles from hitting the chopping board. It has a progressive curved edge which makes it to easy to cut through the bread. The most versatile blade in the kitchen, the paring knife has an 8 cm long blade to peel and chop fruits and vegetables.</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</si>
  <si>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Utility knife has a convenient blade of 13 cm with integrated finger stop and slightly rounded tip for safe handling. The knife has been developed for cutting onions and other vegetables.</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</si>
  <si>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The bread knife has a blade length of 24 cm. It is ergonomically designed to avoid knuckles from hitting the chopping board. It has a progressive curved edge which makes it to easy to cut through the bread.</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</si>
  <si>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Fillet knife has a 19 cm long blade with increasing flexibility towards the blade tip to ensure smooth filleting. The knife suits most fish sizes, and can also be used to polish membranes from roasts. The blade has a stop that prevents the hand from slipping up over the blade.</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</si>
  <si>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The most versatile blade in the kitchen, the paring knife has an 8 cm long blade to peel and chop fruits and vegetables.</t>
  </si>
  <si>
    <t>Blades with a hardness of 58 RC and heat treated for strength and maximum edge retention.</t>
  </si>
  <si>
    <t>Blade Thickness: 2.5 mm; Blade Length: 4.8" (122 mm); Total Length: 8.9" (225 mm); Net Weight: 3.5 oz. (100 g)</t>
  </si>
  <si>
    <t>A real Morakniv® made in Mora, Sweden.
The blade of our steak knife is made from high-quality, cold-rolled stainless steel that after hardening has excellent sharpness retention—a feature not normally associated with stainless steel and a hardness of 58 HRC. The knife blade is heat treated to achieve an extreme level of strength and toughness as well as maximum edge lifetime. The process is a well-kept corporate secret. The handle is made from carefully selected masur birch.
Tradition and quality.
A Morakniv® is a work knife that is easy to hold and handle. This concept appealed to award-winning chef Mathias Dahlgren when he chose a steak knife from Mora of Sweden for his new restaurant at the Grand Hôtel in Stockholm. Designer Mårten Cyrén made as few changes as possible to retain the knife's identity and tradition. The knives in the dining room of the Grand Hôtel look and feel like a real Morakniv®.
Worth caring for.
Our steak knife has a stainless steel blade and the edge can be honed with a fine Arkansas Bench Stone. Drop a small amount of oil on the stone lubricating the surface. Move the blade either in small circular motions or along the edge, making it easier to control the angle of the knife edge to the honer. This also minimizes the risk of scratches on the blade. Finish by wiping away any remains of raw edge with a piece of leather or rough cloth. Never put your knife in the dishwasher, and rub the handle with hard wax oil every now and then.</t>
  </si>
  <si>
    <t>Blade Thickness: 2.0 mm; Blade Length: 4.2" (106 mm); Total Length: 8.1" (205 mm); Net Weight: 3.7 oz. (104 g)</t>
  </si>
  <si>
    <t>Black plastic sheath with interchangeable belt loop.</t>
  </si>
  <si>
    <t>Military green plastic sheath with belt clip.</t>
  </si>
  <si>
    <t>50054269000184</t>
  </si>
  <si>
    <t>10054269000179</t>
  </si>
  <si>
    <t>20054269000176</t>
  </si>
  <si>
    <t>10054269000452</t>
  </si>
  <si>
    <t>20054269000459</t>
  </si>
  <si>
    <t>10054269000360</t>
  </si>
  <si>
    <t>20054269000367</t>
  </si>
  <si>
    <t>10054269000193</t>
  </si>
  <si>
    <t>20054269000190</t>
  </si>
  <si>
    <t>Knife with a 2.5 mm thick carbon steel blade.</t>
  </si>
  <si>
    <t>Red birchwood handle.</t>
  </si>
  <si>
    <t>Black plastic sheath with a belt clip.</t>
  </si>
  <si>
    <t>Blade Thickness: 2.5 mm; Blade Length: 2.9" (74 mm); Total Length: 6.7" (170 mm); Net Weight: 1.8 oz. (50 g)</t>
  </si>
  <si>
    <t>Grey/Charcoal</t>
  </si>
  <si>
    <t>Black/Military Green</t>
  </si>
  <si>
    <t>Serrated blade of 2.5 mm thick stainless steel that stays sharp for a long time.</t>
  </si>
  <si>
    <t>Blade of 2.5 mm thick stainless steel that stays sharp for a long time.</t>
  </si>
  <si>
    <t>Blade of 2.0 mm thick stainless steel that stays sharp for a long time.</t>
  </si>
  <si>
    <t>Blade of 2.2 mm thick stainless steel that stays sharp for a long time.</t>
  </si>
  <si>
    <t>Set of two handmade knives with 2.5 mm thick cold-rolled stainless steel blades.</t>
  </si>
  <si>
    <t>Curly birch handles.</t>
  </si>
  <si>
    <t>Painted red birchwood handles.</t>
  </si>
  <si>
    <t>Set of two handmade knives with 2.0 mm thick cold-rolled stainless steel blades.</t>
  </si>
  <si>
    <t>Knife Blade No. 2/0</t>
  </si>
  <si>
    <t>Knife Blade No. 3</t>
  </si>
  <si>
    <t>Knife Blade No. 95</t>
  </si>
  <si>
    <t>Knife Blade No. 106</t>
  </si>
  <si>
    <t>Knife Blade No. 120</t>
  </si>
  <si>
    <t>Knife Blade No. 2000</t>
  </si>
  <si>
    <t>10054269000339</t>
  </si>
  <si>
    <t>20054269000336</t>
  </si>
  <si>
    <t>10054269000346</t>
  </si>
  <si>
    <t>20054269000343</t>
  </si>
  <si>
    <t>10054269000315</t>
  </si>
  <si>
    <t>20054269000312</t>
  </si>
  <si>
    <t>10054269000322</t>
  </si>
  <si>
    <t>20054269000329</t>
  </si>
  <si>
    <t>50054269000351</t>
  </si>
  <si>
    <t>Pink Haze</t>
  </si>
  <si>
    <t>20054269001227</t>
  </si>
  <si>
    <t>10054269121003</t>
  </si>
  <si>
    <t>20054269121000</t>
  </si>
  <si>
    <t>10054269121102</t>
  </si>
  <si>
    <t>20054269121109</t>
  </si>
  <si>
    <t>10054269121058</t>
  </si>
  <si>
    <t>20054269121055</t>
  </si>
  <si>
    <t>10054269121256</t>
  </si>
  <si>
    <t>20054269121253</t>
  </si>
  <si>
    <t>10054269000377</t>
  </si>
  <si>
    <t>20054269000374</t>
  </si>
  <si>
    <t>10054269000384</t>
  </si>
  <si>
    <t>20054269000381</t>
  </si>
  <si>
    <t>10054269000391</t>
  </si>
  <si>
    <t>20054269000398</t>
  </si>
  <si>
    <t>ML-LESCHI</t>
  </si>
  <si>
    <t>AQUA/GOLD</t>
  </si>
  <si>
    <t>SILVER/BLACK</t>
  </si>
  <si>
    <t>Aqua/Gold</t>
  </si>
  <si>
    <t>Silver/Black</t>
  </si>
  <si>
    <t>Intova</t>
  </si>
  <si>
    <t>I-DUO</t>
  </si>
  <si>
    <t>I-X2</t>
  </si>
  <si>
    <t>AQUA</t>
  </si>
  <si>
    <t>Aqua</t>
  </si>
  <si>
    <t>I-HD2</t>
  </si>
  <si>
    <t>Duo Sport Action Cam™</t>
  </si>
  <si>
    <t>9006.30.0000</t>
  </si>
  <si>
    <t>X2 Marine Grade Action Cam™</t>
  </si>
  <si>
    <t>HD2 Marine Grade Action Cam™</t>
  </si>
  <si>
    <t>ML-HYAK</t>
  </si>
  <si>
    <r>
      <t>Hyak Lantern + Flashlight</t>
    </r>
    <r>
      <rPr>
        <sz val="10"/>
        <rFont val="Calibri"/>
        <family val="2"/>
      </rPr>
      <t>™</t>
    </r>
  </si>
  <si>
    <r>
      <t>Leschi Lantern + Flashlight</t>
    </r>
    <r>
      <rPr>
        <sz val="10"/>
        <rFont val="Calibri"/>
        <family val="2"/>
      </rPr>
      <t>™</t>
    </r>
  </si>
  <si>
    <t>054269001933</t>
  </si>
  <si>
    <t>054269001780</t>
  </si>
  <si>
    <t>054269001797</t>
  </si>
  <si>
    <t>054269001803</t>
  </si>
  <si>
    <t>ML-MADRONA</t>
  </si>
  <si>
    <r>
      <t>Madrona Tabletop Lantern</t>
    </r>
    <r>
      <rPr>
        <sz val="10"/>
        <rFont val="Calibri"/>
        <family val="2"/>
      </rPr>
      <t>™</t>
    </r>
  </si>
  <si>
    <t>HL-HUNDRED</t>
  </si>
  <si>
    <t>Hundred Headlamp™</t>
  </si>
  <si>
    <t>MT-SM-FIREFLY</t>
  </si>
  <si>
    <t>FireFly Match Case &amp; Flashlight™</t>
  </si>
  <si>
    <t>MT-TORCHBO</t>
  </si>
  <si>
    <t>Stormproof Torch &amp; Bottle Opener™</t>
  </si>
  <si>
    <t>054269001841</t>
  </si>
  <si>
    <t>GR-FPG</t>
  </si>
  <si>
    <t>054269001865</t>
  </si>
  <si>
    <r>
      <t>Flatpack Portable Grill &amp; FirePit</t>
    </r>
    <r>
      <rPr>
        <sz val="10"/>
        <rFont val="Calibri"/>
        <family val="2"/>
      </rPr>
      <t>™</t>
    </r>
  </si>
  <si>
    <t>P-UC25</t>
  </si>
  <si>
    <t>GOLD</t>
  </si>
  <si>
    <t>M-12022</t>
  </si>
  <si>
    <t>Green birchwood handle.</t>
  </si>
  <si>
    <t>Blade Thickness: 2.0 mm; Blade Length: 3.3" (85 mm); Total Length: 7.0" (178 mm); Net Weight: 2.4 oz. (69 g)</t>
  </si>
  <si>
    <t>Bright LED provides a diffused white light, in lantern mode, up to 110 lumens</t>
  </si>
  <si>
    <t>Burns up to 4 hours</t>
  </si>
  <si>
    <t>On/off button switches light levels from low to bright light to conserve batteries or strobe for emergency situations</t>
  </si>
  <si>
    <r>
      <t>Integrated shock cord in base (</t>
    </r>
    <r>
      <rPr>
        <i/>
        <sz val="10"/>
        <rFont val="Arial"/>
        <family val="2"/>
      </rPr>
      <t>patent pending</t>
    </r>
    <r>
      <rPr>
        <sz val="10"/>
        <rFont val="Arial"/>
        <family val="2"/>
      </rPr>
      <t>) allows Alki to mount to tree limbs, bars, straps, guy lines, etc. up to 1</t>
    </r>
    <r>
      <rPr>
        <sz val="10"/>
        <rFont val="Calibri"/>
        <family val="2"/>
      </rPr>
      <t>"</t>
    </r>
    <r>
      <rPr>
        <sz val="10"/>
        <rFont val="Arial"/>
        <family val="2"/>
      </rPr>
      <t xml:space="preserve"> (2.5 cm) in diameter</t>
    </r>
  </si>
  <si>
    <r>
      <t>X-120 X-ACT Fit Headlamp</t>
    </r>
    <r>
      <rPr>
        <sz val="10"/>
        <rFont val="Calibri"/>
        <family val="2"/>
      </rPr>
      <t>™</t>
    </r>
  </si>
  <si>
    <r>
      <t>X-120R X-ACT Fit Headlamp</t>
    </r>
    <r>
      <rPr>
        <sz val="10"/>
        <rFont val="Calibri"/>
        <family val="2"/>
      </rPr>
      <t>™</t>
    </r>
  </si>
  <si>
    <t>Comfortable X-ACT Fit™ system provides micro-adjustment for a custom fit.</t>
  </si>
  <si>
    <t>Battery Type (included): Three 1.5V AAA alkaline; Bulb Type: Super bright XP-E CREE LED; Highly Water Resistant: IPX 4; Fits (circumference of head): 19-26" (49-66 cm); Dimensions of Headlamp: 2.4" x 1.25" x 1.5" (6 cm x 3.2 cm x 3.9 cm); Weight (with batteries): 3.2 oz. (90 g)</t>
  </si>
  <si>
    <t>Battery Type (included): Two CR2032 Li; Bulb Type: Super bright XP-D CREE LED; Highly Water Resistant: IPX 4; Fits (circumference of head): 21-26" (53-65 cm); Dimensions of Headlamp: 2.3" x 0.65" x 1.4" (5.9 cm x 1.7 cm x 3.5 cm); Weight (with batteries): 1.6 oz. (45 g)</t>
  </si>
  <si>
    <t>3.9/5.2</t>
  </si>
  <si>
    <r>
      <t>Integrated shock cord on globe (</t>
    </r>
    <r>
      <rPr>
        <i/>
        <sz val="10"/>
        <rFont val="Arial"/>
        <family val="2"/>
      </rPr>
      <t>patent pending</t>
    </r>
    <r>
      <rPr>
        <sz val="10"/>
        <rFont val="Arial"/>
        <family val="2"/>
      </rPr>
      <t>) allows Leschi to mount to tree limbs, bars, straps, guy lines, etc. up to 1.5</t>
    </r>
    <r>
      <rPr>
        <sz val="10"/>
        <rFont val="Calibri"/>
        <family val="2"/>
      </rPr>
      <t>"</t>
    </r>
    <r>
      <rPr>
        <sz val="10"/>
        <rFont val="Arial"/>
        <family val="2"/>
      </rPr>
      <t xml:space="preserve"> (3.8 cm) in diameter</t>
    </r>
  </si>
  <si>
    <t>Battery Type (not included): One 1.5V AA alkaline; Battery Life (up to): 4 hours; Beam Projection: 279 feet (85 m); Bulb Type: Super bright LED; Highly water resistant: IPX5; Dimensions—open: 5.2" high x 1.6" diameter (13.2 cm x 4.0 cm); Dimensions—closed: 3.9" high x 1.6" diameter (9.8 cm x 4.0 cm); Weight (w/o batteries): 1.6 oz. (45 g)</t>
  </si>
  <si>
    <t>Battery Type (not included): Three 1.5V AAA alkaline; Battery Life (up to): 70 hours; Beam Projection: 164 feet (50 m); Bulb Type: Super bright R3 XP-E CREE LED; Highly water resistant: IPX6; Dimensions—open: 6.5" high x 2" diameter (16.5 cm x 5.1 cm); Dimensions—closed: 4.5" high x 2" diameter (11.4 cm x 5.1 cm); Weight (w/o batteries): 2.9 oz. (81 g)</t>
  </si>
  <si>
    <t>Battery Type (not included): Three 1.5V AAA alkaline; Battery Life (up to): 130 hours; Beam Projection: 138 feet (42 m); Bulb Type: Super bright LED; Highly water resistant: IPX6; Dimensions—open: 6.5" high x 2" diameter (16.5 cm x 5.1 cm); Dimensions—closed: 4.5" high x 2" diameter (11.4 cm x 5.1 cm); Weight (w/o batteries): 2.5 oz. (72 g)</t>
  </si>
  <si>
    <t>Battery Type (not included): Four 1.5V AA alkaline; Battery Life (up to): 190 hours; Beam Projection: 250 feet (75 m); Bulb Type: Super bright R3 XP-G CREE LED; Highly water resistant: IPX6; Dimensions—open: 8" high x 2.5" diameter (20.5 cm x 6.5 cm); Dimensions—closed: 5.5" high x 2.5" diameter (14 cm x 6.5 cm); Weight (w/o batteries): 4.8 oz. (137 g)</t>
  </si>
  <si>
    <r>
      <rPr>
        <b/>
        <sz val="10"/>
        <rFont val="Arial"/>
        <family val="2"/>
      </rPr>
      <t>Lumora Lantern + Flashlight™:</t>
    </r>
    <r>
      <rPr>
        <sz val="10"/>
        <rFont val="Arial"/>
        <family val="2"/>
      </rPr>
      <t xml:space="preserve"> Battery Type (not included): Four 1.5V AA alkaline; Battery Life (up to): 8 hours on high, 190 hours on low; Bulb Type: Super bright R3 XP-G CREE LED; Highly water resistant: IPX6; Beam Projection: 250 ft. (75 m); Dimensions—open: 8.0" high x 2.5" diameter (20.5 cm x 6.5 cm); Dimensions—closed: 5.5" high x 2.5" diameter (14 cm x 6.5 cm); Weight (w/o batteries): 4.8 oz. (137 g)   </t>
    </r>
    <r>
      <rPr>
        <b/>
        <sz val="10"/>
        <rFont val="Arial"/>
        <family val="2"/>
      </rPr>
      <t xml:space="preserve">UltraPod™: </t>
    </r>
    <r>
      <rPr>
        <sz val="10"/>
        <rFont val="Arial"/>
        <family val="2"/>
      </rPr>
      <t>Maximum Safe Load: 3 lbs (1.4 kg); Dimensions (folded): 4" x 1" x 1.25" (10.2 cm x 2.5 cm x 3.2 cm); Weight: 2 oz. (57 g)</t>
    </r>
  </si>
  <si>
    <t>Battery Type (not included): Three 1.5V AAA alkaline; Battery Life (up to): 130 hours; Beam Projection: 427 feet (130 m); Bulb Type: Super bright R3 XP-E CREE LED; Highly water resistant: IPX6; Dimensions—open: 6.4" high x 2" diameter (16.2 cm x 5.1 cm); Dimensions—closed: 4.6" high x 2" diameter (11.6 cm x 5.1 cm); Weight (w/o batteries): 3.0 oz. (85 g)</t>
  </si>
  <si>
    <t>Battery Type: 3.7V 1800mAh Li-ion rechargeable; Bulb Type: Super bright LED; Battery Life—up to: 80 hours; Highly water resistant: IPX5; Beam projection: 164' (50 m); Dimensions-open: 6.3" high x 2" diameter (16 cm x 5 cm); Dimensions-closed: 4.5" high x 2" diameter (11.5 cm x 5 cm); Weight: 4.0 oz. (113 g)</t>
  </si>
  <si>
    <t>Battery Type: 3.7V 2.6AH Li-Ion rechargeable; Bulb Type: Super bright R4 XP-G2 CREE LED; Battery Life—up to: 5 hours on high. Up to 120 hours on low; Highly water resistant: IPX5; Beam projection: 33-459' (10-140 m); Dimensions-open: 6.3" high x 2" diameter (16 cm x 5 cm); Dimensions-closed: 4.5" high x 2" diameter (11.5 cm x 5 cm); Weight: 4.3 oz. (123 g)</t>
  </si>
  <si>
    <t>Battery Type: 3.7V 4AH Li-Ion rechargeable; Bulb Type: Super bright R3 XP-E CREE LED; Battery Life—up to: 6-8 hours on high. Up to 50 hours on low; Highly water resistant: IPX5; Beam Projection: 250 ft. (75 m); Dimensions—open: 7.75" high x 2.5" diameter (19.7 cm x 6.5 cm); Dimensions—closed: 5.25" high x 2.5" diameter (13.3 cm x 6.5 cm); Weight: 8.5 oz. (241 g)</t>
  </si>
  <si>
    <t>Rechargeable, collapsible, and highly water-resistant (IPX5) lantern and flashlight doubles as a charger for USB devices such as a phone, camera, or GPS</t>
  </si>
  <si>
    <t>Rechargeable, collapsible, and highly water-resistant (IPX5) lantern and flashlight doubles as a charger for USB devices such as a phone, camera, or GPS.</t>
  </si>
  <si>
    <t>Compact, lightweight, collapsible lantern and flashlight is highly water resistant (IPX6)</t>
  </si>
  <si>
    <t>Collapsible lantern and flashlight is highly water-resistant (IPX6) and rugged yet easy to transport; Bright R3 XP-G CREE LED provides a diffused white light, in lantern mode, up to 180 lumens</t>
  </si>
  <si>
    <t>Collapsible lantern and flashlight is highly water-resistant (IPX6) and rugged yet easy to transport</t>
  </si>
  <si>
    <t>Compact, lightweight, collapsible lantern and flashlight is highly water resistant (IPX5)</t>
  </si>
  <si>
    <r>
      <t>Tetra 3-in-1 Rechargeable Lantern</t>
    </r>
    <r>
      <rPr>
        <sz val="10"/>
        <rFont val="Calibri"/>
        <family val="2"/>
      </rPr>
      <t>™</t>
    </r>
  </si>
  <si>
    <t>054269001971</t>
  </si>
  <si>
    <t>M-12057</t>
  </si>
  <si>
    <t>7391846013044</t>
  </si>
  <si>
    <t>High-quality knife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Highly visible orange plastic sheath with a flexible leather strap.</t>
  </si>
  <si>
    <t>Pink Metal &amp; Pirate Gold</t>
  </si>
  <si>
    <t>PM-PG</t>
  </si>
  <si>
    <t>PT-SL</t>
  </si>
  <si>
    <t>PIRATE GLD</t>
  </si>
  <si>
    <t>S-P-GDFSSC</t>
  </si>
  <si>
    <r>
      <t>Glow-in-the-Dark Swedish FireSteel 2.0</t>
    </r>
    <r>
      <rPr>
        <sz val="10"/>
        <rFont val="Calibri"/>
        <family val="2"/>
      </rPr>
      <t>®</t>
    </r>
    <r>
      <rPr>
        <sz val="10"/>
        <rFont val="Arial"/>
        <family val="2"/>
      </rPr>
      <t xml:space="preserve"> scout, 16-count, Display</t>
    </r>
  </si>
  <si>
    <t>Contains 16 Light My Fire Glow-in-the-Dark Swedish FireSteel 2.0 Scouts.</t>
  </si>
  <si>
    <t>054269200251</t>
  </si>
  <si>
    <t>I-POL2</t>
  </si>
  <si>
    <t>I-CUL2</t>
  </si>
  <si>
    <t>I-RED2</t>
  </si>
  <si>
    <t>I-MAG2</t>
  </si>
  <si>
    <t>I-DOME2</t>
  </si>
  <si>
    <t>I-BAT2</t>
  </si>
  <si>
    <t>Dome Port for X2/HD2</t>
  </si>
  <si>
    <t>Spare Battery for X2/HD2</t>
  </si>
  <si>
    <t>Beige</t>
  </si>
  <si>
    <t>Cosmic</t>
  </si>
  <si>
    <t>Hawaii</t>
  </si>
  <si>
    <t>Northern</t>
  </si>
  <si>
    <t>Turquoise</t>
  </si>
  <si>
    <t>MT-E-FIREFLY</t>
  </si>
  <si>
    <t>FireFly Match Case &amp; Flashlight™ (No matches included)</t>
  </si>
  <si>
    <t>M-12635</t>
  </si>
  <si>
    <t>M-12642</t>
  </si>
  <si>
    <t>7391846017493</t>
  </si>
  <si>
    <t>Compact, collapsible lantern and flashlight is highly water resistant (IPX6).</t>
  </si>
  <si>
    <t>Shock cord mounting system in base allows for Hyak to mount to bars, trees, guy lines, etc.</t>
  </si>
  <si>
    <t>Can and bottle mount system securely elevates lighting.</t>
  </si>
  <si>
    <t>4 lighting modes - low, medium, high, and strobe mode.</t>
  </si>
  <si>
    <t>Up to 180 lumens on high power.</t>
  </si>
  <si>
    <t>The Madrona Hang-Out lantern has a Magnetic lanyard hanging system that allows for quick attachment and removal. Place the lantern on its base for traditional use, or elevate from lanyard and hang from tent, tree or other object.  Three super bright CREE LED’s provde output of up to 250 lumens to light up your campsite. The Infinity Dial allows fine tuning of light output from low to high. Powered by 3 D-cell batteries (not included). Blue LED mode. Dimensions: 9.5" x 3.75" x 3.75" (24 cm x 9.5 cm x 9.5 cm)  Weight 14.6 oz. (413 g).  1 year warranty.</t>
  </si>
  <si>
    <t>Magnetic lanyard hanging system allows for quick attachment and removal.</t>
  </si>
  <si>
    <t>Three super bright CREE LED’s provide output of up to 250 lumens.</t>
  </si>
  <si>
    <t>Infinity Dial allows fine tuning of light output from low to high.</t>
  </si>
  <si>
    <t>Powered by 3 D-cell batteries.</t>
  </si>
  <si>
    <t>Blue LED mode.</t>
  </si>
  <si>
    <t>The X-120 X-ACT FIT HEADLAMP™ is a powerful headlamp with a comfortable fit.  The Comfortable X-ACT Fit™ system located on the side and back of the band provides a microadjustment for a custom fit.  Unique, no “hard point” hinge design fits your head perfectly and allows the lamp to focus forward or down towards the ground.  Settings include flood, spot, and red night vision modes.  Dial provides transition between light modes and adjusts brightness continuously from 0 to 120 lumens. CREE XP-E LED.  IPX-4 water resistance. Uses 3 AAA batteries (included).  Battery life up to 160 hours.  Dimensions: 2.4" x 1.25" x 1.5" (6 cm x 3.2 cm x 3.9 cm) Weight: (w/ batteries) 3.2 oz. (90 g).  1 year warranty.</t>
  </si>
  <si>
    <t>The X-120R X-ACT FIT HEADLAMP™ is a powerful headlamp with a comfortable fit.  This version is powered by a Li-ion battery pack with integrated micro USB input (or it can use 3 AAA batteries). The Comfortable X-ACT Fit™ system located on the side and back of the band provides a microadjustment for a custom fit.  Unique, no “hard point” hinge design fits your head perfectly and allows the lamp to focus forward or down towards the ground.  Settings include flood, spot, and red night vision modes.  Dial provides transition between light modes and adjusts brightness continuously from 0 to 120 lumens. CREE XP-E LED.  IPX-4 water resistance.  Battery life up to 130 hours.  Dimensions: 2.4" x 1.25" x 1.5" (6 cm x 3.2 cm x 3.9 cm) Weight: (w/ batteries) 2.95 oz. (85 g).  1 year warranty.</t>
  </si>
  <si>
    <t>Hingeless design keeps the headlamp close to the forehead.</t>
  </si>
  <si>
    <t>Stylized elastic headband and real wood headlamp inlay.</t>
  </si>
  <si>
    <t xml:space="preserve"> Optical lens has independent articulation to direct light where you need it.</t>
  </si>
  <si>
    <t>Super bright LED provdes up to 100 lumens.</t>
  </si>
  <si>
    <t xml:space="preserve">Simple button operation brightness adjustment: High, medium, and low. </t>
  </si>
  <si>
    <t>Cast a broad swath of light from almost anywhere with our smallest LED light to date! Pack the innovative Leschi Lantern + Flashlight when you need a versatile, lightweight, compact source of light to illuminate your adventures. The convenient, patent-pending integrated shock cord in the base of the Leschi enables you to hang and focus the lantern from both horizontal and vertical surfaces. No longer limited to a pole or limb that will accept a hook or string, the  Leschi Lantern + Flashlight can be lashed to a tree limb, tent pole, guy line, bar, strap or flagpole! Push the globe down to transform the lantern into a handy flashlight for reading in bed or to accompany you on late-night forays out of your tent. Offers three lighting modes, including a strobe mode. Burns up to 4 hours or 7 hours on strobe.  Battery Type (not included): One 1.5V AA alkaline; Battery Life (up to): 4 hours; Beam Projection: 279 feet (85 m); Bulb Type: Super bright LED; Highly water resistant: IPX5; Dimensions—open: 5.2" high x 1.6" diameter (13.2 cm x 4.0 cm); Dimensions—closed: 3.9" high x 1.6" diameter (9.8 cm x 4.0 cm); Weight (w/o batteries): 1.6 oz. (45 g)</t>
  </si>
  <si>
    <t xml:space="preserve">The best of both worlds: DUO- a new breed of Action Cam that combines low cost with high performance, photo with video, and at home in or out of the water. Video resolution is 720p HD.  Still image resolution - 1.3MP sensor with selectable 2, 3 &amp; 5 MP (interpolation) settings.  The compact and rugged housing is waterproof to 100 feet, floats and available in multiple colors. This fun camera is an imaging tool for all ages.  Low cost and high performance.  Built in 1.7" LCD screen.  4X zoom.  Compact and rugged housing.  Rechargeable Li-Ion batteries.  Wrist lanyard included. MicroSD Compatible (not included). 1 year warranty.
</t>
  </si>
  <si>
    <t>720p HD Video, Up to 5 MP still photo resolution</t>
  </si>
  <si>
    <t>Rechargeable Li-Ion batteries</t>
  </si>
  <si>
    <t>Wrist lanyard included</t>
  </si>
  <si>
    <t>Built in 1.7" LCD screen</t>
  </si>
  <si>
    <t>Built to float</t>
  </si>
  <si>
    <t>Built in 100 lumen photo flash/video light</t>
  </si>
  <si>
    <t>Rechargeable and removable Li-ion battery (up to 2 hour battery life)</t>
  </si>
  <si>
    <t>1080p 60 fps resolution video and 16MP still image resolution</t>
  </si>
  <si>
    <t xml:space="preserve">Built-in 2” TFT LCD screen </t>
  </si>
  <si>
    <t>WIFI remote app available (iOS or Android) smartphone or tablet</t>
  </si>
  <si>
    <t xml:space="preserve">A brighter world with the click of a button. Intova’s X2 Waterproof Action Cam is the first in its class to offer a built-in 100 lumen light that can be used as a flash for photography or as a constant light for video. Capture high-definition 1080p video and stunning photos of any adventure and in any environment including low-light, evening and night settings. The X2 works with the Intova App, making it possible to control most camera functions, preview live video and share photos and videos via email and social media with a iOS phones. The included battery boasts two hours of life and is both removable and rechargeable; ideal for anyone planning an extended adventure. X2’s rugged housing is built with a rubber armor coating to withstand the harshest conditions both on land, up to 330 feet below water and everywhere in between. A built-in 2” TFT LCD screen allows for optimum control of capturing content as well as a no fuss, stress free menu system for customizing the camera’s settings. Easily capture any adventure, in any setting, anytime of the day. </t>
  </si>
  <si>
    <t>A brighter world with the click of a button. The HD2 Waterproof Action Camera is the first in its class to include a built-in flash and video light. Capture high-definition video and stunning photos in low-light, evening or night-time settings. The included battery boasts two hours of life and is both removable and rechargeable; ideal for anyone planning an extended adventure. Mount the camera in hard to reach places (such as the front of a SUP board and kayak) and control the camera’s on/off and video and photo functions with the remote. HD2’s polycarbonate, rugged housing is built to withstand the harshest conditions both on land, up to 330 feet below water and everywhere in between. A built-in 2” TFT LCD screen allows for optimum control of capturing content as well as a no fuss, stress free menu system for customizing the camera’s settings. Easily capture any adventure, in any setting, anytime of the day.</t>
  </si>
  <si>
    <t>Water-resistant RF Remote</t>
  </si>
  <si>
    <t>1080p 30 fps resolution video and 8MP still image resolution</t>
  </si>
  <si>
    <t>The Firefly is a match container + flashlight + bottle opener all in 1.</t>
  </si>
  <si>
    <t>Integrated striker is removable and replaceable.</t>
  </si>
  <si>
    <t>Match case holds up to 25 matches.</t>
  </si>
  <si>
    <t>Convenient carabiner clip for easy transport.</t>
  </si>
  <si>
    <t>25 UCO Stormproof matches included in box with striker.</t>
  </si>
  <si>
    <t>Match case holds up to 25 stormproof matches.</t>
  </si>
  <si>
    <t>The LED flashlight uses 2 CR 2032 batteries which are included.</t>
  </si>
  <si>
    <t>Durable stainless steel construction.</t>
  </si>
  <si>
    <t>Quick 30 second setup.</t>
  </si>
  <si>
    <t>Sides of grill serve as a wind-break.</t>
  </si>
  <si>
    <t>Can be used as a Firepit.</t>
  </si>
  <si>
    <t>Stable base for safe grilling.</t>
  </si>
  <si>
    <t>The Flatpack portable grill &amp; firepit packs compact for easy transportation to the beach, campsite or barbeque.  It is Stainless steel construction for durability and easy
maintenance.  It has a quick 30 second set-up and you are ready to go.  All you need to do to set up this grill is unfold it and place the grates on top.  Has a stable base for safe grilling.  The sides of grill serve as wind break for grilling in windy conditions and it can be used as a firepit to help leave no trace when you are done.  Weight is 3.2 lbs and grilling area is 10" x 13".  Assembled height is 11".  Packed dimensions are 13.5" x 10" x 1.4"  Warranty is 1 year.</t>
  </si>
  <si>
    <t>The versatile Stormproof Torch &amp; Bottle Opener has your back in emergencies and around the camp site. Powerful triple-jet technology means you'll be ready to start a fire in challenging wet conditions. While the attached bottle opener is ready to handle your long awaited craft brew, at the top of the peak. This torch is light enough to clip on a pack yet rugged enough to withstand your journey.</t>
  </si>
  <si>
    <t>Edge X Action Cam™</t>
  </si>
  <si>
    <t>I-EDGE X</t>
  </si>
  <si>
    <t>Jewel-Case Box</t>
  </si>
  <si>
    <t>I-NOVA HD</t>
  </si>
  <si>
    <t>Nova HD Action Cam™</t>
  </si>
  <si>
    <t>I-CONNEX</t>
  </si>
  <si>
    <t>Connex Action Cam™</t>
  </si>
  <si>
    <t>Jewel Case</t>
  </si>
  <si>
    <t>I-CONNEX VGA20</t>
  </si>
  <si>
    <t>I-CONNEX VGA40</t>
  </si>
  <si>
    <t>I-CONNEX VGA100</t>
  </si>
  <si>
    <t>I-CONNEX HD100</t>
  </si>
  <si>
    <t>I-CONNEX DC CABLE</t>
  </si>
  <si>
    <t>I-CONNEX CIG CHGR</t>
  </si>
  <si>
    <t>I-CONNEX MONITOR</t>
  </si>
  <si>
    <t>I-CONNEX WC MT</t>
  </si>
  <si>
    <t>I-CONNEX TOW MT</t>
  </si>
  <si>
    <t>Waterproof Connex 7" Monitor™</t>
  </si>
  <si>
    <t>Multi Bracket Weighted Camera Mount™</t>
  </si>
  <si>
    <t>Connex Auto Cigarette Charger™</t>
  </si>
  <si>
    <t>Connex Bare Wire DC Cable™</t>
  </si>
  <si>
    <t>Connex VGA Cable 40 Meters™</t>
  </si>
  <si>
    <t>Connex VGA Cable 20 Meters™</t>
  </si>
  <si>
    <t>Connex VGA Cable 100 Meters™</t>
  </si>
  <si>
    <t>Connex HD Cable 100 Meters™</t>
  </si>
  <si>
    <t>Plastic Bag</t>
  </si>
  <si>
    <t>Carded Plastic Bag</t>
  </si>
  <si>
    <t>Sport Cameras</t>
  </si>
  <si>
    <t>Marine Grade Cameras</t>
  </si>
  <si>
    <t>Live View System</t>
  </si>
  <si>
    <t>I-DUO-POP</t>
  </si>
  <si>
    <t>Duo Sport Action Cam POP™</t>
  </si>
  <si>
    <t>POP</t>
  </si>
  <si>
    <t>I-SP10K</t>
  </si>
  <si>
    <t>I-SS01</t>
  </si>
  <si>
    <t>I-SS04</t>
  </si>
  <si>
    <t>This assortment features the following cameras: 2 Black, 2 Orange, 1 Aqua, and 1 White</t>
  </si>
  <si>
    <t>Sport 10k Action Cam™</t>
  </si>
  <si>
    <t>SS01 Action Cam™</t>
  </si>
  <si>
    <t>SS04 Action Cam™</t>
  </si>
  <si>
    <t>Plastic Blister Pack</t>
  </si>
  <si>
    <t>Memory</t>
  </si>
  <si>
    <t>I-SD8G</t>
  </si>
  <si>
    <t>I-SD16G</t>
  </si>
  <si>
    <t>I-SD32G</t>
  </si>
  <si>
    <t>Micro SD Card 8GB</t>
  </si>
  <si>
    <t>Micro SD Card 16GB</t>
  </si>
  <si>
    <t>Micro SD Card 32GB</t>
  </si>
  <si>
    <t>Carded Blister Pack</t>
  </si>
  <si>
    <t>I-AVL</t>
  </si>
  <si>
    <t>I-TTN1</t>
  </si>
  <si>
    <t>I-PX-21</t>
  </si>
  <si>
    <t>I-18650BAT</t>
  </si>
  <si>
    <t>I-18650CHRGR</t>
  </si>
  <si>
    <t>I-PXX</t>
  </si>
  <si>
    <t>Action Video Light™</t>
  </si>
  <si>
    <t>Teranova™</t>
  </si>
  <si>
    <t>PX-21 Compact Slave Flash</t>
  </si>
  <si>
    <t>18650 Li-Ion Battery</t>
  </si>
  <si>
    <t>18650 Li-Ion Battery Charger &amp; Battery</t>
  </si>
  <si>
    <t>Ballistic Nylon Carry Case in a Box</t>
  </si>
  <si>
    <t>12 CREE LEDs utilize a proprietary reflector and
PCB technology to ensure tremendous brightness
and long burn times.</t>
  </si>
  <si>
    <t>Xtreme Power-Light Flood model is constructed of anodized aluminum and is waterproof till a depth of up to 400'.</t>
  </si>
  <si>
    <t>3-position switch allows you to toggle between full power, 30%, and emergency strobe modes.</t>
  </si>
  <si>
    <t>Sweetfire Strikeable Fire Starter</t>
  </si>
  <si>
    <t>Made from sugarcane waste — Bagasse is a
fibrous sugarcane by-product, used around the
world as a renewable biofuel.</t>
  </si>
  <si>
    <t>20 individual ‘Points’ conveniently connected &amp;
ready to break-off and use.</t>
  </si>
  <si>
    <t>Each Point burns for 7 minutes each.</t>
  </si>
  <si>
    <t>Impregnated with vegetable wax, UCO Sweetfire
is good for the planet &amp; great for every adventure</t>
  </si>
  <si>
    <t>Upcoming Products</t>
  </si>
  <si>
    <t>Torches</t>
  </si>
  <si>
    <t>ML-SITKA</t>
  </si>
  <si>
    <t>ML-SITKA-LI</t>
  </si>
  <si>
    <t>ML-MADRONA-LI</t>
  </si>
  <si>
    <t>ML-RHODY</t>
  </si>
  <si>
    <t>ML-RHODY-LI</t>
  </si>
  <si>
    <t>Sitka</t>
  </si>
  <si>
    <t>Rhody</t>
  </si>
  <si>
    <t>054269002213</t>
  </si>
  <si>
    <t>10054269002210</t>
  </si>
  <si>
    <t>Flatpack Portable Grill &amp; FirePit - Mini</t>
  </si>
  <si>
    <t>Collaborations</t>
  </si>
  <si>
    <t>7391846017554</t>
  </si>
  <si>
    <t>7391846017578</t>
  </si>
  <si>
    <t>7391846017592</t>
  </si>
  <si>
    <t>7391846017615</t>
  </si>
  <si>
    <t>7391846017639</t>
  </si>
  <si>
    <t>7391846018094</t>
  </si>
  <si>
    <t>7391846017974</t>
  </si>
  <si>
    <t>7391846017776</t>
  </si>
  <si>
    <t>7391846017790</t>
  </si>
  <si>
    <t>7391846017813</t>
  </si>
  <si>
    <t>7391846017837</t>
  </si>
  <si>
    <t>7391846018124</t>
  </si>
  <si>
    <t>GR-MFPG</t>
  </si>
  <si>
    <t>MT-SFP</t>
  </si>
  <si>
    <t>Peggabel Box</t>
  </si>
  <si>
    <t xml:space="preserve">The Hyak Lantern + Flashlight is a highly water resistant, collapsible lantern and flashlight that features some truly unique mounting options. The integrated shock cord makes mounting to tent poles, branches and guy lines simple, but there's also a can and bottle mount system that allows you to secure your Hyak to the top of your favorite beverage (hopefully after you've already enjoyed it). The super bright LED powers up to 175 lumens and the Hyak can be used in four modes: High, Medium, Low or Strobe. The Hyak runs on 4 AA batteries (not included). </t>
  </si>
  <si>
    <t xml:space="preserve">The Sweetfire Strikeable Fire Starter is not only sweet for your gear collection, it's sweet for the planet. Made from a sugarcane by-product called bagasse, this key ingredient is already used around the world as a renewable biofuel. Each of these match points (there are 20 per box) is infused with vegetable wax to allow for up to 7 minutes of burn time per each point. There's also no need to bring matches to light the Sweetfire as each match point has a strikeable tip that can conveniently be used with the striker on the box. </t>
  </si>
  <si>
    <t>Style meets function when Seattle-born UCO &amp; Coal Headwear team up. The NightCap Knit features a removable headlamp that fits securely into the cross-branded conversion patch. A Comfort-Fit hinge allows the light to be directed down without causing the beanie to flop. The headlamp uses a dial adjustment, and runs on 2 CR-2032 batteries (included).</t>
  </si>
  <si>
    <t>Style meets function when Seattle-born UCO &amp; Coal Headwear team up. The NightCap Bucket features a removable headlamp that fits securely into the cross-branded conversion patch. A Comfort-Fit hinge allows the light to be directed down without causing the bucket hat to flop. A front grommet allows the lip to be flipped up or worn in classic ‘bucket’ fashion.  The headlamp uses a dial adjustment, and runs on 2 CR-2032 batteries (included).</t>
  </si>
  <si>
    <t>The Sitka Lantern is elevating outdoor lighting into the future. The Sitka Lantern features an integrated extension arm that elevates the light source from 12.5” to 26”, and allows for up to 4 times as much usable light while reducing LED eye-glare. The simple adjustment infinity dial allows for fine tuning of light up to 500 lumens, and features a real wood inlay. The Sitka features a USB power output, and runs on 6 D-Cell batteries (not included).</t>
  </si>
  <si>
    <t>Madrona+</t>
  </si>
  <si>
    <t>Sitka+</t>
  </si>
  <si>
    <t>Rhody+</t>
  </si>
  <si>
    <t xml:space="preserve">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is powered by 3 AA batteries (not included). </t>
  </si>
  <si>
    <t>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is powered by 3 AA batteries (not included).</t>
  </si>
  <si>
    <t>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runs on a rechargeable Lithium-Ion battery, and features a USB output.</t>
  </si>
  <si>
    <t>'Keep it 100' with the stylish Hundred Headlamp. With 5 different stylized designs and real wood on the headlamp inlay, this headlamp looks good and feels good. The hingeless design to the lens articulation reduces weight imbalance to allow an even more comfortable fit as the battery pack will not slide. The Hundred is powered by 3 AAA batteries (included) and uses a simple button operation to cycle between High, Medium and Low beams up to 100 lumens.</t>
  </si>
  <si>
    <t>The Firefly Match Case &amp; Flashlight features 3 essentials in one useful tool.  The Firefly is a LED flashlight, a match container, and a bottle opener all-in-one.  The match case within the Firefly is waterproof and holds up to 25 matches, which can be used with the replaceable striker on the exterior. A Convenient carabiner clip also spouts a useful bottle opener at its base. The LED flashlight is button operated, and runs on 2 included CR-2032 batteries. The Firefly also includes a box of 25 UCO Stormproof Matches and 2 additional strikers.</t>
  </si>
  <si>
    <t>The Firefly Match Case &amp; Flashlight features 3 essentials in one useful tool.  The Firefly is a LED flashlight, a match container, and a bottle opener all-in-one.  The match case within the Firefly is waterproof and holds any matches up to 2.75" in length, which can be used with the replaceable striker on the exterior. A Convenient carabiner clip also spouts a useful bottle opener at its base. The LED flashlight is button operated, and runs on 2 included CR-2032 batteries. Matches are not included.</t>
  </si>
  <si>
    <t>Colormix</t>
  </si>
  <si>
    <t>Eldris</t>
  </si>
  <si>
    <t>Eldris Neck Knife</t>
  </si>
  <si>
    <t>M-12717</t>
  </si>
  <si>
    <t>Black, Gold</t>
  </si>
  <si>
    <t>Companion 125th Anniversary Edition</t>
  </si>
  <si>
    <t>M-12683</t>
  </si>
  <si>
    <t>Classic 125th Anniversary Edition</t>
  </si>
  <si>
    <t>7391846017707</t>
  </si>
  <si>
    <t>M-12647</t>
  </si>
  <si>
    <t>M-12648</t>
  </si>
  <si>
    <t>M-12649</t>
  </si>
  <si>
    <t>M-12650</t>
  </si>
  <si>
    <t>M-12651</t>
  </si>
  <si>
    <t>M-12770</t>
  </si>
  <si>
    <t>M-12629</t>
  </si>
  <si>
    <t>M-12630</t>
  </si>
  <si>
    <t>M-12631</t>
  </si>
  <si>
    <t>M-12632</t>
  </si>
  <si>
    <t>M-12633</t>
  </si>
  <si>
    <t>M-12670</t>
  </si>
  <si>
    <t>Carving Kit</t>
  </si>
  <si>
    <t>NightCap Bucket w/Headlamp Large</t>
  </si>
  <si>
    <t>NightCap Bucket w/Headlamp Medium</t>
  </si>
  <si>
    <t>NightCap Knit w/Headlamp</t>
  </si>
  <si>
    <t>HL-NC-K</t>
  </si>
  <si>
    <t>HL-NC-B</t>
  </si>
  <si>
    <t>054269002343</t>
  </si>
  <si>
    <t>054269002350</t>
  </si>
  <si>
    <t>054269002404</t>
  </si>
  <si>
    <t>S-P-BPCK</t>
  </si>
  <si>
    <t xml:space="preserve">The Madrona+ Hang-Out lantern has a Magnetic lanyard hanging system that allows for quick attachment and removal. Place the lantern on its base for traditional use, or elevate from lanyard and hang from tent, tree or other object.  Three super bright CREE LED’s provde output of up to 250 lumens to light up your campsite. The Infinity Dial allows fine tuning of light output from low to high. This model runs on a 6400mAh Li-Ion battery that is rechargeable, and features an output as well. Blue LED mode. Dimensions: 9.5" x 3.75" x 3.75" (24 cm x 9.5 cm x 9.5 cm)  Weight 14.6 oz. (413 g).  </t>
  </si>
  <si>
    <t>I-DUB</t>
  </si>
  <si>
    <t>DUB Action Cam™</t>
  </si>
  <si>
    <t>9007.91.8000</t>
  </si>
  <si>
    <t>8525.80.4000</t>
  </si>
  <si>
    <t>8525.50.3035</t>
  </si>
  <si>
    <t>9033.00.2000</t>
  </si>
  <si>
    <t>8523.51.0000</t>
  </si>
  <si>
    <t>Lighting Accessories</t>
  </si>
  <si>
    <t>I-F02</t>
  </si>
  <si>
    <t>Fiber Optic Cable for X2™/HD2™</t>
  </si>
  <si>
    <t>I-BTD</t>
  </si>
  <si>
    <t>Base Tray Double Handle</t>
  </si>
  <si>
    <t>855712000318</t>
  </si>
  <si>
    <t>I-SP-HOLDER</t>
  </si>
  <si>
    <t>Smartphone Bracket for Video Light</t>
  </si>
  <si>
    <t>814002012042</t>
  </si>
  <si>
    <t>I-FA18</t>
  </si>
  <si>
    <t>Flex Arm 18cm</t>
  </si>
  <si>
    <t>None</t>
  </si>
  <si>
    <t>I-FA30</t>
  </si>
  <si>
    <t>Flex Arm 30cm</t>
  </si>
  <si>
    <t>I-SSFL</t>
  </si>
  <si>
    <t>Stayslim w/ Flex Arm</t>
  </si>
  <si>
    <t>I-SSMR</t>
  </si>
  <si>
    <t>Stay Slim Extra Arm</t>
  </si>
  <si>
    <t>Accessories</t>
  </si>
  <si>
    <t>I-AHMT-A</t>
  </si>
  <si>
    <t>Adhesive Helmet Mount</t>
  </si>
  <si>
    <t>Plastic Bag with Header Card</t>
  </si>
  <si>
    <t>I-HEL-MT2N</t>
  </si>
  <si>
    <t>Helmet Mount 2N</t>
  </si>
  <si>
    <t>I-HEL-MT3</t>
  </si>
  <si>
    <t>Helmet Mount 3</t>
  </si>
  <si>
    <t>I-ADMT-B</t>
  </si>
  <si>
    <t>Adhesive Mount</t>
  </si>
  <si>
    <t>I-FMMT</t>
  </si>
  <si>
    <t>Facemask Mount</t>
  </si>
  <si>
    <t>I-SP-PM</t>
  </si>
  <si>
    <t>Surf Board FCS Plug Mount</t>
  </si>
  <si>
    <t>I-SBM-A</t>
  </si>
  <si>
    <t>Surf Board Mount</t>
  </si>
  <si>
    <t>I-BBMT</t>
  </si>
  <si>
    <t>Body Board Mount</t>
  </si>
  <si>
    <t>I-CS-A</t>
  </si>
  <si>
    <t>Chest Strap</t>
  </si>
  <si>
    <t>I-RBMT</t>
  </si>
  <si>
    <t>Roll Bar Mount</t>
  </si>
  <si>
    <t>2.5-3.5</t>
  </si>
  <si>
    <t>I-FADM-S</t>
  </si>
  <si>
    <t>Flexible Adhesive Deck Mount - Short</t>
  </si>
  <si>
    <t>I-FADM-L</t>
  </si>
  <si>
    <t>Flexible Adhesive Deck Mount - Long</t>
  </si>
  <si>
    <t>I-SCM</t>
  </si>
  <si>
    <t>Suction Cup Mount</t>
  </si>
  <si>
    <t>I-HBM</t>
  </si>
  <si>
    <t>Bar-Pole Mount</t>
  </si>
  <si>
    <t>I-SGM</t>
  </si>
  <si>
    <t>Spear Gun Mount</t>
  </si>
  <si>
    <t>I-OSM</t>
  </si>
  <si>
    <t>Over the Shoulder Mount</t>
  </si>
  <si>
    <t>I-SP1FA</t>
  </si>
  <si>
    <t>Mini Flex Arm for SP1</t>
  </si>
  <si>
    <t>I-INTPOD</t>
  </si>
  <si>
    <t>Intova Pod</t>
  </si>
  <si>
    <t>I-SP1BT</t>
  </si>
  <si>
    <t>Sport HD Base Tray</t>
  </si>
  <si>
    <t>I-CUC</t>
  </si>
  <si>
    <t>Camera U Connector</t>
  </si>
  <si>
    <t>I-GMA-A</t>
  </si>
  <si>
    <t>GoPro Mount Adapter</t>
  </si>
  <si>
    <t>I-TMA-A</t>
  </si>
  <si>
    <t>Tripod Mount Adapter</t>
  </si>
  <si>
    <t>I-TTM</t>
  </si>
  <si>
    <t>Tripod to Tripod Mount</t>
  </si>
  <si>
    <t>I-CHS</t>
  </si>
  <si>
    <t>Camera Hand Strap</t>
  </si>
  <si>
    <t>I-FMG01</t>
  </si>
  <si>
    <t>Flating Multi Grip</t>
  </si>
  <si>
    <t>I-EXT-COM</t>
  </si>
  <si>
    <t xml:space="preserve">Compact Extension Pole </t>
  </si>
  <si>
    <t>10.7 to 32"</t>
  </si>
  <si>
    <t>I-EXT-P-O1A</t>
  </si>
  <si>
    <t>Extension Pole</t>
  </si>
  <si>
    <t>20.5 to 63"</t>
  </si>
  <si>
    <t>I-USB-CH</t>
  </si>
  <si>
    <t>Universal USB Charger &amp; AC Adapter</t>
  </si>
  <si>
    <t>I-CCK</t>
  </si>
  <si>
    <t>Camera Care Kit</t>
  </si>
  <si>
    <t>I-LS1</t>
  </si>
  <si>
    <t>Leak-Sorb</t>
  </si>
  <si>
    <t>I-SSTKR</t>
  </si>
  <si>
    <t>Silica Sticker 5 Pack</t>
  </si>
  <si>
    <t>I-IGRS-2T</t>
  </si>
  <si>
    <t>Silicone Grease</t>
  </si>
  <si>
    <t>I-WBWB</t>
  </si>
  <si>
    <t>White Balance Wristband</t>
  </si>
  <si>
    <t>I-ORT</t>
  </si>
  <si>
    <t>O-Ring Tool</t>
  </si>
  <si>
    <t>I-SP1-CB</t>
  </si>
  <si>
    <t>Sport HD Camera Bag</t>
  </si>
  <si>
    <t>I-SB19</t>
  </si>
  <si>
    <t>Snap Sights Mini Neoprene Bag</t>
  </si>
  <si>
    <t>Carded</t>
  </si>
  <si>
    <t>I-SB21</t>
  </si>
  <si>
    <t>Snap Sights Compact Neoprene Pouch</t>
  </si>
  <si>
    <t>I-SB22</t>
  </si>
  <si>
    <t>Snap Sights Small Neoprene Bag</t>
  </si>
  <si>
    <t>I-SB32</t>
  </si>
  <si>
    <t>Snap Sights Camera Cache</t>
  </si>
  <si>
    <t>Accessories for Legacy Cameras</t>
  </si>
  <si>
    <t>I-PX25</t>
  </si>
  <si>
    <t>Fiber Optic Cable (For ISS 2000)</t>
  </si>
  <si>
    <t>Edge X Fiber Optic Cable</t>
  </si>
  <si>
    <t>I-SP-HDE-BAT</t>
  </si>
  <si>
    <t>Sport HD Edge Battery</t>
  </si>
  <si>
    <t>I-IFRED-52</t>
  </si>
  <si>
    <t>Red Underwater Color Correction Filter</t>
  </si>
  <si>
    <t>I-SPUV</t>
  </si>
  <si>
    <t>UV Filter for SP1</t>
  </si>
  <si>
    <t>I-SP1-CUL</t>
  </si>
  <si>
    <t>Macro/Close-Up Lens for Sport Cameras</t>
  </si>
  <si>
    <t>I-IFRED-M67D</t>
  </si>
  <si>
    <t>Red Filter for SP1-CUL Sport HD Close Up Lens</t>
  </si>
  <si>
    <t>I-IFMAG-SP1</t>
  </si>
  <si>
    <t>Magenta Filter for Sport Pro Cameras</t>
  </si>
  <si>
    <t>I-SPND2</t>
  </si>
  <si>
    <t>Neutral Density Filter for Sport Pro Cameras</t>
  </si>
  <si>
    <t>I-IFRED-SP1</t>
  </si>
  <si>
    <t>Red Filter for Sport Pro Cameras</t>
  </si>
  <si>
    <t>Displays</t>
  </si>
  <si>
    <t>I-CAM DISPLAY</t>
  </si>
  <si>
    <t>Camera Display</t>
  </si>
  <si>
    <t>I-CAM DISPLAY 2</t>
  </si>
  <si>
    <t>Camera Display 2</t>
  </si>
  <si>
    <t>I-SSCS</t>
  </si>
  <si>
    <t>Clip Strip</t>
  </si>
  <si>
    <t>I-FD</t>
  </si>
  <si>
    <t>Floor Display with Video Monitor</t>
  </si>
  <si>
    <t>The long-awaited Garberg packs a heavy-duty 3.2mm thick 14C28N Sandvik Steel blade and is purposefully designed for bushcraft. This new full-tang model has been highly anticipated by knife fans around the world. With bushcraft in mind, Mora made both the pommel and the blade spine, fire-steel ready. The Garberg comes equipped with a leather sheath for carrying.</t>
  </si>
  <si>
    <t>Full-tang knife with a 3.8 mm thick stainless steel blade that stays sharp for a long time; Blade has a semi-matte finish.</t>
  </si>
  <si>
    <t>The 90° spine of the blade has been ground especially for use with a fire starter (sold separately).</t>
  </si>
  <si>
    <t>Scandi grind makes it easy to keep sharp.</t>
  </si>
  <si>
    <t>Symmetrical handle keeps the knife steady and comfortable in hand and allows use of the knife upside down.</t>
  </si>
  <si>
    <t>Hole in handle for fastening a lanyard or other gadget.</t>
  </si>
  <si>
    <t>The long-awaited Garberg packs a heavy-duty 3.2mm thick 14C28N Sandvik Steel blade and is purposefully designed for bushcraft. This new full-tang model has been highly anticipated by knife fans around the world. With bushcraft in mind, Mora made both the pommel and the blade spine, fire-steel ready. The Garberg comes with a multi-mount system to allow for easy attachment. The handle has a build-in click lock between the sheath and handle to prevent the knife from sliding out of the sheath.</t>
  </si>
  <si>
    <t>Handle with built-in click lock between sheath and handle prevents knife from falling out of sheath.</t>
  </si>
  <si>
    <t>M-12634</t>
  </si>
  <si>
    <t>M-12645</t>
  </si>
  <si>
    <t>Garberg  with Leather Sheath</t>
  </si>
  <si>
    <t>Garberg  with Multi-Mode Sheath</t>
  </si>
  <si>
    <t>Kansbol with Plastic Sheath</t>
  </si>
  <si>
    <t>Kansbol with Multi-Mount</t>
  </si>
  <si>
    <t>7391846017516</t>
  </si>
  <si>
    <t>7391846017530</t>
  </si>
  <si>
    <t>2 mm thick stainless steel blade stays sharp for a long time; Blade has a semi-matte finish.</t>
  </si>
  <si>
    <t>Morakniv Eldris is a pocket size fixed blade knife that will amaze you with its versatility. The knife has a precision blade and ground spine compatible with a fire starter. It’s compact design and all round convenience mean you’ll never leave the house without it, making your Morakniv a part of you. </t>
  </si>
  <si>
    <t>Morakniv Eldris is a pocket size fixed blade knife that will amaze you with its versatility. The knife has a precision blade and ground spine compatible with a fire starter, and the kit comes equipped with a firestarter as well as a multi-purpose paracord. It’s compact design and all-around convenience mean you’ll never leave the house without it, making your Morakniv a part of you.</t>
  </si>
  <si>
    <t>The neck-knife kit enables you to hang it around your neck with the multi-purpose paracord. There's also a secondary lock to make carry even safer. The minimalist fire starter is perfect for starting a warming fire or lighting a camping stove.</t>
  </si>
  <si>
    <t>The 90° spine of the blade has been ground for use with the included fire starter.</t>
  </si>
  <si>
    <t>Knife with a 2.5 mm thick stainless steel blade that stays sharp for a long time; Blade has a semi-matte finish.</t>
  </si>
  <si>
    <t>Comes with a multi-mount system that can mount to most any bag or strap.</t>
  </si>
  <si>
    <t>Handle with built-in click lock between sheath and handle prevents knife from falling out of sheath</t>
  </si>
  <si>
    <t>This Carving Kit includes your own carving knife and a wooden dala horse material. The kit is put together especially for your and your loved ones to discover the beauty of woodcarving.</t>
  </si>
  <si>
    <t>This kit includes the Morakniv 120 Knife with a 2.7 mm laminated carbon steel blade.</t>
  </si>
  <si>
    <t>There is a bandage included in case you cut your finger.</t>
  </si>
  <si>
    <t>This comes as a Gift Box, and is great for the holidays.</t>
  </si>
  <si>
    <t>The kit includes a Wooden Dala horse ready for carving.</t>
  </si>
  <si>
    <t>COSMIC</t>
  </si>
  <si>
    <t>NORTHERN</t>
  </si>
  <si>
    <t>HAWAIIAN</t>
  </si>
  <si>
    <t>1.0/8.0</t>
  </si>
  <si>
    <t>1080p, 30fps HD Video, 8MP still photo resolution</t>
  </si>
  <si>
    <t>Waterproof to 200' (60m)</t>
  </si>
  <si>
    <t>Built in 1.5: LCD screen</t>
  </si>
  <si>
    <t>The DUB Action Cam is a fun, new addition to Intova's historic line of high quality, waterproof action cameras. Capture incredible footage of your most epic and memorable activities with 1080p video resolution and a 8MP sensor. The compact, rugged housing is waterproof to 200 feet (60m). The built in rechargeable Li-ion battery provides up to 2 hours of battery life. MicroSD compatible up to 32GB (not included).</t>
  </si>
  <si>
    <t>Integrated extension arm elevates the light source from 12.5" to 26" (32 to 66cm).</t>
  </si>
  <si>
    <t>Increases usable light, reduces shadows &amp; eliminates LED eye-glare.</t>
  </si>
  <si>
    <t>USB Power Output.</t>
  </si>
  <si>
    <t>Norther Lights Mode (red, green and blue LED)</t>
  </si>
  <si>
    <t>Runs on 6 D cell batteries (not included).</t>
  </si>
  <si>
    <t>Runs on a rechargeable 6400mAh Li-ion battery.</t>
  </si>
  <si>
    <t>3 super bright LED's output up to 300 lumens.</t>
  </si>
  <si>
    <t>Moonlight (Blue LED) mode.</t>
  </si>
  <si>
    <t>Runs on 3 AA batteries (not included).</t>
  </si>
  <si>
    <t>Runs on a rechargeable 4400 mAh Li-ion battery.</t>
  </si>
  <si>
    <t>Style meets function when UCO intergrates our healdamps into Coal Headwear hats.</t>
  </si>
  <si>
    <t>Flexible Comfort-Fit hinge conforms to the hat and head.</t>
  </si>
  <si>
    <t>Cross-branded conversion patch securely holds headlamp.</t>
  </si>
  <si>
    <t xml:space="preserve">Removable headlamp assembly. </t>
  </si>
  <si>
    <t>Stylish, slouched beanie made of stitched acrylic.</t>
  </si>
  <si>
    <t>Ripstop cotton "bucket hat" design can be flipped up or worn down. Features an adjustable chin strap</t>
  </si>
  <si>
    <t>M-12872</t>
  </si>
  <si>
    <t>Kansbol Pinpack</t>
  </si>
  <si>
    <t>M-12551</t>
  </si>
  <si>
    <t>M-12862</t>
  </si>
  <si>
    <t>M-12863</t>
  </si>
  <si>
    <t>M-12865</t>
  </si>
  <si>
    <t>M-12866</t>
  </si>
  <si>
    <t>M-12867</t>
  </si>
  <si>
    <t>M-12868</t>
  </si>
  <si>
    <t>M-12869</t>
  </si>
  <si>
    <t>M-12870</t>
  </si>
  <si>
    <t>M-12864</t>
  </si>
  <si>
    <t>Eldris Knife Kit Pinpack</t>
  </si>
  <si>
    <t xml:space="preserve">Red </t>
  </si>
  <si>
    <t>7391846018650</t>
  </si>
  <si>
    <t>Eldris Knife Pinpack</t>
  </si>
  <si>
    <t>Morakniv Kansbol is the ultimate all-round knife. While in the woods, on a hike, hunting or at sea, it's the perfect partner. The knife is designed and made in Mora, Sweden, where we specially treat the Swedish stainless steel to enhance strength and long-lasting sharpness. The blade is profile shaped for added precision and the spine is ground so that it can be used with a fire starter. Combined with a firm, secure grip and superb feel this means that you'll never want to be without it, making your Morakniv a part of you.</t>
  </si>
  <si>
    <t>S-CB</t>
  </si>
  <si>
    <t>M-12816</t>
  </si>
  <si>
    <t>M-12817</t>
  </si>
  <si>
    <t>M-12818</t>
  </si>
  <si>
    <t>M-12819</t>
  </si>
  <si>
    <t>M-12820</t>
  </si>
  <si>
    <t>M-12821</t>
  </si>
  <si>
    <t>Woodcarving Hook No. 162S</t>
  </si>
  <si>
    <t>Woodcarving Hook No. 163S</t>
  </si>
  <si>
    <t>Woodcarving Hook No. 164S</t>
  </si>
  <si>
    <t>7391846018445</t>
  </si>
  <si>
    <t>7391846018452</t>
  </si>
  <si>
    <t>7391846018469</t>
  </si>
  <si>
    <t>7391846018476</t>
  </si>
  <si>
    <t>7391846018483</t>
  </si>
  <si>
    <t>7391846018490</t>
  </si>
  <si>
    <t>The Mini Flatpack portable grill &amp; firepit serves 2-3 people and packs compact for easy transportation to the beach, campsite or barbeque.  It is Stainless steel construction for durability and easy maintenance.  It has a quick 30 second set-up and you are ready to go.  All you need to do to set up this grill is unfold it and place the grates on top.  Has a stable base for safe grilling.  The sides of grill serve as wind break for grilling in windy conditions and it can be used as a firepit to help leave no trace when you are done.  Dishwasher safe. Weight is 2 lbs and grilling area is 9" x 6.75".  Packed dimensions are 9.5" x 8" x 1.5"  Warranty is 1 year.</t>
  </si>
  <si>
    <t>Cutting Board and Collander - Lime</t>
  </si>
  <si>
    <t>Cutting Board and Collander - Fuschia</t>
  </si>
  <si>
    <t>Cutting Board and Collander - Cyan</t>
  </si>
  <si>
    <t>Cutting Board and Collander - Green</t>
  </si>
  <si>
    <t>Cutting Board and Collander - Grey</t>
  </si>
  <si>
    <t>Use as a strainer</t>
  </si>
  <si>
    <t>Use as a compact cuttingboard</t>
  </si>
  <si>
    <t>Fits inside a Mealkit or LunchKit</t>
  </si>
  <si>
    <t>BPA-free polypropylene</t>
  </si>
  <si>
    <t>Easy to clean</t>
  </si>
  <si>
    <t>The Cuttingboard plus is a combination cutting board and strainer that allows you to strain your food and safely chop vegetables, meat, and fish. Fits inside a Mealkit or LunchKit.  Stain and odor resistant.  Microwave and Dishwasher Safe.  Floats.  BPA-free Polypropylene construction.  Made in Sweden.  Size 6.3 x 5.9 x .16" (150mm x 160mm x 4mm) and weighs 1.6 oz (45g) 1 year warranty.</t>
  </si>
  <si>
    <t>Made with Sandvik 12C27 Stainless Steel</t>
  </si>
  <si>
    <t>Hook knife for spoon carving. Single-edged. Sandvik 12C27 Stainless Steel blade. Oiled birchwood handle. Blade length 52 mm. Internal radius 12 mm. Comes without a sheath.</t>
  </si>
  <si>
    <t>Hook knife for spoon carving with Sandvik 12C27 Stainless Steel Blade</t>
  </si>
  <si>
    <t>Our woodcarving knives are well known and appreciated precision tools that are used by wood carvers in Nusnäs, for example. This is where one of Sweden’s most recognized national symbols – the Dala Horse – is carved. Hook knife for spoon carving. Hook knife for spoon carving. Double-edged. Sandvik 12C27 Stainless Steel blade. Oiled birchwood handle. Blade length 61 mm.
Internal radius 12 mm.</t>
  </si>
  <si>
    <t>Our woodcarving knives are well known and appreciated precision tools that are used by wood carvers in Nusnäs, for example. This is where one of Sweden’s most recognized national symbols – the Dala Horse – is carved. Hook knife for spoon carving. Double-edged. Sandvik 12C27 Stainless Steel blade. Oiled birchwood handle. Blade length 52 mm. Internal radius 15 mm. Comes without a sheath.</t>
  </si>
  <si>
    <t>M-12658</t>
  </si>
  <si>
    <t>Woodcarving Basic Fixed Blade Knife with Stainless Steel Blade</t>
  </si>
  <si>
    <t>7391846017455</t>
  </si>
  <si>
    <t>Knife with a thin Sandvik 12C27 Stainless Steel blade</t>
  </si>
  <si>
    <t>Knife with a thin Carbons Steel blade</t>
  </si>
  <si>
    <t>Blade Thickness: 2.0mm, Blade Length: 75mm, Total Length: 192mm, Net Weight: 0.0800kg</t>
  </si>
  <si>
    <t>Our woodcarving knives are well known and appreciated precision tools that are used by wood carvers in Nusnäs, for example. This is where one of Sweden’s most recognized national symbols – the Dala Horse – is carved. Woodcarving knive with a thin blade of Sandvik 12C27 Stainless Steel. Plastic handle. Plastic sheath.</t>
  </si>
  <si>
    <t>Archive</t>
  </si>
  <si>
    <t>2 USB Power Outputs.</t>
  </si>
  <si>
    <t>Runs on a rechargeable 8800mAh Li-ion battery.</t>
  </si>
  <si>
    <t>The Sitka+ Lantern is elevating outdoor lighting into the future. The Sitka+ Lantern features an integrated extension arm that elevates the light source from 12.5” to 26”, and allows for up to 4 times as much usable light while reducing LED eye-glare. The simple adjustment infinity dial allows for fine tuning of light up to 500 lumens, and features a real wood inlay. When turned counterclockwise, the Sitka+ will enter into Northern Lights Color mode, which will cycle through the ROYGBIV colors for a lively glow. The Sitka+ features two USB power outputs, and runs on a rechargeable 8800mAh Lithium-Ion battery.</t>
  </si>
  <si>
    <t>M-12884</t>
  </si>
  <si>
    <t>M-12771</t>
  </si>
  <si>
    <t>E-CS985ST</t>
  </si>
  <si>
    <t>CS985ST Stainless Steel Stove &amp; Trekking Cookset</t>
  </si>
  <si>
    <t>4260149871350</t>
  </si>
  <si>
    <t xml:space="preserve">Constructed from high-quality stainless steel. </t>
  </si>
  <si>
    <t>Dimensions-packed: 5.8" x 5.0" (14.7 cm x 12.8 cm); Weight: 18.7 oz. (530 g)</t>
  </si>
  <si>
    <t>This lightweight, self-contained complete cooking system is constructed from high-quality stainless steel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t>
  </si>
  <si>
    <t>M-12888</t>
  </si>
  <si>
    <t>Eldris Accessory Kit</t>
  </si>
  <si>
    <t>M-12287</t>
  </si>
  <si>
    <t>Orange birchwood handle.</t>
  </si>
  <si>
    <t>Assortment</t>
  </si>
  <si>
    <t>Color assortment includes red, green, and black.</t>
  </si>
  <si>
    <t>M-12798</t>
  </si>
  <si>
    <t>Utility Knife</t>
  </si>
  <si>
    <t>7391846018599</t>
  </si>
  <si>
    <t>NEW</t>
  </si>
  <si>
    <t>M-12991</t>
  </si>
  <si>
    <t>Rookie Knife</t>
  </si>
  <si>
    <t>The Rookie has an even more rounded safety tip, and features a finger guard.</t>
  </si>
  <si>
    <t>Wooden Handle.</t>
  </si>
  <si>
    <t>Wooden Handle</t>
  </si>
  <si>
    <t xml:space="preserve">Black polymer sheath keeps knife in place. </t>
  </si>
  <si>
    <t>The small, spindle handle is a good size for children's woodcarving.</t>
  </si>
  <si>
    <t>The Rookie knife is a new sibling to the popular Morakniv Scout knives. This new model has an even more rounded safety tip to increase the safety even further. Together with the finger guard – that prevents the fingers from slipping onto the blade – the Rookie is a suitable entry knife for children’s woodcarving. The small, spindle shaped handle is a good size for children’s hands and the natural wood is extra nice to hold and work with. A black polymer sheath keeps both the knife and its user safe when the knife’s not in use.</t>
  </si>
  <si>
    <t>Red plastic sheath with belt clip.</t>
  </si>
  <si>
    <t>M-1-0144</t>
  </si>
  <si>
    <t>Sticking Knife 144 PSG</t>
  </si>
  <si>
    <t>MT-SF8P</t>
  </si>
  <si>
    <t>Sweetfire Strikeable Fire Starter 8Pack</t>
  </si>
  <si>
    <t>The Morakniv Utility Knife features a shorter 1.7-inch fixed blade made of Swedish stainless steel.  It is the perfect choice when a standard craft blade is too long.  The shorter blade without a traditional tip makes this knife safer and easier to use for smaller tasks covering a wide range of applications.  The handle is covered with a softer polymner to make sure there is always a secure grip.  The knife has a short sheath adapted to blade size and a belt clip that is also mountable to other craft knives with the button lock system.</t>
  </si>
  <si>
    <t>Shorter 1.7-inch blade of Swedish Stainless Steel</t>
  </si>
  <si>
    <t xml:space="preserve">Blade Thickness: 0.08 in (0.2 cm), Blade Length: 1.6 in (4.1 cm), Total Length: 6.3 in (16 cm), Net Weight: 3.3 oz (94 g) </t>
  </si>
  <si>
    <t>TPE/PP Polymer Sheath</t>
  </si>
  <si>
    <t>Limited lifetime manufacturer’s warranty</t>
  </si>
  <si>
    <t>M-10691-LIME</t>
  </si>
  <si>
    <t>M-10691-RED</t>
  </si>
  <si>
    <t>M-10691</t>
  </si>
  <si>
    <t>Mushroom Knife Bulk Assortment</t>
  </si>
  <si>
    <t>Mushroom Knife Bulk Lime</t>
  </si>
  <si>
    <t>Mushroom Knife Bulk Red</t>
  </si>
  <si>
    <t xml:space="preserve">Lime </t>
  </si>
  <si>
    <t>This includes the lime colorway only.</t>
  </si>
  <si>
    <t>This includes the red colorway only.</t>
  </si>
  <si>
    <t>Ergonomically designed lime handle is comfortable to hold.</t>
  </si>
  <si>
    <t>Ergonomically designed red handle is comfortable to hold.</t>
  </si>
  <si>
    <t>M-12975</t>
  </si>
  <si>
    <t>M-12772</t>
  </si>
  <si>
    <t>Basic 511 Lime - 2 Tone Handle</t>
  </si>
  <si>
    <t>Basic 511 Red - 2 Tone Handle</t>
  </si>
  <si>
    <t>Lime/Grey</t>
  </si>
  <si>
    <t>Red/Grey</t>
  </si>
  <si>
    <t xml:space="preserve">The Morakniv Craftline Basic 511 Utility Knife features a 3.6-inch fixed blade made of high carbon steel that achieves high hardness, sharpens easily and is exceptionally tough. High carbon steels are preferred in applications that demand durability and frequent regrinding. The material is harder than stainless steel, allowing it to hold a sharper and more durable acute edge. An impact-resistant handle with a larger shape fits comfortably in the hand. A finger guard on the handle provides additional safety. Included with the knife is a hard plastic Combi-Sheath, which provides a quick-connect feature for attaching a second knife and sheath. Morakniv has been manufacturing the highest-quality knives in Mora, Sweden since 1891. Mora Craftline Series include sharp, durable, high-quality utility knives suitable for construction, trade and industrial professionals. Limited lifetime manufacturer’s warranty. </t>
  </si>
  <si>
    <t>Fixed blade utility knife with a carbon steel blade.</t>
  </si>
  <si>
    <t xml:space="preserve">Blade Thickness: 0.08 in (0.2 cm), Blade Length: 3.6 in (9.1 cm), Total Length: 8.25 in (20.9 cm), Net Weight: 3.9 oz (110 g) </t>
  </si>
  <si>
    <t>Ergonomic handle of TPE rubber provides optimum grip</t>
  </si>
  <si>
    <t>Hard plastic Combi-Sheath allows for the connection of a second knife and sheath</t>
  </si>
  <si>
    <t>Vintage</t>
  </si>
  <si>
    <t>Camo</t>
  </si>
  <si>
    <t>Geometric</t>
  </si>
  <si>
    <t>RefGrey</t>
  </si>
  <si>
    <t>Pineapple</t>
  </si>
  <si>
    <t>Sporty</t>
  </si>
  <si>
    <t>HL-AIR</t>
  </si>
  <si>
    <t>Black Mesh</t>
  </si>
  <si>
    <t>Pineapple Party</t>
  </si>
  <si>
    <t>Sporty Stripe</t>
  </si>
  <si>
    <t>Reflective Grey</t>
  </si>
  <si>
    <t>Vintage Parks</t>
  </si>
  <si>
    <t>Vapor+ Rechargeable Headlamp</t>
  </si>
  <si>
    <t>X+ Rechargeable Headlamp</t>
  </si>
  <si>
    <t>Vapor Headlamp</t>
  </si>
  <si>
    <t>Air Headlamp</t>
  </si>
  <si>
    <t>X Headlamp</t>
  </si>
  <si>
    <t>HL-VAPOR-LI</t>
  </si>
  <si>
    <t>HL-VAPOR</t>
  </si>
  <si>
    <t>HL-X-LI </t>
  </si>
  <si>
    <t>HL-X</t>
  </si>
  <si>
    <t>The most comfortable head strap design on the market, the X-ACT Fit™ system provides micro-adjustment for a perfect, custom fit.</t>
  </si>
  <si>
    <t>Lighting settings include flood, spot, and red night vision modes.</t>
  </si>
  <si>
    <t>Comes with a protective case for travel.</t>
  </si>
  <si>
    <t>Powered by 3 AAA batteries within a compact battery pack.</t>
  </si>
  <si>
    <t>Comes with a protective case for travel</t>
  </si>
  <si>
    <t>MT-FSKIT</t>
  </si>
  <si>
    <t>Stormproof Sweetfire Points 20 Pack</t>
  </si>
  <si>
    <t>Stormproof Sweetfire Points 8 Pack</t>
  </si>
  <si>
    <t>MT-SFT</t>
  </si>
  <si>
    <t>MT-SM-SF8P</t>
  </si>
  <si>
    <t>MT-SM-SFP</t>
  </si>
  <si>
    <t>054269002558</t>
  </si>
  <si>
    <t>054269002565</t>
  </si>
  <si>
    <t>I-MT-ADH</t>
  </si>
  <si>
    <t>I-FLOAT</t>
  </si>
  <si>
    <t>I-FMG</t>
  </si>
  <si>
    <t>I-EXT-POD</t>
  </si>
  <si>
    <t>I-EXT-LG</t>
  </si>
  <si>
    <t>I-EXT-COMP</t>
  </si>
  <si>
    <t xml:space="preserve">I-MT-BP             </t>
  </si>
  <si>
    <t>Bar/Pole Mount</t>
  </si>
  <si>
    <t>Adhesive Mount Pack</t>
  </si>
  <si>
    <t>Camera Floatation Strap</t>
  </si>
  <si>
    <t>Floating Multi Grip</t>
  </si>
  <si>
    <t>Large Extension Pole</t>
  </si>
  <si>
    <t>Compact Extension Pole</t>
  </si>
  <si>
    <t>I-MT-SUCTION</t>
  </si>
  <si>
    <t xml:space="preserve">I-MT-FM </t>
  </si>
  <si>
    <t>Strikeable tip, can be used with striker on box,
eliminating need for matches.</t>
  </si>
  <si>
    <t>7391846016052</t>
  </si>
  <si>
    <t>M-1-1502</t>
  </si>
  <si>
    <t>Mushroom Knife Bulk Black</t>
  </si>
  <si>
    <t>This includes the black colorway only.</t>
  </si>
  <si>
    <t>I-360</t>
  </si>
  <si>
    <t>I-X4K</t>
  </si>
  <si>
    <t>X4K Marine Grade Action Camera</t>
  </si>
  <si>
    <t xml:space="preserve">Magenta Filter </t>
  </si>
  <si>
    <t xml:space="preserve">Red Filter </t>
  </si>
  <si>
    <t xml:space="preserve">Close Up Lens </t>
  </si>
  <si>
    <t xml:space="preserve">Polarized Filter </t>
  </si>
  <si>
    <t>Pedco Mounts</t>
  </si>
  <si>
    <t>Peggable Reusable Bag</t>
  </si>
  <si>
    <t>Axis Marine Grade Action Camera</t>
  </si>
  <si>
    <t>4Kp 30 fps HD Video</t>
  </si>
  <si>
    <t>330’ depth rated</t>
  </si>
  <si>
    <t>2” LCD monitor</t>
  </si>
  <si>
    <t>Wi-Fi enabled</t>
  </si>
  <si>
    <t>Built-In 100 lumen Video Light &amp; Flash</t>
  </si>
  <si>
    <t>Dual Lens - 360° Camera</t>
  </si>
  <si>
    <t>2K 30 fps HD Video</t>
  </si>
  <si>
    <t>200' depth rated</t>
  </si>
  <si>
    <t>Water-resistant RF dive remote control</t>
  </si>
  <si>
    <t>Wwater-resistant RF dive remote control</t>
  </si>
  <si>
    <t>Removable lens covers</t>
  </si>
  <si>
    <t>Built-in rechargeable Li-ion battery</t>
  </si>
  <si>
    <t>Removable rechargeable Li-ion battery</t>
  </si>
  <si>
    <t>CS585HA Stainless Steel Solid Fuel Stove &amp; Cookset</t>
  </si>
  <si>
    <t>Firestarting Kit</t>
  </si>
  <si>
    <t>Behemoth Stormproof Sweetfire</t>
  </si>
  <si>
    <t>MT-BEHEMOTH</t>
  </si>
  <si>
    <t>Brand</t>
  </si>
  <si>
    <t>Category</t>
  </si>
  <si>
    <t>Part #</t>
  </si>
  <si>
    <t xml:space="preserve">Variant </t>
  </si>
  <si>
    <t>UPC / EAN</t>
  </si>
  <si>
    <t>Wholesale Price</t>
  </si>
  <si>
    <t>Map</t>
  </si>
  <si>
    <t>Sugg. Retail</t>
  </si>
  <si>
    <t>Case pack</t>
  </si>
  <si>
    <t>Quantity</t>
  </si>
  <si>
    <t>Total</t>
  </si>
  <si>
    <t>Mini Lantern - Aluminum</t>
  </si>
  <si>
    <t>6, 25, 50</t>
  </si>
  <si>
    <t>Mini Lantern - Painted</t>
  </si>
  <si>
    <t>Mini Lantern - Anodized</t>
  </si>
  <si>
    <t>6, 36</t>
  </si>
  <si>
    <t>Original Candle Lantern Kit</t>
  </si>
  <si>
    <t>6, 24</t>
  </si>
  <si>
    <t>Original Lantern - Painted Wild</t>
  </si>
  <si>
    <t>Original Lantern - Anodized</t>
  </si>
  <si>
    <t>Lantern, aluminum, Standard</t>
  </si>
  <si>
    <t>6, 30, 60</t>
  </si>
  <si>
    <t>Original Lantern - Painted</t>
  </si>
  <si>
    <t>Lantern+LED - Aluminum</t>
  </si>
  <si>
    <t>Candle Lantern Brass - Standard</t>
  </si>
  <si>
    <t>Original Candle Lantern Value Pack</t>
  </si>
  <si>
    <t>Candlelier - Painted</t>
  </si>
  <si>
    <t>9, 18</t>
  </si>
  <si>
    <t>Candlelier Lantern - Aluminum</t>
  </si>
  <si>
    <t>Storage</t>
  </si>
  <si>
    <t>Neoprene Cocoon for Candlelier</t>
  </si>
  <si>
    <t>Neoprene Cocoon for lanterns</t>
  </si>
  <si>
    <t>L-BAGP-FLAT</t>
  </si>
  <si>
    <t>Pile bag, Flat Bottom</t>
  </si>
  <si>
    <t>054269100551</t>
  </si>
  <si>
    <t>Candles, BULK</t>
  </si>
  <si>
    <t>Candles - package of 3</t>
  </si>
  <si>
    <t>12, 50, 100</t>
  </si>
  <si>
    <t>Beeswax Candles 3-pack</t>
  </si>
  <si>
    <t>6, 50</t>
  </si>
  <si>
    <t>Citronella Candles - pkg of 3</t>
  </si>
  <si>
    <t>Tealight Candles - 6-pack - Mini</t>
  </si>
  <si>
    <t>12,50</t>
  </si>
  <si>
    <t xml:space="preserve">Citronella Tealight Candles - 6-pack </t>
  </si>
  <si>
    <t xml:space="preserve">Beeswax Tealight Candles - 3-pack </t>
  </si>
  <si>
    <t>Glass</t>
  </si>
  <si>
    <t>Original Repl. Glass, UCO STD</t>
  </si>
  <si>
    <t>Candlelier, Glass repl. in box</t>
  </si>
  <si>
    <t>Lantern Parts</t>
  </si>
  <si>
    <t>Candlelier side reflector</t>
  </si>
  <si>
    <t>Original Side Reflector</t>
  </si>
  <si>
    <t>Orig/Mini Pac-Flat Reflector</t>
  </si>
  <si>
    <t>Original Lantern Repair Kit</t>
  </si>
  <si>
    <t>Headlamp</t>
  </si>
  <si>
    <t>Hundred Headlamp, Black Bandana</t>
  </si>
  <si>
    <t>054269001964</t>
  </si>
  <si>
    <t>3, 24</t>
  </si>
  <si>
    <t>Hundred Headlamp, Cosmic</t>
  </si>
  <si>
    <t>054269002022</t>
  </si>
  <si>
    <t>Hundred Headlamp, Grey Chambray</t>
  </si>
  <si>
    <t>054269002039</t>
  </si>
  <si>
    <t>Hundred Headlamp, Hawaiian Nights</t>
  </si>
  <si>
    <t>HAWAII</t>
  </si>
  <si>
    <t>054269002046</t>
  </si>
  <si>
    <t>Hundred Headlamp, Northern Lights</t>
  </si>
  <si>
    <t>054269002053</t>
  </si>
  <si>
    <t>Nightcap Bucket w/Headlamp</t>
  </si>
  <si>
    <t>L</t>
  </si>
  <si>
    <t>M</t>
  </si>
  <si>
    <t xml:space="preserve">Nightcap Knit w/Headlamp </t>
  </si>
  <si>
    <t>054269002336</t>
  </si>
  <si>
    <t>Air Headlamp, Black Mesh</t>
  </si>
  <si>
    <t>054269002688</t>
  </si>
  <si>
    <t>Air Headlamp, Camoflage</t>
  </si>
  <si>
    <t>CAMO</t>
  </si>
  <si>
    <t>054269002695</t>
  </si>
  <si>
    <t>Air Headlamp, Pineapple Party</t>
  </si>
  <si>
    <t>PINEAPPLE</t>
  </si>
  <si>
    <t>054269002701</t>
  </si>
  <si>
    <t>Air Headlamp, Reflective Grey</t>
  </si>
  <si>
    <t>REFGREY</t>
  </si>
  <si>
    <t>054269002718</t>
  </si>
  <si>
    <t>Air Headlamp, Sporty Stripe</t>
  </si>
  <si>
    <t>SPORTY</t>
  </si>
  <si>
    <t>054269002725</t>
  </si>
  <si>
    <t>Vapor Headlamp, Black Mesh</t>
  </si>
  <si>
    <t>054269002589</t>
  </si>
  <si>
    <t>Vapor Headlamp, Camoflage</t>
  </si>
  <si>
    <t>054269002596</t>
  </si>
  <si>
    <t>Vapor Headlamp, Geometric</t>
  </si>
  <si>
    <t>GEOMETRIC</t>
  </si>
  <si>
    <t>054269002602</t>
  </si>
  <si>
    <t>Vapor Headlamp, Reflective Grey</t>
  </si>
  <si>
    <t>Refgrey</t>
  </si>
  <si>
    <t>054269002619</t>
  </si>
  <si>
    <t>Vapor Headlamp, Vintage Parks</t>
  </si>
  <si>
    <t>054269002626</t>
  </si>
  <si>
    <t>Vapor+ Rechargeable, Black Mesh</t>
  </si>
  <si>
    <t>054269002633</t>
  </si>
  <si>
    <t>Vapor+ Rechargeable, Camoflage</t>
  </si>
  <si>
    <t>054269002640</t>
  </si>
  <si>
    <t>Vapor+ Rechargeable, Geometric</t>
  </si>
  <si>
    <t>054269002657</t>
  </si>
  <si>
    <t>Vapor+ Rechargeable, Reflective Grey</t>
  </si>
  <si>
    <t>054269002664</t>
  </si>
  <si>
    <t>Vapor+ Rechargeable, Vintage Parks</t>
  </si>
  <si>
    <t>VINTAGE</t>
  </si>
  <si>
    <t>054269002671</t>
  </si>
  <si>
    <t>HL-X-LI</t>
  </si>
  <si>
    <t>054269002572</t>
  </si>
  <si>
    <t>A45 LED Headlamp</t>
  </si>
  <si>
    <t>A120 LED Headlamp</t>
  </si>
  <si>
    <t>X120 Headlamp</t>
  </si>
  <si>
    <t>X-120R X-ACT Fit Headlamp™</t>
  </si>
  <si>
    <t>LED Lanterns</t>
  </si>
  <si>
    <t>Alki LED Lantern</t>
  </si>
  <si>
    <t>6, 72</t>
  </si>
  <si>
    <t>Clarus 2 LED Lantern, Black</t>
  </si>
  <si>
    <t>4, 16</t>
  </si>
  <si>
    <t>Clarus 2 LED Lantern, Blue</t>
  </si>
  <si>
    <t>Clarus 2 LED Lantern, Orange</t>
  </si>
  <si>
    <t>Hyak Lantern</t>
  </si>
  <si>
    <t>Leschi LED Lantern, Aqua Gold</t>
  </si>
  <si>
    <t>AQGLD</t>
  </si>
  <si>
    <t>Leschi LED Lantern, Red</t>
  </si>
  <si>
    <t>Leschi LED Lantern, Silver Black</t>
  </si>
  <si>
    <t>SLVBLK</t>
  </si>
  <si>
    <t>Pika LED Lantern</t>
  </si>
  <si>
    <t>Rhody LED Lantern</t>
  </si>
  <si>
    <t>054269002251</t>
  </si>
  <si>
    <t>Rhody+ Rechargable Lantern</t>
  </si>
  <si>
    <t>054269002275</t>
  </si>
  <si>
    <t>Madrona Tabletop Lantern</t>
  </si>
  <si>
    <t xml:space="preserve">Madrona+ Rechargable Tabletop Lantern </t>
  </si>
  <si>
    <t>054269002244</t>
  </si>
  <si>
    <t xml:space="preserve">Sitka Lantern </t>
  </si>
  <si>
    <t>054269002220</t>
  </si>
  <si>
    <t>2, 4</t>
  </si>
  <si>
    <t>Sitka+ Rechargable Tabletop Lantern</t>
  </si>
  <si>
    <t>054269002237</t>
  </si>
  <si>
    <t>StakeLight 2-Pack</t>
  </si>
  <si>
    <t>12, 48</t>
  </si>
  <si>
    <t>StakeLight 2-Pk, RGB</t>
  </si>
  <si>
    <t>StakeLight 4-Pack</t>
  </si>
  <si>
    <t>Tetra LED Lantern</t>
  </si>
  <si>
    <t>Camp Cooking</t>
  </si>
  <si>
    <t>Grilliput Portable Grill (Duo)</t>
  </si>
  <si>
    <t>Grilliput Portable Grill XL</t>
  </si>
  <si>
    <t>Portable FirePit</t>
  </si>
  <si>
    <t>Portable FirePit XL</t>
  </si>
  <si>
    <t>UCO Flatpack Grill and Firepit</t>
  </si>
  <si>
    <t>Mini FlatPack Grill</t>
  </si>
  <si>
    <t>054269002329</t>
  </si>
  <si>
    <t>Fire Starting</t>
  </si>
  <si>
    <t>FireFly Match Case - No Matches</t>
  </si>
  <si>
    <t>054269002008</t>
  </si>
  <si>
    <t>TURQUOISE</t>
  </si>
  <si>
    <t>054269001995</t>
  </si>
  <si>
    <t>FireFly Match Case + 25 Matches</t>
  </si>
  <si>
    <t>054269001988</t>
  </si>
  <si>
    <t>054269001858</t>
  </si>
  <si>
    <t>Match Case</t>
  </si>
  <si>
    <t>054269002473</t>
  </si>
  <si>
    <t>12, 360</t>
  </si>
  <si>
    <t xml:space="preserve">StormProof Survival Kit </t>
  </si>
  <si>
    <t>12, 288</t>
  </si>
  <si>
    <t>Strike Anywhere Matches, 10pk</t>
  </si>
  <si>
    <t>Strike On Box Matches</t>
  </si>
  <si>
    <t>Sweetfire Tinder Tabs, 24 pk</t>
  </si>
  <si>
    <t>054269002541</t>
  </si>
  <si>
    <t>SweetFire Points - 8 pack</t>
  </si>
  <si>
    <t>054269002428</t>
  </si>
  <si>
    <t>SweetFire Tinder Match Points - 20 pk</t>
  </si>
  <si>
    <t>054269002169</t>
  </si>
  <si>
    <t>12, 144</t>
  </si>
  <si>
    <t>StormProof SweetFire Tinder - 8 pk</t>
  </si>
  <si>
    <t>054269002534</t>
  </si>
  <si>
    <t xml:space="preserve">StormProof SweetFire Tinder - 20 pk </t>
  </si>
  <si>
    <t>054269002527</t>
  </si>
  <si>
    <t>UCO Behemoth Stormproof Sweetfire</t>
  </si>
  <si>
    <t>054269002831</t>
  </si>
  <si>
    <t>Stormproof Matches, 1-pack</t>
  </si>
  <si>
    <t>Stormproof Matches, 2-pack</t>
  </si>
  <si>
    <t>12, 180</t>
  </si>
  <si>
    <t>MT-SM-BULK</t>
  </si>
  <si>
    <t>Stormproof matches, bulk</t>
  </si>
  <si>
    <t>30, 360</t>
  </si>
  <si>
    <t>Match Container w/25 Matches</t>
  </si>
  <si>
    <t>12, 240</t>
  </si>
  <si>
    <t>10 survival matches &amp; striker</t>
  </si>
  <si>
    <t>50, 1000</t>
  </si>
  <si>
    <t>Survival Matches</t>
  </si>
  <si>
    <t>054269002497</t>
  </si>
  <si>
    <t xml:space="preserve">SM Torch &amp; Utility Tape </t>
  </si>
  <si>
    <t>SM Torch + Bottle Opener</t>
  </si>
  <si>
    <t>Titan Stormproof Matches(25pk)</t>
  </si>
  <si>
    <t>Titan Stormproof Match Kit</t>
  </si>
  <si>
    <t>Waterproof Matches, 4-pack</t>
  </si>
  <si>
    <t>Ice Cream Ball</t>
  </si>
  <si>
    <t>Flavor Fountain 4-Pack</t>
  </si>
  <si>
    <t>12, 44</t>
  </si>
  <si>
    <t>INTOVA</t>
  </si>
  <si>
    <t>Video Cameras</t>
  </si>
  <si>
    <t>Duo Action Camera</t>
  </si>
  <si>
    <t>054269001827</t>
  </si>
  <si>
    <t>054269001926</t>
  </si>
  <si>
    <t>054269001810</t>
  </si>
  <si>
    <t>054269001834</t>
  </si>
  <si>
    <t>Duo Action Camera w/Display - Asst</t>
  </si>
  <si>
    <t>054269002060</t>
  </si>
  <si>
    <t>Dub Action Camera</t>
  </si>
  <si>
    <t>054269002282</t>
  </si>
  <si>
    <t>054269002381</t>
  </si>
  <si>
    <t>054269002176</t>
  </si>
  <si>
    <t>HD2 Marine Grade Action Camera</t>
  </si>
  <si>
    <t>054269001902</t>
  </si>
  <si>
    <t>3, 12</t>
  </si>
  <si>
    <t>X2 Marine Grade Action Camera</t>
  </si>
  <si>
    <t>054269001919</t>
  </si>
  <si>
    <t>054269002466</t>
  </si>
  <si>
    <t>I-AXIS</t>
  </si>
  <si>
    <t>360 Marine Grade Action Camera</t>
  </si>
  <si>
    <t>054269002824</t>
  </si>
  <si>
    <t>Film Cameras</t>
  </si>
  <si>
    <t>Reusable Waterproof Cam w/flash</t>
  </si>
  <si>
    <t>724937050012</t>
  </si>
  <si>
    <t>Clamps &amp; Mounts</t>
  </si>
  <si>
    <t>Tripod Mount Adapter rev2</t>
  </si>
  <si>
    <t>814002012264</t>
  </si>
  <si>
    <t>Tripod to tripod mount</t>
  </si>
  <si>
    <t>814002011144</t>
  </si>
  <si>
    <t>Magnetic UltraMount</t>
  </si>
  <si>
    <t>016869040200</t>
  </si>
  <si>
    <t>UltraClamp</t>
  </si>
  <si>
    <t>6, 48</t>
  </si>
  <si>
    <t>UltraClamp 360</t>
  </si>
  <si>
    <t>UltraClamp 2.5, pkgd</t>
  </si>
  <si>
    <t>UltraClamp 4.0, pkgd</t>
  </si>
  <si>
    <t>UltraMount 360</t>
  </si>
  <si>
    <t>Ultramount</t>
  </si>
  <si>
    <t>054269002732</t>
  </si>
  <si>
    <t>054269002749</t>
  </si>
  <si>
    <t>054269002756</t>
  </si>
  <si>
    <t>054269002763</t>
  </si>
  <si>
    <t>054269002770</t>
  </si>
  <si>
    <t>054269002787</t>
  </si>
  <si>
    <t>I-MT-BP</t>
  </si>
  <si>
    <t>054269002794</t>
  </si>
  <si>
    <t>054269002800</t>
  </si>
  <si>
    <t>I-MT-FM</t>
  </si>
  <si>
    <t>054269002817</t>
  </si>
  <si>
    <t>814002011335</t>
  </si>
  <si>
    <t>Base Tray for Sport HD</t>
  </si>
  <si>
    <t>814002011236</t>
  </si>
  <si>
    <t>Sport HD Close up lens</t>
  </si>
  <si>
    <t>814002011342</t>
  </si>
  <si>
    <t>814002011311</t>
  </si>
  <si>
    <t>Compact extension pole</t>
  </si>
  <si>
    <t>814002011991</t>
  </si>
  <si>
    <t>I-EXT-P-01A</t>
  </si>
  <si>
    <t>INTOVA Extension Pole - v2</t>
  </si>
  <si>
    <t>814002012332</t>
  </si>
  <si>
    <t>18 cm Flex Arm</t>
  </si>
  <si>
    <t>855712000424</t>
  </si>
  <si>
    <t>30 cm Flex Arm</t>
  </si>
  <si>
    <t>855712000431</t>
  </si>
  <si>
    <t>814002011632</t>
  </si>
  <si>
    <t>814002011441</t>
  </si>
  <si>
    <t>Adhesive Helmet Mount rev2</t>
  </si>
  <si>
    <t>814002012288</t>
  </si>
  <si>
    <t>814002011502</t>
  </si>
  <si>
    <t>814002011137</t>
  </si>
  <si>
    <t>Chest Mount - Twist lock</t>
  </si>
  <si>
    <t>814002010925</t>
  </si>
  <si>
    <t>Surfboard Mount</t>
  </si>
  <si>
    <t>814002010918</t>
  </si>
  <si>
    <t>GP Mount Adapter rev2</t>
  </si>
  <si>
    <t>814002012257</t>
  </si>
  <si>
    <t>814002011014</t>
  </si>
  <si>
    <t>814002011120</t>
  </si>
  <si>
    <t>814002011021</t>
  </si>
  <si>
    <t>INTOVA Pod</t>
  </si>
  <si>
    <t>814002011113</t>
  </si>
  <si>
    <t>814002011571</t>
  </si>
  <si>
    <t>I-PGRP</t>
  </si>
  <si>
    <t>Pistol Grip</t>
  </si>
  <si>
    <t>814002011458</t>
  </si>
  <si>
    <t>Stay Slim w/ Flex Arm</t>
  </si>
  <si>
    <t>855712000448</t>
  </si>
  <si>
    <t>814002010208</t>
  </si>
  <si>
    <t>814002010864</t>
  </si>
  <si>
    <t>CellPod adapter with card pack</t>
  </si>
  <si>
    <t>Smartphone bracket</t>
  </si>
  <si>
    <t>Tripods</t>
  </si>
  <si>
    <t>Ultrapod I - Black - Standard</t>
  </si>
  <si>
    <t>Ultrapod II -Black -Standard</t>
  </si>
  <si>
    <t>UltraPod Grip</t>
  </si>
  <si>
    <t>UltraPod Mini - Color</t>
  </si>
  <si>
    <t>Lighting</t>
  </si>
  <si>
    <t>Action Video Light (H20Man)</t>
  </si>
  <si>
    <t>814002011915</t>
  </si>
  <si>
    <t>I-PX21</t>
  </si>
  <si>
    <t>PX21 Strobe</t>
  </si>
  <si>
    <t>855712000813</t>
  </si>
  <si>
    <t>I-FO2</t>
  </si>
  <si>
    <t>Fiber Optic Cable for X2/HD2</t>
  </si>
  <si>
    <t>054269002152</t>
  </si>
  <si>
    <t>PX25 Optic Fiber 1m</t>
  </si>
  <si>
    <t>855712000844</t>
  </si>
  <si>
    <t>Battery, Charger, Cable</t>
  </si>
  <si>
    <t>Lithium Ion battery for X2/HD2</t>
  </si>
  <si>
    <t>054269002145</t>
  </si>
  <si>
    <t>I-CHARGER2</t>
  </si>
  <si>
    <t>Battery + Charger for X2/HD2</t>
  </si>
  <si>
    <t>054269002398</t>
  </si>
  <si>
    <t>SP HDE battery</t>
  </si>
  <si>
    <t>814002011595</t>
  </si>
  <si>
    <t>Universal USB Charger/ AC Adap</t>
  </si>
  <si>
    <t>814002011229</t>
  </si>
  <si>
    <t>Filters, Lenses</t>
  </si>
  <si>
    <t>Close Up Lens for X2/HD2</t>
  </si>
  <si>
    <t>054269002107</t>
  </si>
  <si>
    <t>Red filter for Sport Pro</t>
  </si>
  <si>
    <t>814002011083</t>
  </si>
  <si>
    <t>Magenta Filter for X2/HD2</t>
  </si>
  <si>
    <t>054269002121</t>
  </si>
  <si>
    <t>Red Filter for X2/HD2</t>
  </si>
  <si>
    <t>054269002114</t>
  </si>
  <si>
    <t>Polarized Filter for X2/HD2</t>
  </si>
  <si>
    <t>054269002091</t>
  </si>
  <si>
    <t>Neutral Density Filter 2 stops</t>
  </si>
  <si>
    <t>814002011205</t>
  </si>
  <si>
    <t>Memory Cards</t>
  </si>
  <si>
    <t>16 GB Micro SD card (UHS-1)</t>
  </si>
  <si>
    <t>054269001766</t>
  </si>
  <si>
    <t>32 GB Micro SD card (UHS-1)</t>
  </si>
  <si>
    <t>054269001759</t>
  </si>
  <si>
    <t>8 GB Micro SD Card (UHS-1)</t>
  </si>
  <si>
    <t>054269001773</t>
  </si>
  <si>
    <t>Care</t>
  </si>
  <si>
    <t>Silica Sticker</t>
  </si>
  <si>
    <t>814002011168</t>
  </si>
  <si>
    <t>Silicone Grease (2 tubes)</t>
  </si>
  <si>
    <t>814002011670</t>
  </si>
  <si>
    <t>814002010659</t>
  </si>
  <si>
    <t>814002010246</t>
  </si>
  <si>
    <t>Esbit Solid Fuel 12pc X 14g</t>
  </si>
  <si>
    <t>12, 140</t>
  </si>
  <si>
    <t xml:space="preserve">Solid Fuel </t>
  </si>
  <si>
    <t>Esbit Solid Fuel 16pc X 5g</t>
  </si>
  <si>
    <t>30, 300</t>
  </si>
  <si>
    <t>Esbit Solid Fuel 20pc X 4g</t>
  </si>
  <si>
    <t>36, 288</t>
  </si>
  <si>
    <t>Stoves</t>
  </si>
  <si>
    <t>Esbit Pocket Stove+6pcX14g</t>
  </si>
  <si>
    <t>12, 110</t>
  </si>
  <si>
    <t>Large Pocket Stove w/12pcs 14g</t>
  </si>
  <si>
    <t>4021684028902</t>
  </si>
  <si>
    <t>12, 75</t>
  </si>
  <si>
    <t>Esbit Emergency Stove 3pc X14g</t>
  </si>
  <si>
    <t>Folding Stove and Pot Stand</t>
  </si>
  <si>
    <t>6, 26</t>
  </si>
  <si>
    <t>Esbit Alcohol Burner, Brass</t>
  </si>
  <si>
    <t xml:space="preserve">Esbit Titanium Stove </t>
  </si>
  <si>
    <t>12, 100</t>
  </si>
  <si>
    <t>585 ml Cookset +Solid Fuel Stove</t>
  </si>
  <si>
    <t>E-CS585ST</t>
  </si>
  <si>
    <t>585 ml Steel Cookset +Solid Fuel Stove</t>
  </si>
  <si>
    <t>4260149871503</t>
  </si>
  <si>
    <t>Alcohol Stove Trekking Cookset</t>
  </si>
  <si>
    <t>Alcohol Stove &amp; Camp Set</t>
  </si>
  <si>
    <t>Pot 2.35L w/HeatExchanger</t>
  </si>
  <si>
    <t>Esbit 750ml Titanium Pot</t>
  </si>
  <si>
    <t>Water Kettle 1.4L</t>
  </si>
  <si>
    <t>Esbit Water Kettle, Anodized</t>
  </si>
  <si>
    <t>Cutlery</t>
  </si>
  <si>
    <t>E-FK125-TI</t>
  </si>
  <si>
    <t>Foldable Titanium Knife</t>
  </si>
  <si>
    <t>E-FS175-TI</t>
  </si>
  <si>
    <t>Foldable Titanium Spoon</t>
  </si>
  <si>
    <t>Foldable Titanium Fork</t>
  </si>
  <si>
    <t xml:space="preserve">3pc Titanium cutlery set </t>
  </si>
  <si>
    <t xml:space="preserve">Food Jugs </t>
  </si>
  <si>
    <t>750ml Food Jug w/spoon</t>
  </si>
  <si>
    <t>4260149870926</t>
  </si>
  <si>
    <t>Food Jugs</t>
  </si>
  <si>
    <t>4260149870919</t>
  </si>
  <si>
    <t>4260149870896</t>
  </si>
  <si>
    <t>Vacuum Flasks</t>
  </si>
  <si>
    <t>1000ml  dbl.wall Vacuum Flask</t>
  </si>
  <si>
    <t>4260149870889</t>
  </si>
  <si>
    <t>4260149870872</t>
  </si>
  <si>
    <t>4260149870858</t>
  </si>
  <si>
    <t>LIGHT MY FIRE</t>
  </si>
  <si>
    <t>Camp Kitchen</t>
  </si>
  <si>
    <t>12</t>
  </si>
  <si>
    <t>Grandpa's FireFork 2-Pack</t>
  </si>
  <si>
    <t>7331423007981</t>
  </si>
  <si>
    <t>7331423007974</t>
  </si>
  <si>
    <t>7331423007998</t>
  </si>
  <si>
    <t>7331423008001</t>
  </si>
  <si>
    <t>Grandpa's FireFork -bulk</t>
  </si>
  <si>
    <t>7331423007967</t>
  </si>
  <si>
    <t>LunchKit, Black Pearl</t>
  </si>
  <si>
    <t>BLACKPEARL</t>
  </si>
  <si>
    <t>7331423010585</t>
  </si>
  <si>
    <t>LunchKit, Cyan</t>
  </si>
  <si>
    <t>7331423006939</t>
  </si>
  <si>
    <t>LunchKit, Green</t>
  </si>
  <si>
    <t>7331423006953</t>
  </si>
  <si>
    <t>LunchKit, Orange</t>
  </si>
  <si>
    <t>7331423006977</t>
  </si>
  <si>
    <t>LunchKit, Petroleum</t>
  </si>
  <si>
    <t>7331423010110</t>
  </si>
  <si>
    <t>LunchKit, Pink Metal</t>
  </si>
  <si>
    <t>PINKMETAL</t>
  </si>
  <si>
    <t>7331423010127</t>
  </si>
  <si>
    <t>LunchKit, Pirate Gold</t>
  </si>
  <si>
    <t>PIRATEGLD</t>
  </si>
  <si>
    <t>7331423010134</t>
  </si>
  <si>
    <t>LunchKit, Red</t>
  </si>
  <si>
    <t>7331423006946</t>
  </si>
  <si>
    <t>LunchKit, Spirit</t>
  </si>
  <si>
    <t>7331423008100</t>
  </si>
  <si>
    <t>MealKit 2.0, Black</t>
  </si>
  <si>
    <t>7331423006847</t>
  </si>
  <si>
    <t>MealKit 2.0, Cyan</t>
  </si>
  <si>
    <t>7331423006854</t>
  </si>
  <si>
    <t>MealKit 2.0, Fuchsia</t>
  </si>
  <si>
    <t>7331423008063</t>
  </si>
  <si>
    <t>MealKit 2.0, Green</t>
  </si>
  <si>
    <t>7331423006878</t>
  </si>
  <si>
    <t>MealKit 2.0, Lime</t>
  </si>
  <si>
    <t>7331423007370</t>
  </si>
  <si>
    <t>MealKit 2.0, Orange</t>
  </si>
  <si>
    <t>7331423006892</t>
  </si>
  <si>
    <t>MealKit 2.0, Red</t>
  </si>
  <si>
    <t>7331423006861</t>
  </si>
  <si>
    <t>Meal Kit harness</t>
  </si>
  <si>
    <t>7331423009237</t>
  </si>
  <si>
    <t>10, 60</t>
  </si>
  <si>
    <t>Pack-up Drink Kit</t>
  </si>
  <si>
    <t xml:space="preserve">Pack 'n Eat Kit </t>
  </si>
  <si>
    <t>7331423008643</t>
  </si>
  <si>
    <t>Pack-Up Bottle, Black</t>
  </si>
  <si>
    <t>Pack-Up Bottle, Cyan</t>
  </si>
  <si>
    <t>Pack-Up Bottle, Fuchsia</t>
  </si>
  <si>
    <t>Pack-Up Bottle, Green</t>
  </si>
  <si>
    <t>Pack-Up Bottle, Lime</t>
  </si>
  <si>
    <t>Pack-Up Bottle, Orange</t>
  </si>
  <si>
    <t>Pack-Up Bottle, Red</t>
  </si>
  <si>
    <t>Pack-Up Bottle, Spirit</t>
  </si>
  <si>
    <t>Pack-Up Cup, Cyan</t>
  </si>
  <si>
    <t>12, 72</t>
  </si>
  <si>
    <t>Pack-Up Cup, Fuchsia</t>
  </si>
  <si>
    <t>Pack-Up Cup, Green</t>
  </si>
  <si>
    <t>Pack-Up Cup, Lime</t>
  </si>
  <si>
    <t>Pack-Up Cup, Orange</t>
  </si>
  <si>
    <t>Pack-Up Cup, Red</t>
  </si>
  <si>
    <t>Pack-Up Cup, Spirit</t>
  </si>
  <si>
    <t>Pack-Up Cup 4-Pack</t>
  </si>
  <si>
    <t>SnapBox Set, Oval, 2 pcs</t>
  </si>
  <si>
    <t>7331423008155</t>
  </si>
  <si>
    <t>7331423008162</t>
  </si>
  <si>
    <t>7331423008179</t>
  </si>
  <si>
    <t>SnapBox Set, Triangle, 2 pcs</t>
  </si>
  <si>
    <t>7331423008117</t>
  </si>
  <si>
    <t>7331423008124</t>
  </si>
  <si>
    <t>SpiceBox- Salt 'n Pepper Plus</t>
  </si>
  <si>
    <t>7331423001583</t>
  </si>
  <si>
    <t>12, 96</t>
  </si>
  <si>
    <t>7331423005925</t>
  </si>
  <si>
    <t>7331423008032</t>
  </si>
  <si>
    <t>7331423001637</t>
  </si>
  <si>
    <t>7331423008025</t>
  </si>
  <si>
    <t>7331423001651</t>
  </si>
  <si>
    <t>7331423001606</t>
  </si>
  <si>
    <t>Cutting Board Plus, Cyan</t>
  </si>
  <si>
    <t>7331423010240</t>
  </si>
  <si>
    <t>Cutting Board Plus, Fuchsia</t>
  </si>
  <si>
    <t>7331423010233</t>
  </si>
  <si>
    <t>Cutting Board Plus, Green</t>
  </si>
  <si>
    <t>7331423010257</t>
  </si>
  <si>
    <t>Cutting Board Plus, Grey</t>
  </si>
  <si>
    <t>7331423010264</t>
  </si>
  <si>
    <t>Cutting Board Plus, Lime</t>
  </si>
  <si>
    <t>7331423010226</t>
  </si>
  <si>
    <t>Cuttingboard 3-Pack</t>
  </si>
  <si>
    <t>7331423008810</t>
  </si>
  <si>
    <t>S-STACK4PK</t>
  </si>
  <si>
    <t>StackPlate 4-pack</t>
  </si>
  <si>
    <t>7331423010295</t>
  </si>
  <si>
    <t>3,12</t>
  </si>
  <si>
    <t>FireKnife</t>
  </si>
  <si>
    <t>Swedish FireKnife, Black</t>
  </si>
  <si>
    <t>7331423005710</t>
  </si>
  <si>
    <t>Swedish FireKnife, Cyan</t>
  </si>
  <si>
    <t>7331423005727</t>
  </si>
  <si>
    <t>Swedish FireKnife, Fuchsia</t>
  </si>
  <si>
    <t>7331423007912</t>
  </si>
  <si>
    <t>Swedish FireKnife, Green</t>
  </si>
  <si>
    <t>7331423005734</t>
  </si>
  <si>
    <t>Swedish FireKnife, Lime</t>
  </si>
  <si>
    <t>7331423007905</t>
  </si>
  <si>
    <t>Swedish FireKnife, Orange</t>
  </si>
  <si>
    <t>7331423005758</t>
  </si>
  <si>
    <t>Swedish FireKnife, Red</t>
  </si>
  <si>
    <t>7331423005741</t>
  </si>
  <si>
    <t>S-FK-BULK</t>
  </si>
  <si>
    <t>Swedish FireKnife - Bulk, Black</t>
  </si>
  <si>
    <t>7331423007431</t>
  </si>
  <si>
    <t>Swedish FireKnife - Bulk, Orange</t>
  </si>
  <si>
    <t>7331423007585</t>
  </si>
  <si>
    <t>Swedish FireKnife - Bulk, Red</t>
  </si>
  <si>
    <t>7331423007561</t>
  </si>
  <si>
    <t>Swedish FireKnife - Bulk, Spirit</t>
  </si>
  <si>
    <t>7331423009909</t>
  </si>
  <si>
    <t>Firestarters</t>
  </si>
  <si>
    <t>Fire Lighting Kit, Cyan + Lime</t>
  </si>
  <si>
    <t>Fire Lighting Kit, Fuchsia + Orange</t>
  </si>
  <si>
    <t>Fire Lighting Kit, Green + Black</t>
  </si>
  <si>
    <t>FireSteel Army 2.0, Black</t>
  </si>
  <si>
    <t>FireSteel Army 2.0, Cocoshell</t>
  </si>
  <si>
    <t>FireSteel Army 2.0, Orange</t>
  </si>
  <si>
    <t>Fire Steel Mini - Orange</t>
  </si>
  <si>
    <t>7331423001057</t>
  </si>
  <si>
    <t>FireSteel Scout 2.0, Black</t>
  </si>
  <si>
    <t>FireSteel Scout 2.0, Cocoshell</t>
  </si>
  <si>
    <t>7331423007233</t>
  </si>
  <si>
    <t>FireSteel Scout 2.0, Cyan</t>
  </si>
  <si>
    <t>7331423005819</t>
  </si>
  <si>
    <t>FireSteel Scout 2.0, Fuchsia</t>
  </si>
  <si>
    <t>7331423007882</t>
  </si>
  <si>
    <t>FireSteel Scout 2.0, Green</t>
  </si>
  <si>
    <t>FireSteel Scout 2.0, Lime</t>
  </si>
  <si>
    <t>7331423007875</t>
  </si>
  <si>
    <t>FireSteel Scout 2.0, Orange</t>
  </si>
  <si>
    <t>7331423004362</t>
  </si>
  <si>
    <t>FireSteel Scout 2.0, Red</t>
  </si>
  <si>
    <t>FireSteel Scout 2.0, Spirit</t>
  </si>
  <si>
    <t>7331423007899</t>
  </si>
  <si>
    <t>FireSteel Scout, Glow in the Dark</t>
  </si>
  <si>
    <t>7331423202577</t>
  </si>
  <si>
    <t>FireSteel Scout, Glow in the Dark, Fuchsia</t>
  </si>
  <si>
    <t>7331423010202</t>
  </si>
  <si>
    <t>FireSteel Scout, Glow in the Dark, Green</t>
  </si>
  <si>
    <t>7331423010196</t>
  </si>
  <si>
    <t>FireSteel Scout, Glow in the Dark, Lime</t>
  </si>
  <si>
    <t>7331423010189</t>
  </si>
  <si>
    <t>Tinder</t>
  </si>
  <si>
    <t>Tinder Sticks, blister box</t>
  </si>
  <si>
    <t>7331423002979</t>
  </si>
  <si>
    <t>12, 60</t>
  </si>
  <si>
    <t>Tinder on a Rope</t>
  </si>
  <si>
    <t>7331423005802</t>
  </si>
  <si>
    <t>Spork Display</t>
  </si>
  <si>
    <t>Spork Orig. in Display, 120 pcs</t>
  </si>
  <si>
    <t>7331423009916</t>
  </si>
  <si>
    <t>Spork Orig. in Display, 80 pcs, Peacock</t>
  </si>
  <si>
    <t>7331423010097</t>
  </si>
  <si>
    <t>Spork Orig. in Display, 80 pcs, Spirit</t>
  </si>
  <si>
    <t>7331423010592</t>
  </si>
  <si>
    <t>Spork Little in Display, 36 pcs, Peacock</t>
  </si>
  <si>
    <t>7331423010561</t>
  </si>
  <si>
    <t>Spork Little in Display, 36 pcs, Spirit</t>
  </si>
  <si>
    <t>7331423009923</t>
  </si>
  <si>
    <t>Spork Titanium in Display, 18 pcs</t>
  </si>
  <si>
    <t>7331423009954</t>
  </si>
  <si>
    <t>Plexitube + 200 Sporks</t>
  </si>
  <si>
    <t>7331423010080</t>
  </si>
  <si>
    <t>1 plexi</t>
  </si>
  <si>
    <t>7331423008438</t>
  </si>
  <si>
    <t>7331423006007</t>
  </si>
  <si>
    <t>Titanium Spork</t>
  </si>
  <si>
    <t>7331423001668</t>
  </si>
  <si>
    <t>Spork 2-Pack - Assorted</t>
  </si>
  <si>
    <t>7331423009312</t>
  </si>
  <si>
    <t>Spork 2-Pack - Fuchsia + Cyan</t>
  </si>
  <si>
    <t>7331423009947</t>
  </si>
  <si>
    <t>Spork 2-Pack - Green + Black</t>
  </si>
  <si>
    <t>7331423009299</t>
  </si>
  <si>
    <t>Spork 2-Pack - Lime + Green</t>
  </si>
  <si>
    <t>7331423009930</t>
  </si>
  <si>
    <t>Spork 2-Pack - Pirate Gold + Pink Metal</t>
  </si>
  <si>
    <t>7331423010066</t>
  </si>
  <si>
    <t>Spork 2-Pack - Petroleum + Silver</t>
  </si>
  <si>
    <t>7331423010059</t>
  </si>
  <si>
    <t>Spork 2-Pack - Transparent Blue + Cyan</t>
  </si>
  <si>
    <t>7331423009244</t>
  </si>
  <si>
    <t>Spork 2-Pack - Transparent Green + Green</t>
  </si>
  <si>
    <t>7331423009268</t>
  </si>
  <si>
    <t>Spork 2-Pack - Transparent Orange + Orange</t>
  </si>
  <si>
    <t>7331423009282</t>
  </si>
  <si>
    <t>Spork 2-Pack - Transparent Pink + Fuchsia</t>
  </si>
  <si>
    <t>7331423009275</t>
  </si>
  <si>
    <t>Spork 4-pack - Element</t>
  </si>
  <si>
    <t>7331423005994</t>
  </si>
  <si>
    <t>Spork 4-pack - Peacock</t>
  </si>
  <si>
    <t>7331423010073</t>
  </si>
  <si>
    <t>Spork 4-pack  - Ocean</t>
  </si>
  <si>
    <t>Spork 4-pack  - Sunset</t>
  </si>
  <si>
    <t>Spork 4-pack - Wild Element</t>
  </si>
  <si>
    <t>Spork Bulk - Black</t>
  </si>
  <si>
    <t>7331423002368</t>
  </si>
  <si>
    <t>25, 500</t>
  </si>
  <si>
    <t>Spork Bulk - Blackpearl</t>
  </si>
  <si>
    <t>7331423010578</t>
  </si>
  <si>
    <t>Spork Bulk - Cyan</t>
  </si>
  <si>
    <t>7331423005963</t>
  </si>
  <si>
    <t>Spork Bulk - Dark Green</t>
  </si>
  <si>
    <t>7331423002337</t>
  </si>
  <si>
    <t>Spork Bulk - Element</t>
  </si>
  <si>
    <t>7331423006441</t>
  </si>
  <si>
    <t>Spork Bulk - Fuchsia</t>
  </si>
  <si>
    <t>7331423008339</t>
  </si>
  <si>
    <t>Spork Bulk - Green</t>
  </si>
  <si>
    <t>7331423002320</t>
  </si>
  <si>
    <t>Spork Bulk - Grey</t>
  </si>
  <si>
    <t>7331423004171</t>
  </si>
  <si>
    <t>Spork Bulk - Happy</t>
  </si>
  <si>
    <t>7331423006281</t>
  </si>
  <si>
    <t>Spork Bulk - Lime</t>
  </si>
  <si>
    <t>7331423003815</t>
  </si>
  <si>
    <t>Spork Bulk - Navy</t>
  </si>
  <si>
    <t>7331423003822</t>
  </si>
  <si>
    <t>Spork Bulk - Orange</t>
  </si>
  <si>
    <t>7331423002382</t>
  </si>
  <si>
    <t>Spork Bulk - Petroleum</t>
  </si>
  <si>
    <t>PETRO</t>
  </si>
  <si>
    <t>7331423010028</t>
  </si>
  <si>
    <t>Spork Bulk - Pink</t>
  </si>
  <si>
    <t>7331423002375</t>
  </si>
  <si>
    <t>Spork Bulk - Pink Metal</t>
  </si>
  <si>
    <t>7331423010035</t>
  </si>
  <si>
    <t>Spork Bulk - Pirate</t>
  </si>
  <si>
    <t>PIRATE</t>
  </si>
  <si>
    <t>7331423010042</t>
  </si>
  <si>
    <t>Spork Bulk - Purple</t>
  </si>
  <si>
    <t>7331423006243</t>
  </si>
  <si>
    <t>Spork Bulk - Red</t>
  </si>
  <si>
    <t>7331423002290</t>
  </si>
  <si>
    <t>Spork Bulk - Silver</t>
  </si>
  <si>
    <t>7331423002719</t>
  </si>
  <si>
    <t>Spork Bulk - Spirit</t>
  </si>
  <si>
    <t>7331423008346</t>
  </si>
  <si>
    <t>Spork Bulk - Transparent Blue</t>
  </si>
  <si>
    <t>7331423002566</t>
  </si>
  <si>
    <t>Spork Bulk - Transparent Green</t>
  </si>
  <si>
    <t>7331423002542</t>
  </si>
  <si>
    <t>Spork Bulk - Transparent Orange</t>
  </si>
  <si>
    <t>7331423002559</t>
  </si>
  <si>
    <t>Spork Bulk - Transparent Pink</t>
  </si>
  <si>
    <t>TRNPINK</t>
  </si>
  <si>
    <t>7331423002573</t>
  </si>
  <si>
    <t>Spork Bulk - White</t>
  </si>
  <si>
    <t>7331423002344</t>
  </si>
  <si>
    <t>Spork Bulk - Yellow</t>
  </si>
  <si>
    <t>7331423002313</t>
  </si>
  <si>
    <t>Spork 'n Case, Cyan + Lime</t>
  </si>
  <si>
    <t>7331423008551</t>
  </si>
  <si>
    <t>Spork 'n Case, Fuchsia + Orange</t>
  </si>
  <si>
    <t>7331423008575</t>
  </si>
  <si>
    <t>Spork 'n Case, Green + Black</t>
  </si>
  <si>
    <t>7331423008568</t>
  </si>
  <si>
    <t>Serving Spork 2-Pack</t>
  </si>
  <si>
    <t>7331423008506</t>
  </si>
  <si>
    <t>12, 36</t>
  </si>
  <si>
    <t>7331423101443</t>
  </si>
  <si>
    <t>Spork Lefty 2-Pack, Cyan + Lime</t>
  </si>
  <si>
    <t>7331423009077</t>
  </si>
  <si>
    <t>Spork Lefty 2-Pack, Fuchsia + Orange</t>
  </si>
  <si>
    <t>7331423009084</t>
  </si>
  <si>
    <t>Spork Little 3-Pack, Cyan/Lime/Blue</t>
  </si>
  <si>
    <t>7331423008292</t>
  </si>
  <si>
    <t>Spork Little 3-Pack, Fuchsia/Orange/Pink</t>
  </si>
  <si>
    <t>7331423008285</t>
  </si>
  <si>
    <t>Spork Little 3-Pack, Cyan/Lime/Fuchsia</t>
  </si>
  <si>
    <t>7331423008278</t>
  </si>
  <si>
    <t>Spork Little 3-Pack, Petroleum + Pirate</t>
  </si>
  <si>
    <t>PE-PM-PG</t>
  </si>
  <si>
    <t>Spork Extra-Medium - Black + Orange</t>
  </si>
  <si>
    <t>7331423008476</t>
  </si>
  <si>
    <t>Spork Extra-Medium - Fuchsia + Cyan</t>
  </si>
  <si>
    <t>7331423009046</t>
  </si>
  <si>
    <t>Spork Extra-Medium - Lime + Green</t>
  </si>
  <si>
    <t>7331423009039</t>
  </si>
  <si>
    <t>Spork Extra-Medium - Cyan</t>
  </si>
  <si>
    <t>7331423007516</t>
  </si>
  <si>
    <t>25, 200</t>
  </si>
  <si>
    <t>Spork Extra-Medium - Green</t>
  </si>
  <si>
    <t>7331423002436</t>
  </si>
  <si>
    <t>Spork Extra-Medium - Orange</t>
  </si>
  <si>
    <t>7331423002429</t>
  </si>
  <si>
    <t>MORAKNIV</t>
  </si>
  <si>
    <t>Bushcraft Black - Peggable Card</t>
  </si>
  <si>
    <t>Bushcraft Black -Box</t>
  </si>
  <si>
    <t xml:space="preserve">Bushcraft Black Tactical </t>
  </si>
  <si>
    <t>Bushcraft Orange - Bulk</t>
  </si>
  <si>
    <t>Bushcraft Black Tactical  1pc/box,20/ctn</t>
  </si>
  <si>
    <t>BushcraftBlack Tactical Serr. 1pc/box</t>
  </si>
  <si>
    <t>7391846015376</t>
  </si>
  <si>
    <t>Bushcraft Black Serrated  - Box</t>
  </si>
  <si>
    <t>7391846015437</t>
  </si>
  <si>
    <t>Bushcraft Forest- Peggable Card</t>
  </si>
  <si>
    <t>Bushcraft Survival Black- Peggable Card</t>
  </si>
  <si>
    <t>Bushcraft Survival Orange- Peggable Card</t>
  </si>
  <si>
    <t>M-13033</t>
  </si>
  <si>
    <t>Bushcraft Survival Desert- Peggable Card</t>
  </si>
  <si>
    <t>M-11859</t>
  </si>
  <si>
    <t>Fire Starter - Bulk</t>
  </si>
  <si>
    <t>Bushcraft Pathfinder -Box</t>
  </si>
  <si>
    <t>7391846015451</t>
  </si>
  <si>
    <t>Garberg Knife - Leather Sheath - Peg Box</t>
  </si>
  <si>
    <t>7391846017479</t>
  </si>
  <si>
    <t>Garberg Knife - MM Sheath - Peggable Box</t>
  </si>
  <si>
    <t xml:space="preserve">Companion </t>
  </si>
  <si>
    <t>Companion MG - Bulk</t>
  </si>
  <si>
    <t xml:space="preserve">Companion HD MG - Box </t>
  </si>
  <si>
    <t>7391846016199</t>
  </si>
  <si>
    <t>Companion HeavyDuty Orange</t>
  </si>
  <si>
    <t>7391846016038</t>
  </si>
  <si>
    <t>M-12216</t>
  </si>
  <si>
    <t>Companion MG - Carbon - Peggable Card</t>
  </si>
  <si>
    <t>7391846014706</t>
  </si>
  <si>
    <t>Companion HD MG Carbon - Peggable Card</t>
  </si>
  <si>
    <t>7391846014584</t>
  </si>
  <si>
    <t>Companion HD Org. Carbon - Peggable Card</t>
  </si>
  <si>
    <t>7391846014607</t>
  </si>
  <si>
    <t>Companion Orange - Stainless - Peg Card</t>
  </si>
  <si>
    <t>7391846014096</t>
  </si>
  <si>
    <t>Companion F Rescue - SS  - Peggable Card</t>
  </si>
  <si>
    <t>7391846014645</t>
  </si>
  <si>
    <t>Companion F, Serrated - Peggable Card</t>
  </si>
  <si>
    <t>7391846014669</t>
  </si>
  <si>
    <t>Companion MG - Stainless - Peggable Card</t>
  </si>
  <si>
    <t>7391846014683</t>
  </si>
  <si>
    <t>Companion Black Stainless - Peg Card</t>
  </si>
  <si>
    <t>7391846014058</t>
  </si>
  <si>
    <t>Companion Black Blade</t>
  </si>
  <si>
    <t>7391846014850</t>
  </si>
  <si>
    <t>Companion Black - Bulk</t>
  </si>
  <si>
    <t>7391846014201</t>
  </si>
  <si>
    <t>Companion Magenta - Bulk</t>
  </si>
  <si>
    <t>7391846013389</t>
  </si>
  <si>
    <t>Companion Green - Bulk</t>
  </si>
  <si>
    <t>7391846013419</t>
  </si>
  <si>
    <t>Companion Blue - Bulk</t>
  </si>
  <si>
    <t>7391846013426</t>
  </si>
  <si>
    <t>Companion Orange - Bulk</t>
  </si>
  <si>
    <t>Companion Color Mix</t>
  </si>
  <si>
    <t>Companion Rescue - Bulk</t>
  </si>
  <si>
    <t>Companion Serrated - Bulk</t>
  </si>
  <si>
    <t>Companion Tactical - Bulk</t>
  </si>
  <si>
    <t>7391846015338</t>
  </si>
  <si>
    <t>Sharpener</t>
  </si>
  <si>
    <t>Diamond Sharpener L-Fine - Peggable Card</t>
  </si>
  <si>
    <t>7391846011514</t>
  </si>
  <si>
    <t>Diamond Sharpener S - Peggable Card</t>
  </si>
  <si>
    <t>7391846011552</t>
  </si>
  <si>
    <t>Outdoor Knives</t>
  </si>
  <si>
    <t>Eldris Knife - Black - Peggable Box</t>
  </si>
  <si>
    <t>Eldris Knife - Red - Peggable Box</t>
  </si>
  <si>
    <t>Eldris Knife - Blue - Peggable Box</t>
  </si>
  <si>
    <t>Eldris Knife - Yellow - Peggable Box</t>
  </si>
  <si>
    <t>Eldris Knife - Green - Peggable Box</t>
  </si>
  <si>
    <t>Eldris Knife - 5 color mix - Peg Box</t>
  </si>
  <si>
    <t>7391846018087</t>
  </si>
  <si>
    <t>Eldris Knife - Blue- Peggable Card</t>
  </si>
  <si>
    <t>7391846018834</t>
  </si>
  <si>
    <t>Eldris Knife - Green- Peggable Card</t>
  </si>
  <si>
    <t>7391846018865</t>
  </si>
  <si>
    <t>Eldris Knife - Yellow- Peggable Card</t>
  </si>
  <si>
    <t>7391846018896</t>
  </si>
  <si>
    <t>Eldris Knife - Red - Peggable Card</t>
  </si>
  <si>
    <t>7391846018926</t>
  </si>
  <si>
    <t>Eldris Knife - Black- Peggable Card</t>
  </si>
  <si>
    <t>7391846018957</t>
  </si>
  <si>
    <t>Eldris Knife Kit - Black - Peggable Box</t>
  </si>
  <si>
    <t>Eldris Knife Kit - Red - Peggable Box</t>
  </si>
  <si>
    <t>Eldris Knife Kit - Blue - Peggable Box</t>
  </si>
  <si>
    <t>Eldris Knife Kit - Yellow - Peggable Box</t>
  </si>
  <si>
    <t>Eldris Knife Kit - Green - Peggable Box</t>
  </si>
  <si>
    <t>Eldris Knife Kit - assorted - Peg Box</t>
  </si>
  <si>
    <t>Eldris Knife Kit - Blue - Peggable Card</t>
  </si>
  <si>
    <t>7391846018681</t>
  </si>
  <si>
    <t>Eldris Knife Kit - Green- Peggable Card</t>
  </si>
  <si>
    <t>7391846018711</t>
  </si>
  <si>
    <t>Eldris Knife Kit, Yellow- Peggable Card</t>
  </si>
  <si>
    <t>7391846018742</t>
  </si>
  <si>
    <t>Eldris Knife Kit - Red- Peggable Card</t>
  </si>
  <si>
    <t>7391846018773</t>
  </si>
  <si>
    <t>Eldris Knife Kit - Black- Peggable Card</t>
  </si>
  <si>
    <t>7391846018803</t>
  </si>
  <si>
    <t>Eldris Accessory Kit - Box</t>
  </si>
  <si>
    <t>7391846019077</t>
  </si>
  <si>
    <t>Kansbol - Multi-mount sheath - Peg Box</t>
  </si>
  <si>
    <t>Kansbol Knife- Peggable Card</t>
  </si>
  <si>
    <t>Kansbol Knife - Peggable Box</t>
  </si>
  <si>
    <t>Rookie Safe knife - Peggable Card</t>
  </si>
  <si>
    <t>7391846019800</t>
  </si>
  <si>
    <t>Clipper 840, 15/ctn</t>
  </si>
  <si>
    <t>Marine Rescue - Bulk</t>
  </si>
  <si>
    <t>Fishing Comfort File 090 - Peggable Card</t>
  </si>
  <si>
    <t>Fishing Comfort Scaler 098 - Peg Card</t>
  </si>
  <si>
    <t xml:space="preserve">Fishing Comfort File 155 - Peg Card  </t>
  </si>
  <si>
    <t>Fishing Comfort Scaler 150 - Peg Card</t>
  </si>
  <si>
    <t>7391846010616</t>
  </si>
  <si>
    <t>Outdoor Axe Green - Peg Card</t>
  </si>
  <si>
    <t>7391846199106</t>
  </si>
  <si>
    <t>Outdoor Axe Orange - Peg Card</t>
  </si>
  <si>
    <t>7391846013839</t>
  </si>
  <si>
    <t>2000 Orange - Bulk</t>
  </si>
  <si>
    <t>2000 Green - Bulk</t>
  </si>
  <si>
    <t>Outdoor Kit - Orange - Peg Box</t>
  </si>
  <si>
    <t>Hunting Set Orange - Peg Card</t>
  </si>
  <si>
    <t>7391846013860</t>
  </si>
  <si>
    <t>Scout 39 Green - Peggable Blister</t>
  </si>
  <si>
    <t>7391846013631</t>
  </si>
  <si>
    <t>Scout 39 Orange - Peggable Card</t>
  </si>
  <si>
    <t>Belly Opener - Bulk</t>
  </si>
  <si>
    <t>7391846011989</t>
  </si>
  <si>
    <t>Classic No 1 - Bulk</t>
  </si>
  <si>
    <t>Classic No 2 - Bulk</t>
  </si>
  <si>
    <t>M-1-0002-0</t>
  </si>
  <si>
    <t>Classic No 2/0 - Bulk</t>
  </si>
  <si>
    <t>Classic No 3</t>
  </si>
  <si>
    <t>ClassicCraftsmen 611</t>
  </si>
  <si>
    <t>Original 1  - Peggable Box</t>
  </si>
  <si>
    <t>7391846013068</t>
  </si>
  <si>
    <t>Classic Craftsmen 612 Carbon Steel</t>
  </si>
  <si>
    <t>Steak Knife Gift Set - 2 pc</t>
  </si>
  <si>
    <t>Classic Steak Knife 2pc</t>
  </si>
  <si>
    <t>Allround</t>
  </si>
  <si>
    <t>Allround 731</t>
  </si>
  <si>
    <t>Allround 748 MG - Box</t>
  </si>
  <si>
    <t>Allround 749</t>
  </si>
  <si>
    <t>Allround 711</t>
  </si>
  <si>
    <t>746 - Bulk</t>
  </si>
  <si>
    <t>Craftline Q Allround 510</t>
  </si>
  <si>
    <t>Craft Knives</t>
  </si>
  <si>
    <t>Basic 511 Carbon  - Bulk</t>
  </si>
  <si>
    <t>Basic 511 Carbon Red - Bulk</t>
  </si>
  <si>
    <t>7391846018148</t>
  </si>
  <si>
    <t>Basic 511 Lime - Bulk</t>
  </si>
  <si>
    <t>7391846019336</t>
  </si>
  <si>
    <t>Basic 546 - Stainless - Bulk</t>
  </si>
  <si>
    <t>Pro S - Stainless - Bulk</t>
  </si>
  <si>
    <t>Pro S - Stainless Peggable Card</t>
  </si>
  <si>
    <t>Pro C - Carbon Steel - Bulk</t>
  </si>
  <si>
    <t>Safe - Carbon Steel- Bulk</t>
  </si>
  <si>
    <t>Rope -  Stainless- Bulk</t>
  </si>
  <si>
    <t>Precision - Stainless - Bulk</t>
  </si>
  <si>
    <t>Flex - Stainless- Bulk</t>
  </si>
  <si>
    <t>Robust - Carbon - Bulk</t>
  </si>
  <si>
    <t>Chisel - Carbon - Bulk</t>
  </si>
  <si>
    <t>Electrician Knife - Bulk</t>
  </si>
  <si>
    <t>Utility Knife - Bulk</t>
  </si>
  <si>
    <t>Construction</t>
  </si>
  <si>
    <t>Craftsmen 7350, SS, Insulation</t>
  </si>
  <si>
    <t>Craftsmen 175P Carpet/Roofing</t>
  </si>
  <si>
    <t>Woodcarving</t>
  </si>
  <si>
    <t>Carving Knife Kit w/ Dala Horse</t>
  </si>
  <si>
    <t>7391846018117</t>
  </si>
  <si>
    <t>Classic WoodSplitter - Bulk</t>
  </si>
  <si>
    <t>Wood Carving 220 - Bulk</t>
  </si>
  <si>
    <t>Woodcarving Jr 73/164</t>
  </si>
  <si>
    <t>7316220021033</t>
  </si>
  <si>
    <t>Wood Carving Basic</t>
  </si>
  <si>
    <t>Woodcarving Jr 73/164 Carbon - Peggable Card</t>
  </si>
  <si>
    <t>7391846009214</t>
  </si>
  <si>
    <t>Wood Carving 120 - Laminated</t>
  </si>
  <si>
    <t>Wood Carving 106 - Laminated</t>
  </si>
  <si>
    <t>Wood Carving 105 - Laminated</t>
  </si>
  <si>
    <t>Wood Carving 122 - Laminated</t>
  </si>
  <si>
    <t>Woodcarving Hook 162S - Bulk</t>
  </si>
  <si>
    <t>Woodcarving Hook 162S - Peggable Card</t>
  </si>
  <si>
    <t>Woodcarving Hook 163S Bulk</t>
  </si>
  <si>
    <t>Woodcarving Hook 163S- Peggable Card</t>
  </si>
  <si>
    <t>Woodcarving Hook 164S- Peggable Card</t>
  </si>
  <si>
    <t>Woodcarving Hook - 164S - Bulk</t>
  </si>
  <si>
    <t xml:space="preserve">Knife Blade No. 2/0 Carbon 5/ctn </t>
  </si>
  <si>
    <t>7316220023136</t>
  </si>
  <si>
    <t>5, 50</t>
  </si>
  <si>
    <t>Knife Blade No. 1 Laminated</t>
  </si>
  <si>
    <t>7316220023334</t>
  </si>
  <si>
    <t>7391846008613</t>
  </si>
  <si>
    <t>Knife Blade No. 3 Carbon Steel</t>
  </si>
  <si>
    <t>7316220023631</t>
  </si>
  <si>
    <t>Knife Blade 106 Laminated</t>
  </si>
  <si>
    <t>7316220024232</t>
  </si>
  <si>
    <t>Knife Blade No. 2000 - Peggable Card</t>
  </si>
  <si>
    <t>7316222500628</t>
  </si>
  <si>
    <t>Knife Blade No. 2 Carbon Steel</t>
  </si>
  <si>
    <t>7391846010357</t>
  </si>
  <si>
    <t>Knife Blade No. 1 Carbon Steel</t>
  </si>
  <si>
    <t>7391846011842</t>
  </si>
  <si>
    <t>Knife Blade No. 120 Laminated</t>
  </si>
  <si>
    <t>7316220026038</t>
  </si>
  <si>
    <t>Knife Blade No.95 (replace#90)</t>
  </si>
  <si>
    <t>7316220027226</t>
  </si>
  <si>
    <t>Mushroom</t>
  </si>
  <si>
    <t>054269002503</t>
  </si>
  <si>
    <t>054269002510</t>
  </si>
  <si>
    <t>M-10691-12886</t>
  </si>
  <si>
    <t>Kitchen Knives</t>
  </si>
  <si>
    <t>Classic 1891 Chef's 9" Red</t>
  </si>
  <si>
    <t>Classic 1891 Bread 10" Red</t>
  </si>
  <si>
    <t>Classic 1891 Filet 7" Red</t>
  </si>
  <si>
    <t>Classic 1891 Paring 3" Red</t>
  </si>
  <si>
    <t>Classic 1891 Utility 5" Red</t>
  </si>
  <si>
    <t>Classic 1891 Chef's 9" Black</t>
  </si>
  <si>
    <t>Classic 1891 Bread 10" Black</t>
  </si>
  <si>
    <t>Classic 1891 Filet 7" Black</t>
  </si>
  <si>
    <t>Classic 1891 Paring 3" Black</t>
  </si>
  <si>
    <t>Classic 1891 Utility 5" Black</t>
  </si>
  <si>
    <t>Classic 1891 3-Pack - Red</t>
  </si>
  <si>
    <t>Classic 1891 3-Pack - Black</t>
  </si>
  <si>
    <t>M-12598</t>
  </si>
  <si>
    <t>Classic 1891 Carving Fork Red</t>
  </si>
  <si>
    <t>7391846017714</t>
  </si>
  <si>
    <t>M-12803</t>
  </si>
  <si>
    <t>Classic 1891 Carving Fork Black</t>
  </si>
  <si>
    <t>7391846018254</t>
  </si>
  <si>
    <t>Farrier Knives</t>
  </si>
  <si>
    <t>Equus Wide Farrier 180RH</t>
  </si>
  <si>
    <t>7316220019405</t>
  </si>
  <si>
    <t>Equus Farrier's 330 knife</t>
  </si>
  <si>
    <t>Frosts Equus 171LH Narrow</t>
  </si>
  <si>
    <t>Frosts Equus 171RH Narrow</t>
  </si>
  <si>
    <t>Frosts Equus 180LH Wide</t>
  </si>
  <si>
    <t>Frosts Equus 188 Double Edge</t>
  </si>
  <si>
    <t>Frosts Knives</t>
  </si>
  <si>
    <t>8" Butcher Knife, 147S-G2WG</t>
  </si>
  <si>
    <t>7391846003229</t>
  </si>
  <si>
    <t>6" Butcher Knife, 149S-G2WG</t>
  </si>
  <si>
    <t>7391846003243</t>
  </si>
  <si>
    <t>10" Butcher Knife, 7253 UG</t>
  </si>
  <si>
    <t>7391846007272</t>
  </si>
  <si>
    <t>12" Butcher Knife, 7305UG</t>
  </si>
  <si>
    <t>7391846007289</t>
  </si>
  <si>
    <t>Fish Slaughter, 1030SP Blue</t>
  </si>
  <si>
    <t>7391846103011</t>
  </si>
  <si>
    <t>Fish Slaughter, 1040SP, Blue</t>
  </si>
  <si>
    <t>7391846104018</t>
  </si>
  <si>
    <t>Roe and Bleeding, Blue</t>
  </si>
  <si>
    <t>7391846159100</t>
  </si>
  <si>
    <t>Gutting Knife w/Spoon 9152P</t>
  </si>
  <si>
    <t>Gutting knife - 159/288P - Bulk</t>
  </si>
  <si>
    <t>Gutting Hook &amp; Spoon - 352P - Bulk</t>
  </si>
  <si>
    <t>299 Wood Gutting w/Spoon</t>
  </si>
  <si>
    <t>7391846008408</t>
  </si>
  <si>
    <t>Narrow Filet Knife - 9180P - Bulk</t>
  </si>
  <si>
    <t>7391846007371</t>
  </si>
  <si>
    <t>Narrow Filet - 9197P - Bulk</t>
  </si>
  <si>
    <t>7391846007388</t>
  </si>
  <si>
    <t>Frost Gutting w/Spoon - 299P - Bulk</t>
  </si>
  <si>
    <t>7391846007524</t>
  </si>
  <si>
    <t>Straight Wide Boning - 9130P - Bulk</t>
  </si>
  <si>
    <t>7391846007395</t>
  </si>
  <si>
    <t>Wide Filet Knife, 9210P</t>
  </si>
  <si>
    <t>7391846007425</t>
  </si>
  <si>
    <t>Narrow Filet Knife, 9151P</t>
  </si>
  <si>
    <t>7391846007432</t>
  </si>
  <si>
    <t>Narrow Filet Knife, 9160P</t>
  </si>
  <si>
    <t>7391846007456</t>
  </si>
  <si>
    <t>Narrow Filet Knife - 8197UG - Bulk</t>
  </si>
  <si>
    <t>Wide Filet Knife 9210PG</t>
  </si>
  <si>
    <t>Roe &amp; Bleeding Knife - 950P - Bulk</t>
  </si>
  <si>
    <t>Belly Opener(Gut Hook) - 351P - Bulk</t>
  </si>
  <si>
    <t>Bait Knife - 9106UG - Bulk</t>
  </si>
  <si>
    <t>Skinning Knife - 7146UG - Bulk</t>
  </si>
  <si>
    <t>7391846007777</t>
  </si>
  <si>
    <t>Narrow Filet Knife 9218PG</t>
  </si>
  <si>
    <t>Narrow Filet Knife 9180PG</t>
  </si>
  <si>
    <t>Frosts Filet Knife 6" 9151PG</t>
  </si>
  <si>
    <t>Curved Boning Knife, CB5MF</t>
  </si>
  <si>
    <t>7391846001577</t>
  </si>
  <si>
    <t>Curved Narrow Boning - 9124PG</t>
  </si>
  <si>
    <t>Curved Boning - 7154PG</t>
  </si>
  <si>
    <t>7391846008163</t>
  </si>
  <si>
    <t>Straight Narrow Boning -7151PG</t>
  </si>
  <si>
    <t>Straight Wide Boning - 7179PG</t>
  </si>
  <si>
    <t>Order Total</t>
  </si>
  <si>
    <t>Powered by 3 AAA batteries</t>
  </si>
  <si>
    <t>Rotate micro-adjustable dial to increase brightness up to 200 lumens</t>
  </si>
  <si>
    <t>Feature 3 white LED’s and 1 red LED</t>
  </si>
  <si>
    <t>Infinity Dial allows for smooth transition from 0 to 300 lumens</t>
  </si>
  <si>
    <t>Can be used in flood or spot mode</t>
  </si>
  <si>
    <t>Powered by the Li-Ion battery pack with integrated micro-USB input or 3 AAA batteries</t>
  </si>
  <si>
    <t>Unique, Hybrid Power Source means the included rechargeable battery pack can be substituted for 3 AAA batteries when desired</t>
  </si>
  <si>
    <t>Powered by an internal, rechargeable Li-Ion battery</t>
  </si>
  <si>
    <t>Precision fit strap system allows for the perfect fit without slippage</t>
  </si>
  <si>
    <t>The Infinity Dial allows for white LED light or red night vision mode</t>
  </si>
  <si>
    <t>Powered by a rechargeable, Li-Ion battery pack with integrated micro-USB input or 3 AAA batteries.</t>
  </si>
  <si>
    <t>Infinity Dial provides transition between lighting settings and adjusts brightness continuously from 0 to 300 lumens.</t>
  </si>
  <si>
    <t>The Infinity Dial allows smooth adjustable brightness up to 150 lumens</t>
  </si>
  <si>
    <t>Soft, adjustable Precision Fit strap with hook &amp; loop adjustment for a comfortable fit</t>
  </si>
  <si>
    <t>An integrated bottle opener in the base allows for easy sipping, any time</t>
  </si>
  <si>
    <t xml:space="preserve"> Infinity Dial provides transition between lighting settings and adjusts brightness continuously from 0 to 300 lumens.</t>
  </si>
  <si>
    <t>Rainproof, windproof Hurricane Matches burn up to 12 seconds</t>
  </si>
  <si>
    <t>Sweetfire Firestarters are made from sugarcane waste, bagasse, which is a fibrous sugarcane byproduct that is used around the world as a renewable biofuel. Each firestarter tablet burns for 6 minutes</t>
  </si>
  <si>
    <t>Each Kit Includes: 12 Hurricane Matches, 3 Sweetfire Firestarters, 3 Replaceable Strikers</t>
  </si>
  <si>
    <t>The kit is contained in a stormproof, UCO match container</t>
  </si>
  <si>
    <t>Made from sugarcane waste, bagasse, which is a fibrous sugarcane byproduct that is used around the world as a renewable biofuel</t>
  </si>
  <si>
    <t>Features a stormproof strikeable tip, which can be used with striker on box, eliminating the need for matches</t>
  </si>
  <si>
    <t>Each point burns for 8 minutes each</t>
  </si>
  <si>
    <t>Individual ‘points’ come connected and are ready to break-off and use</t>
  </si>
  <si>
    <t>Sweetfire Firestarter 24pk</t>
  </si>
  <si>
    <t>Each fire starter burns for 6 minutes, and is easy to ignite with a match, lighter, or firesteel</t>
  </si>
  <si>
    <t>Each Package contains 24 Sweetfire firestarters</t>
  </si>
  <si>
    <t>Each Behemoth is 5.5” long and has a burn-time of approximately 15 minutes per point</t>
  </si>
  <si>
    <t>Each tin comes with 8 Behemoths nestled inside, ready for use</t>
  </si>
  <si>
    <t>Black Pearl CampKit</t>
  </si>
  <si>
    <t>StackPlate</t>
  </si>
  <si>
    <t>StackPlate 4-Pack</t>
  </si>
  <si>
    <t>StackPlate™ consists of four plates with the same size, shape and look as the iconic MealKit™, all made in Sweden. Each plate fits snugly into the other, which means the whole stack takes up very little space in your backpack. The triangular shape and the edge on the plate makes it easy to spoon out food, also for kids. The Spork holder on the plate keeps your favorite utensil in place. Made from 100% BPA free PP - polypropylene.</t>
  </si>
  <si>
    <t>The StackPlate allows for all of your family's plates to fit snugly together in a colorful, fun option.</t>
  </si>
  <si>
    <t xml:space="preserve">The StackPlate 4-Pack comes with 4 colors of the StackPlate. </t>
  </si>
  <si>
    <t>Each StackPlate floats and has a spork holder on the side to keep your favorite utensil in place</t>
  </si>
  <si>
    <t>Stackable</t>
  </si>
  <si>
    <r>
      <t>SnapBox Original</t>
    </r>
    <r>
      <rPr>
        <sz val="10"/>
        <rFont val="Calibri"/>
        <family val="2"/>
      </rPr>
      <t>™</t>
    </r>
  </si>
  <si>
    <r>
      <t>SnapBox Oval</t>
    </r>
    <r>
      <rPr>
        <sz val="10"/>
        <rFont val="Calibri"/>
        <family val="2"/>
      </rPr>
      <t>™</t>
    </r>
  </si>
  <si>
    <t>Give your campfire skills an edge with the Black Pearl CampKit. This kit features our Swedish FireKnife, Tinder-on-a-Rope, and Spork Original all in one convenient kit.</t>
  </si>
  <si>
    <t>The Swedish FireKnife includes a stainless steel blade with a magnesium FireSteel nestled in the base.</t>
  </si>
  <si>
    <t>The included Tinder-on-a-Rope is made from a Honduran pine that is high in resin, meaning it is quick to light.</t>
  </si>
  <si>
    <t>This kit also comes with the classic Spork Original.</t>
  </si>
  <si>
    <t>E-FUEL-60x4</t>
  </si>
  <si>
    <t>Solid Fuel Tablets, 20 x 4 g - 3 Pack</t>
  </si>
  <si>
    <t>054269002862</t>
  </si>
  <si>
    <t>Pot constructed from stainless steel.</t>
  </si>
  <si>
    <t>This lightweight, self-contained complete cooking system is constructed from stainless steel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 Dimensions-packed: 3.4" x 4.4" (8.6 cm x 11.1 cm); Weight: 11 oz. (287 g); Capacity: 20 oz. (585 ml)</t>
  </si>
  <si>
    <t>The Esbit 20 x 4 g solid fuel cubes have a burn time of approximately 5 minutes and each box includes 20 cubes. This is a bundle of 3 boxes or 60 cubes total.  They have a strong heat output, ignite with a match or lighter and lightweight and compact. When stored properly, Esbit solid fuel mantains its full functionality for many years. It works also at temperatures below 32° F and in high altitudes. It is easy to hande and simple technique which cannot fail. It has no visible smoke and leaves almost no ash after burning. It is used by various NATO forces, expeditions, in the aftermath of disasters. Also used to operate toy steam engines and other hobby items.</t>
  </si>
  <si>
    <t>L-CAN3PK-X3</t>
  </si>
  <si>
    <t>9-Hour Candles, 3-Pack x 3</t>
  </si>
  <si>
    <t>054269002879</t>
  </si>
  <si>
    <t>DARK GREEN</t>
  </si>
  <si>
    <t>Protect and securely store your matches away from moist, damp conditions. The waterproof UCO Match Case will hold up to 40 matches (including UCO Stormproof Matches) and includes an integrated striker, plus 2 extra strikers. The ribbed case offers an easy grip, even in cold weather. It’s ideal for your backpack, an emergency kit—even the glove box. Dark Green color. Matches not included. Weight: 0.8 oz. (23 g)</t>
  </si>
  <si>
    <t>MAP Pricing</t>
  </si>
  <si>
    <t>This accessory kit allows you to convert your Eldris to the Eldris Neck Knife Kit.</t>
  </si>
  <si>
    <t>This kit comes with paracord, a secondary strap with a lock, and a magnesium firestarter.</t>
  </si>
  <si>
    <t xml:space="preserve">Simply thread the paracord through the sheath of the knife and this allows you to hang your Eldris from your neck. </t>
  </si>
  <si>
    <t>The Morakniv Eldris Accessory Kit comes equipped with a firestarter, an additional locking collar, as well as a multi-purpose paracord. This kit is meant to allow you to always carry your Eldris where you need it. It’s compact design and all-around convenience mean you’ll never leave the house without it, making your Morakniv a part of you.</t>
  </si>
  <si>
    <t>FUSCHIA</t>
  </si>
  <si>
    <t>Glow-in-the-Dark Swedish FireSteel 2.0® scout, Fuschia/Silver</t>
  </si>
  <si>
    <t>Glow-in-the-Dark Swedish FireSteel 2.0® scout, Lime/Silver</t>
  </si>
  <si>
    <t>Glow-in-the-Dark Swedish FireSteel 2.0® scout, Green/Silver</t>
  </si>
  <si>
    <t>Fuschia</t>
  </si>
  <si>
    <t>7326.19.0081</t>
  </si>
  <si>
    <t>7326.19.0082</t>
  </si>
  <si>
    <t>7326.19.0083</t>
  </si>
  <si>
    <t>Not just for mood lighting anymore, tealights have been re-discovered as tiny powerhouses of heat and light. Lightweight, inexpensive and easy to pack, they deliver high-quality light and heat and are available worldwide. These citronella tealight candles emit a sweet scent that infuses the air and refreshes the senses after a full day of outdoor adventure! So, light up the lantern and create a relaxing, welcome source of heat, light and a soothing scent. This 6-pack of Citronella Tealight Candles will provide approximately 24-30 hours of light.</t>
  </si>
  <si>
    <t>Not just for mood lighting anymore, tealights have been re-discovered as tiny powerhouses of heat and light. Lightweight, inexpensive and easy to pack, they deliver high-quality light and heat and are available worldwide. These 100% natural Beeswax Tealight Candles emit a pleasant aroma of honey and produce less smoke. This 3-pack of Beeswax Tealight Candles will provide approximately 12-15 hours of light.</t>
  </si>
  <si>
    <t>Not just for mood lighting anymore, tealights have been re-discovered as tiny powerhouses of heat and light. Lightweight, inexpensive and easy to pack, they deliver high-quality light and heat and are available worldwide. These 100% natural Beeswax Tealight Candles emit a pleasant aroma of honey and produce less smoke. This 30-pack of Beeswax Tealight Candles will provide approximately 120-150 hours of light.</t>
  </si>
  <si>
    <t>Not just for mood lighting anymore, tealights have been re-discovered as tiny powerhouses of heat and light. Lightweight, inexpensive and easy to pack, they deliver high-quality light and heat and are available worldwide. These citronella tealight candles emit a sweet scent that infuses the air and refreshes the senses after a full day of outdoor adventure! So, light up the lantern and create a relaxing, welcome source of heat, light and a soothing scent. This 30-pack of Citronella Tealight Candles will provide approximately 120-150 hours of light.</t>
  </si>
  <si>
    <t>Hedge your bets against the weather with a UCO Stormproof Match Kit. Stormproof Matches are windproof, waterproof and light up quickly and consistently in driving rain, heavy winds and falling snow—and will relight even after being submerged in water. Each kit includes 25 matches, 3 strikers and a waterproof case that floats; the case holds up to 40 matches. Secure over 6 minutes of life-sustaining fire wherever life takes you, or during whatever Mother Nature throws your way.</t>
  </si>
  <si>
    <r>
      <t>Fits UCO Stormproof Matches and other brands (</t>
    </r>
    <r>
      <rPr>
        <i/>
        <sz val="10"/>
        <rFont val="Arial"/>
        <family val="2"/>
      </rPr>
      <t>matches not included</t>
    </r>
    <r>
      <rPr>
        <sz val="10"/>
        <rFont val="Arial"/>
        <family val="2"/>
      </rPr>
      <t>) under 2.75</t>
    </r>
    <r>
      <rPr>
        <sz val="10"/>
        <rFont val="Arial"/>
        <family val="2"/>
      </rPr>
      <t>"</t>
    </r>
    <r>
      <rPr>
        <sz val="10"/>
        <rFont val="Arial"/>
        <family val="2"/>
      </rPr>
      <t xml:space="preserve"> (7 cm) in length</t>
    </r>
  </si>
  <si>
    <r>
      <t>Fits UCO Stormproof Matches and Survival StormProof Matches as well as other brands</t>
    </r>
    <r>
      <rPr>
        <sz val="10"/>
        <rFont val="Arial"/>
        <family val="2"/>
      </rPr>
      <t xml:space="preserve"> under 2.75</t>
    </r>
    <r>
      <rPr>
        <sz val="10"/>
        <rFont val="Arial"/>
        <family val="2"/>
      </rPr>
      <t>"</t>
    </r>
    <r>
      <rPr>
        <sz val="10"/>
        <rFont val="Arial"/>
        <family val="2"/>
      </rPr>
      <t xml:space="preserve"> (7 cm) in length</t>
    </r>
  </si>
  <si>
    <t>MT-SFP-3PK</t>
  </si>
  <si>
    <t>Stormproof Sweetfire Points 3 - 20 Packs</t>
  </si>
  <si>
    <t>Bushcraft Survival Desert</t>
  </si>
  <si>
    <t>Desert Tan</t>
  </si>
  <si>
    <t>7391846019954</t>
  </si>
  <si>
    <t>Brown/Tan plastic sheath with interchangeable belt loop and belt clip plus integrated diamond sharpener and fire starter.</t>
  </si>
  <si>
    <t>Razor sharp 3.2 mm thick Sandvik 12C27 stainless steel blade.</t>
  </si>
  <si>
    <t>The Morakniv Bushcraft Survival Desert Tan is an indispensable tool for a variety of outdoor, hunting, emergency, or tactical applications. Stainless steels are preferred in applications that demand durability and resistance from corrosion.  At the core is the Bushcraft knife with its razor-sharp, burly 1/8-inch (3.2 mm) thick stainless steel blade made with Sandvik 12C27 stainless. The scandi grind makes it a perfect Bushcraft knife as it prevents the knife from slipping off easily, bites into the surface without getting stuck, is sharp, and stays sharp longer. The 4.3” (109 mm) long blade is relatively thin making it easier to carve with. It comes with a black plastic sheath, with interchangeable belt clip and belt loop, that holds a Morakniv Fire Starter (included) and features an integrated diamond sharpener, making it easy to sharpen the blade. The spine of the blade is ridge ground so that it can be used with the Morakniv fire starter that lasts approximately 7,000 strikes and produces a 3,000 degree spark, even when wet. The ergonomic handle with high-friction rubber grip gives the feeling of control, making work easier and more enjoyable, as if the knife were an extension of your hand. To further avoid corrosion, clean and wipe knife dry plus oil the blade after each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</si>
</sst>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00000"/>
    <numFmt numFmtId="165" formatCode="000000000000"/>
    <numFmt numFmtId="166" formatCode="_(\$* #,##0.00_);_(\$* \(#,##0.00\);_(\$* \-??_);_(@_)"/>
    <numFmt numFmtId="167" formatCode="_-* #,##0.00\ &quot;kr&quot;_-;\-* #,##0.00\ &quot;kr&quot;_-;_-* &quot;-&quot;??\ &quot;kr&quot;_-;_-@_-"/>
    <numFmt numFmtId="168" formatCode="_(* #,##0.0_);_(* \(#,##0.0\);_(* &quot;-&quot;??_);_(@_)"/>
    <numFmt numFmtId="169" formatCode="&quot;$&quot;#,##0.00"/>
    <numFmt numFmtId="170" formatCode="m/d/yy;@"/>
    <numFmt numFmtId="171" formatCode="0.0"/>
    <numFmt numFmtId="172" formatCode="0.000"/>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sz val="10"/>
      <color indexed="8"/>
      <name val="Arial"/>
      <family val="2"/>
    </font>
    <font>
      <sz val="11"/>
      <color indexed="8"/>
      <name val="Calibri"/>
      <family val="2"/>
    </font>
    <font>
      <sz val="10"/>
      <color rgb="FF00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color theme="1"/>
      <name val="Arial"/>
      <family val="2"/>
    </font>
    <font>
      <sz val="11"/>
      <color indexed="60"/>
      <name val="Calibri"/>
      <family val="2"/>
    </font>
    <font>
      <sz val="10"/>
      <name val="Arial"/>
      <family val="2"/>
      <charset val="1"/>
    </font>
    <font>
      <sz val="11"/>
      <color indexed="8"/>
      <name val="Calibri"/>
      <family val="2"/>
      <charset val="1"/>
    </font>
    <font>
      <sz val="10"/>
      <color rgb="FFFF0000"/>
      <name val="Arial"/>
      <family val="2"/>
    </font>
    <font>
      <i/>
      <sz val="10"/>
      <name val="Arial"/>
      <family val="2"/>
    </font>
    <font>
      <sz val="10"/>
      <name val="Arial"/>
      <family val="2"/>
    </font>
    <font>
      <u/>
      <sz val="11"/>
      <color theme="10"/>
      <name val="Calibri"/>
      <family val="2"/>
    </font>
    <font>
      <sz val="10"/>
      <color rgb="FF222222"/>
      <name val="Arial"/>
      <family val="2"/>
    </font>
    <font>
      <sz val="8"/>
      <name val="Arial"/>
      <family val="2"/>
    </font>
    <font>
      <sz val="10"/>
      <color rgb="FF1C1C1E"/>
      <name val="Arial"/>
      <family val="2"/>
    </font>
    <font>
      <sz val="10"/>
      <name val="Arial"/>
      <family val="2"/>
    </font>
    <font>
      <sz val="12"/>
      <name val="Arial"/>
      <family val="2"/>
    </font>
    <font>
      <b/>
      <sz val="14"/>
      <name val="Arial"/>
      <family val="2"/>
    </font>
    <font>
      <b/>
      <sz val="8"/>
      <name val="Arial"/>
      <family val="2"/>
    </font>
    <font>
      <sz val="9"/>
      <color rgb="FF000000"/>
      <name val="Arial"/>
      <family val="2"/>
    </font>
    <font>
      <sz val="10"/>
      <color rgb="FF333333"/>
      <name val="Arial"/>
      <family val="2"/>
    </font>
    <font>
      <sz val="11"/>
      <name val="Arial"/>
      <family val="2"/>
    </font>
    <font>
      <sz val="10"/>
      <name val="Calibri"/>
      <family val="2"/>
    </font>
    <font>
      <sz val="10"/>
      <color rgb="FF0000FF"/>
      <name val="Arial"/>
      <family val="2"/>
    </font>
    <font>
      <sz val="10"/>
      <color rgb="FF1F497D"/>
      <name val="Arial"/>
      <family val="2"/>
    </font>
    <font>
      <b/>
      <i/>
      <sz val="10"/>
      <name val="Arial"/>
      <family val="2"/>
    </font>
    <font>
      <sz val="10"/>
      <color rgb="FF151517"/>
      <name val="Arial"/>
      <family val="2"/>
    </font>
    <font>
      <sz val="10"/>
      <color rgb="FF262626"/>
      <name val="Arial"/>
      <family val="2"/>
    </font>
    <font>
      <sz val="10"/>
      <color theme="1"/>
      <name val="Calibri"/>
      <family val="2"/>
    </font>
    <font>
      <sz val="10"/>
      <color rgb="FF221E1F"/>
      <name val="Arial"/>
      <family val="2"/>
    </font>
    <font>
      <b/>
      <i/>
      <sz val="10"/>
      <color indexed="8"/>
      <name val="Arial"/>
      <family val="2"/>
    </font>
    <font>
      <b/>
      <sz val="12"/>
      <color indexed="8"/>
      <name val="Arial"/>
      <family val="2"/>
    </font>
    <font>
      <b/>
      <sz val="12"/>
      <color rgb="FF434343"/>
      <name val="Arial"/>
      <family val="2"/>
    </font>
    <font>
      <b/>
      <sz val="12"/>
      <color rgb="FF222222"/>
      <name val="Arial"/>
      <family val="2"/>
    </font>
    <font>
      <b/>
      <i/>
      <sz val="10"/>
      <color rgb="FF222222"/>
      <name val="Arial"/>
      <family val="2"/>
    </font>
    <font>
      <b/>
      <i/>
      <sz val="10"/>
      <color theme="1"/>
      <name val="Arial"/>
      <family val="2"/>
    </font>
    <font>
      <b/>
      <sz val="10"/>
      <color rgb="FF222222"/>
      <name val="Arial"/>
      <family val="2"/>
    </font>
    <font>
      <b/>
      <sz val="10"/>
      <color rgb="FF000000"/>
      <name val="Arial"/>
      <family val="2"/>
    </font>
    <font>
      <b/>
      <sz val="9"/>
      <name val="Arial"/>
      <family val="2"/>
    </font>
    <font>
      <b/>
      <sz val="10"/>
      <color indexed="8"/>
      <name val="Arial"/>
      <family val="2"/>
    </font>
    <font>
      <i/>
      <sz val="12"/>
      <name val="Arial"/>
      <family val="2"/>
    </font>
    <font>
      <sz val="9"/>
      <color indexed="81"/>
      <name val="Tahoma"/>
      <family val="2"/>
    </font>
    <font>
      <b/>
      <sz val="9"/>
      <color indexed="81"/>
      <name val="Tahoma"/>
      <family val="2"/>
    </font>
    <font>
      <sz val="10"/>
      <color indexed="8"/>
      <name val="Calibri"/>
      <family val="2"/>
    </font>
    <font>
      <b/>
      <sz val="12"/>
      <name val="Calibri"/>
      <family val="2"/>
    </font>
    <font>
      <i/>
      <sz val="11"/>
      <name val="Arial"/>
      <family val="2"/>
    </font>
    <font>
      <sz val="10"/>
      <color rgb="FF1C1C1E"/>
      <name val="Calibri"/>
      <family val="2"/>
    </font>
    <font>
      <sz val="10"/>
      <name val="Calibri"/>
      <family val="2"/>
      <scheme val="minor"/>
    </font>
    <font>
      <sz val="10"/>
      <name val="Arial"/>
      <family val="2"/>
    </font>
    <font>
      <b/>
      <sz val="8"/>
      <name val="Arial"/>
      <family val="2"/>
    </font>
    <font>
      <b/>
      <sz val="10"/>
      <name val="Arial"/>
      <family val="2"/>
    </font>
    <font>
      <b/>
      <sz val="12"/>
      <name val="Arial"/>
      <family val="2"/>
    </font>
    <font>
      <sz val="12"/>
      <name val="Arial"/>
      <family val="2"/>
    </font>
    <font>
      <b/>
      <i/>
      <sz val="10"/>
      <name val="Arial"/>
      <family val="2"/>
    </font>
    <font>
      <sz val="10"/>
      <color rgb="FF151517"/>
      <name val="Arial"/>
      <family val="2"/>
    </font>
    <font>
      <sz val="10"/>
      <color rgb="FF262626"/>
      <name val="Arial"/>
      <family val="2"/>
    </font>
    <font>
      <sz val="10"/>
      <color rgb="FF000000"/>
      <name val="Arial"/>
      <family val="2"/>
    </font>
    <font>
      <sz val="10"/>
      <name val="Arial"/>
      <family val="2"/>
    </font>
    <font>
      <sz val="10"/>
      <color theme="1"/>
      <name val="Arial"/>
      <family val="2"/>
    </font>
    <font>
      <sz val="10"/>
      <color rgb="FF1C1C1E"/>
      <name val="Arial"/>
      <family val="2"/>
    </font>
    <font>
      <sz val="10"/>
      <color rgb="FF221E1F"/>
      <name val="Arial"/>
      <family val="2"/>
    </font>
  </fonts>
  <fills count="38">
    <fill>
      <patternFill patternType="none"/>
    </fill>
    <fill>
      <patternFill patternType="gray125"/>
    </fill>
    <fill>
      <patternFill patternType="solid">
        <fgColor indexed="22"/>
        <bgColor indexed="64"/>
      </patternFill>
    </fill>
    <fill>
      <patternFill patternType="solid">
        <fgColor indexed="53"/>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92D050"/>
        <bgColor indexed="64"/>
      </patternFill>
    </fill>
    <fill>
      <patternFill patternType="solid">
        <fgColor rgb="FF7030A0"/>
        <bgColor indexed="64"/>
      </patternFill>
    </fill>
    <fill>
      <patternFill patternType="solid">
        <fgColor rgb="FF00B050"/>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1" tint="0.34998626667073579"/>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style="thick">
        <color indexed="64"/>
      </right>
      <top/>
      <bottom/>
      <diagonal/>
    </border>
    <border>
      <left style="thin">
        <color indexed="64"/>
      </left>
      <right/>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s>
  <cellStyleXfs count="18177">
    <xf numFmtId="0" fontId="0" fillId="0" borderId="0"/>
    <xf numFmtId="0" fontId="15" fillId="0" borderId="0"/>
    <xf numFmtId="0" fontId="12" fillId="0" borderId="0"/>
    <xf numFmtId="0" fontId="12" fillId="0" borderId="0"/>
    <xf numFmtId="0" fontId="12" fillId="0" borderId="0"/>
    <xf numFmtId="44" fontId="1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15" fillId="23" borderId="9" applyNumberFormat="0" applyFont="0" applyAlignment="0" applyProtection="0"/>
    <xf numFmtId="0" fontId="25" fillId="24" borderId="10" applyNumberFormat="0" applyAlignment="0" applyProtection="0"/>
    <xf numFmtId="0" fontId="21" fillId="7" borderId="0" applyNumberFormat="0" applyBorder="0" applyAlignment="0" applyProtection="0"/>
    <xf numFmtId="0" fontId="22" fillId="6"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2" borderId="0" applyNumberFormat="0" applyBorder="0" applyAlignment="0" applyProtection="0"/>
    <xf numFmtId="0" fontId="29" fillId="0" borderId="0" applyNumberFormat="0" applyFill="0" applyBorder="0" applyAlignment="0" applyProtection="0"/>
    <xf numFmtId="0" fontId="23" fillId="10" borderId="10" applyNumberFormat="0" applyAlignment="0" applyProtection="0"/>
    <xf numFmtId="0" fontId="27" fillId="25" borderId="11" applyNumberFormat="0" applyAlignment="0" applyProtection="0"/>
    <xf numFmtId="0" fontId="26" fillId="0" borderId="15" applyNumberFormat="0" applyFill="0" applyAlignment="0" applyProtection="0"/>
    <xf numFmtId="0" fontId="17" fillId="0" borderId="0" applyNumberFormat="0" applyFill="0" applyBorder="0" applyAlignment="0" applyProtection="0"/>
    <xf numFmtId="0" fontId="18" fillId="0" borderId="12" applyNumberFormat="0" applyFill="0" applyAlignment="0" applyProtection="0"/>
    <xf numFmtId="0" fontId="19" fillId="0" borderId="13" applyNumberFormat="0" applyFill="0" applyAlignment="0" applyProtection="0"/>
    <xf numFmtId="0" fontId="20" fillId="0" borderId="14" applyNumberFormat="0" applyFill="0" applyAlignment="0" applyProtection="0"/>
    <xf numFmtId="0" fontId="20" fillId="0" borderId="0" applyNumberFormat="0" applyFill="0" applyBorder="0" applyAlignment="0" applyProtection="0"/>
    <xf numFmtId="0" fontId="30" fillId="0" borderId="17" applyNumberFormat="0" applyFill="0" applyAlignment="0" applyProtection="0"/>
    <xf numFmtId="0" fontId="24" fillId="24" borderId="16" applyNumberFormat="0" applyAlignment="0" applyProtection="0"/>
    <xf numFmtId="0" fontId="2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2" borderId="0" applyNumberFormat="0" applyBorder="0" applyAlignment="0" applyProtection="0"/>
    <xf numFmtId="0" fontId="22" fillId="6" borderId="0" applyNumberFormat="0" applyBorder="0" applyAlignment="0" applyProtection="0"/>
    <xf numFmtId="0" fontId="25" fillId="24" borderId="10" applyNumberFormat="0" applyAlignment="0" applyProtection="0"/>
    <xf numFmtId="0" fontId="27" fillId="25" borderId="11" applyNumberFormat="0" applyAlignment="0" applyProtection="0"/>
    <xf numFmtId="0" fontId="29" fillId="0" borderId="0" applyNumberFormat="0" applyFill="0" applyBorder="0" applyAlignment="0" applyProtection="0"/>
    <xf numFmtId="0" fontId="21" fillId="7" borderId="0" applyNumberFormat="0" applyBorder="0" applyAlignment="0" applyProtection="0"/>
    <xf numFmtId="0" fontId="18" fillId="0" borderId="12" applyNumberFormat="0" applyFill="0" applyAlignment="0" applyProtection="0"/>
    <xf numFmtId="0" fontId="19" fillId="0" borderId="13" applyNumberFormat="0" applyFill="0" applyAlignment="0" applyProtection="0"/>
    <xf numFmtId="0" fontId="20" fillId="0" borderId="14" applyNumberFormat="0" applyFill="0" applyAlignment="0" applyProtection="0"/>
    <xf numFmtId="0" fontId="20" fillId="0" borderId="0" applyNumberFormat="0" applyFill="0" applyBorder="0" applyAlignment="0" applyProtection="0"/>
    <xf numFmtId="0" fontId="23" fillId="10" borderId="10" applyNumberFormat="0" applyAlignment="0" applyProtection="0"/>
    <xf numFmtId="0" fontId="26" fillId="0" borderId="15" applyNumberFormat="0" applyFill="0" applyAlignment="0" applyProtection="0"/>
    <xf numFmtId="0" fontId="33" fillId="26" borderId="0" applyNumberFormat="0" applyBorder="0" applyAlignment="0" applyProtection="0"/>
    <xf numFmtId="0" fontId="15" fillId="23" borderId="9" applyNumberFormat="0" applyFont="0" applyAlignment="0" applyProtection="0"/>
    <xf numFmtId="0" fontId="24" fillId="24" borderId="16" applyNumberFormat="0" applyAlignment="0" applyProtection="0"/>
    <xf numFmtId="0" fontId="17" fillId="0" borderId="0" applyNumberFormat="0" applyFill="0" applyBorder="0" applyAlignment="0" applyProtection="0"/>
    <xf numFmtId="0" fontId="30" fillId="0" borderId="17" applyNumberFormat="0" applyFill="0" applyAlignment="0" applyProtection="0"/>
    <xf numFmtId="0" fontId="28" fillId="0" borderId="0" applyNumberFormat="0" applyFill="0" applyBorder="0" applyAlignment="0" applyProtection="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15" fillId="24" borderId="0" applyNumberFormat="0" applyBorder="0" applyAlignment="0" applyProtection="0"/>
    <xf numFmtId="0" fontId="15" fillId="24" borderId="0" applyNumberFormat="0" applyBorder="0" applyAlignment="0" applyProtection="0"/>
    <xf numFmtId="166" fontId="34" fillId="0" borderId="0"/>
    <xf numFmtId="0" fontId="23" fillId="24" borderId="10" applyNumberFormat="0" applyAlignment="0" applyProtection="0"/>
    <xf numFmtId="0" fontId="23" fillId="24" borderId="1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4" fillId="0" borderId="0"/>
    <xf numFmtId="43" fontId="3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9" fillId="0" borderId="0" applyNumberFormat="0" applyFill="0" applyBorder="0" applyAlignment="0" applyProtection="0">
      <alignment vertical="top"/>
      <protection locked="0"/>
    </xf>
    <xf numFmtId="0" fontId="14" fillId="0" borderId="0">
      <alignment vertical="top"/>
    </xf>
    <xf numFmtId="0" fontId="3" fillId="0" borderId="0"/>
    <xf numFmtId="0" fontId="3" fillId="0" borderId="0"/>
    <xf numFmtId="0" fontId="12" fillId="0" borderId="0"/>
    <xf numFmtId="9" fontId="3" fillId="0" borderId="0" applyFont="0" applyFill="0" applyBorder="0" applyAlignment="0" applyProtection="0"/>
    <xf numFmtId="0" fontId="2" fillId="0" borderId="0"/>
    <xf numFmtId="44" fontId="2" fillId="0" borderId="0" applyFont="0" applyFill="0" applyBorder="0" applyAlignment="0" applyProtection="0"/>
    <xf numFmtId="167" fontId="12" fillId="0" borderId="0" applyFont="0" applyFill="0" applyBorder="0" applyAlignment="0" applyProtection="0"/>
    <xf numFmtId="0" fontId="2" fillId="0" borderId="0"/>
    <xf numFmtId="0" fontId="41" fillId="0" borderId="0"/>
    <xf numFmtId="43" fontId="41" fillId="0" borderId="0" applyFont="0" applyFill="0" applyBorder="0" applyAlignment="0" applyProtection="0"/>
    <xf numFmtId="44" fontId="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2" fillId="0" borderId="0"/>
  </cellStyleXfs>
  <cellXfs count="912">
    <xf numFmtId="0" fontId="0" fillId="0" borderId="0" xfId="0"/>
    <xf numFmtId="0" fontId="32" fillId="0" borderId="0" xfId="9135" applyFont="1" applyFill="1" applyBorder="1"/>
    <xf numFmtId="0" fontId="32" fillId="0" borderId="0" xfId="9135" applyFont="1" applyFill="1" applyBorder="1" applyAlignment="1">
      <alignment wrapText="1"/>
    </xf>
    <xf numFmtId="49" fontId="32" fillId="0" borderId="0" xfId="9135" applyNumberFormat="1" applyFont="1" applyFill="1" applyBorder="1" applyAlignment="1">
      <alignment horizontal="center" vertical="center"/>
    </xf>
    <xf numFmtId="44" fontId="12" fillId="0" borderId="0" xfId="0" applyNumberFormat="1" applyFont="1" applyBorder="1" applyAlignment="1" applyProtection="1">
      <protection locked="0"/>
    </xf>
    <xf numFmtId="44" fontId="12" fillId="0" borderId="0" xfId="0" applyNumberFormat="1" applyFont="1" applyFill="1" applyBorder="1" applyAlignment="1" applyProtection="1">
      <protection locked="0"/>
    </xf>
    <xf numFmtId="44" fontId="12" fillId="0" borderId="0" xfId="0" applyNumberFormat="1" applyFont="1" applyFill="1" applyBorder="1" applyAlignment="1" applyProtection="1">
      <alignment horizontal="right"/>
      <protection locked="0"/>
    </xf>
    <xf numFmtId="44" fontId="12" fillId="0" borderId="0" xfId="0" applyNumberFormat="1" applyFont="1"/>
    <xf numFmtId="1" fontId="12" fillId="0" borderId="0" xfId="0" applyNumberFormat="1" applyFont="1" applyFill="1" applyBorder="1" applyAlignment="1">
      <alignment horizontal="center"/>
    </xf>
    <xf numFmtId="0" fontId="12" fillId="0" borderId="0" xfId="0" applyFont="1" applyFill="1" applyBorder="1" applyAlignment="1"/>
    <xf numFmtId="0" fontId="12" fillId="0" borderId="0" xfId="0" applyFont="1" applyAlignment="1">
      <alignment horizontal="center"/>
    </xf>
    <xf numFmtId="44" fontId="12" fillId="0" borderId="0" xfId="0" applyNumberFormat="1" applyFont="1" applyFill="1" applyAlignment="1">
      <alignment vertical="top"/>
    </xf>
    <xf numFmtId="0" fontId="14" fillId="0" borderId="0" xfId="0" applyFont="1" applyFill="1"/>
    <xf numFmtId="0" fontId="12" fillId="0" borderId="0" xfId="0" applyFont="1" applyFill="1" applyBorder="1" applyAlignment="1" applyProtection="1">
      <alignment wrapText="1"/>
      <protection locked="0"/>
    </xf>
    <xf numFmtId="0" fontId="12" fillId="0" borderId="0" xfId="0" applyFont="1" applyBorder="1" applyAlignment="1" applyProtection="1">
      <protection locked="0"/>
    </xf>
    <xf numFmtId="2" fontId="12" fillId="0" borderId="0" xfId="0" applyNumberFormat="1" applyFont="1" applyBorder="1" applyAlignment="1" applyProtection="1">
      <protection locked="0"/>
    </xf>
    <xf numFmtId="49" fontId="12" fillId="0" borderId="0" xfId="0" applyNumberFormat="1" applyFont="1" applyBorder="1" applyAlignment="1" applyProtection="1">
      <protection locked="0"/>
    </xf>
    <xf numFmtId="1" fontId="12" fillId="0" borderId="0" xfId="0" applyNumberFormat="1" applyFont="1" applyBorder="1" applyAlignment="1" applyProtection="1">
      <protection locked="0"/>
    </xf>
    <xf numFmtId="0" fontId="12" fillId="0" borderId="0" xfId="0" applyFont="1" applyFill="1" applyBorder="1" applyAlignment="1" applyProtection="1">
      <protection locked="0"/>
    </xf>
    <xf numFmtId="49" fontId="12" fillId="0" borderId="0" xfId="0" applyNumberFormat="1" applyFont="1" applyFill="1"/>
    <xf numFmtId="0" fontId="12" fillId="0" borderId="0" xfId="0" applyFont="1"/>
    <xf numFmtId="0" fontId="12" fillId="0" borderId="0" xfId="0" applyFont="1" applyBorder="1" applyAlignment="1" applyProtection="1">
      <alignment wrapText="1"/>
      <protection locked="0"/>
    </xf>
    <xf numFmtId="49" fontId="12" fillId="0" borderId="0" xfId="0" applyNumberFormat="1" applyFont="1"/>
    <xf numFmtId="0" fontId="12" fillId="0" borderId="0" xfId="0" applyNumberFormat="1" applyFont="1"/>
    <xf numFmtId="49" fontId="12" fillId="0" borderId="0" xfId="0" applyNumberFormat="1" applyFont="1" applyFill="1" applyBorder="1"/>
    <xf numFmtId="49" fontId="12" fillId="0" borderId="0" xfId="0" applyNumberFormat="1" applyFont="1" applyBorder="1"/>
    <xf numFmtId="0" fontId="12" fillId="0" borderId="0" xfId="0" applyFont="1" applyBorder="1"/>
    <xf numFmtId="49" fontId="12" fillId="0" borderId="0" xfId="0" applyNumberFormat="1" applyFont="1" applyBorder="1" applyAlignment="1" applyProtection="1">
      <alignment horizontal="center"/>
      <protection locked="0"/>
    </xf>
    <xf numFmtId="49" fontId="12" fillId="0" borderId="0" xfId="0" applyNumberFormat="1" applyFont="1" applyFill="1" applyAlignment="1">
      <alignment horizontal="center"/>
    </xf>
    <xf numFmtId="49" fontId="12" fillId="0" borderId="0" xfId="0" applyNumberFormat="1" applyFont="1" applyAlignment="1">
      <alignment horizontal="center"/>
    </xf>
    <xf numFmtId="1" fontId="12" fillId="0" borderId="0" xfId="0" applyNumberFormat="1" applyFont="1" applyAlignment="1">
      <alignment horizontal="center"/>
    </xf>
    <xf numFmtId="49" fontId="12" fillId="0" borderId="0" xfId="0" applyNumberFormat="1" applyFont="1" applyBorder="1" applyAlignment="1">
      <alignment horizontal="center"/>
    </xf>
    <xf numFmtId="1" fontId="12" fillId="0" borderId="0" xfId="0" applyNumberFormat="1" applyFont="1" applyBorder="1" applyAlignment="1" applyProtection="1">
      <alignment horizontal="center"/>
      <protection locked="0"/>
    </xf>
    <xf numFmtId="2" fontId="12" fillId="0" borderId="0" xfId="0" applyNumberFormat="1" applyFont="1" applyFill="1" applyBorder="1" applyAlignment="1" applyProtection="1">
      <protection locked="0"/>
    </xf>
    <xf numFmtId="49" fontId="12" fillId="0" borderId="0" xfId="0" applyNumberFormat="1" applyFont="1" applyFill="1" applyBorder="1" applyAlignment="1" applyProtection="1">
      <protection locked="0"/>
    </xf>
    <xf numFmtId="1" fontId="12" fillId="0" borderId="0" xfId="0" applyNumberFormat="1" applyFont="1" applyFill="1" applyBorder="1" applyAlignment="1" applyProtection="1">
      <protection locked="0"/>
    </xf>
    <xf numFmtId="49" fontId="12" fillId="0" borderId="0" xfId="0" applyNumberFormat="1" applyFont="1" applyFill="1" applyBorder="1" applyAlignment="1" applyProtection="1">
      <alignment horizontal="center"/>
      <protection locked="0"/>
    </xf>
    <xf numFmtId="0" fontId="12" fillId="0" borderId="0" xfId="0" applyFont="1" applyFill="1"/>
    <xf numFmtId="0" fontId="12" fillId="0" borderId="0" xfId="0" applyNumberFormat="1" applyFont="1" applyFill="1"/>
    <xf numFmtId="0" fontId="14" fillId="0" borderId="0" xfId="0" applyFont="1"/>
    <xf numFmtId="0" fontId="12" fillId="0" borderId="0" xfId="0" applyFont="1" applyFill="1" applyBorder="1"/>
    <xf numFmtId="0" fontId="12" fillId="0" borderId="7" xfId="0" applyFont="1" applyBorder="1" applyAlignment="1" applyProtection="1">
      <protection locked="0"/>
    </xf>
    <xf numFmtId="2" fontId="12" fillId="0" borderId="7" xfId="0" applyNumberFormat="1" applyFont="1" applyBorder="1" applyAlignment="1" applyProtection="1">
      <protection locked="0"/>
    </xf>
    <xf numFmtId="2" fontId="12" fillId="0" borderId="8" xfId="0" applyNumberFormat="1" applyFont="1" applyBorder="1" applyAlignment="1" applyProtection="1">
      <protection locked="0"/>
    </xf>
    <xf numFmtId="2" fontId="12" fillId="0" borderId="7" xfId="0" applyNumberFormat="1" applyFont="1" applyFill="1" applyBorder="1" applyAlignment="1" applyProtection="1">
      <protection locked="0"/>
    </xf>
    <xf numFmtId="0" fontId="12" fillId="0" borderId="0" xfId="0" applyFont="1" applyAlignment="1">
      <alignment horizontal="left"/>
    </xf>
    <xf numFmtId="0" fontId="12" fillId="0" borderId="0" xfId="0" applyNumberFormat="1" applyFont="1" applyBorder="1" applyAlignment="1" applyProtection="1">
      <protection locked="0"/>
    </xf>
    <xf numFmtId="1" fontId="12" fillId="0" borderId="0" xfId="0" applyNumberFormat="1" applyFont="1" applyFill="1" applyAlignment="1">
      <alignment horizontal="center"/>
    </xf>
    <xf numFmtId="1" fontId="12" fillId="0" borderId="0" xfId="0" applyNumberFormat="1" applyFont="1" applyFill="1" applyBorder="1" applyAlignment="1" applyProtection="1">
      <alignment horizontal="center"/>
      <protection locked="0"/>
    </xf>
    <xf numFmtId="0" fontId="12" fillId="0" borderId="0" xfId="0" applyFont="1" applyBorder="1" applyAlignment="1" applyProtection="1">
      <alignment horizontal="center"/>
      <protection locked="0"/>
    </xf>
    <xf numFmtId="2" fontId="12" fillId="0" borderId="0" xfId="0" applyNumberFormat="1" applyFont="1" applyAlignment="1">
      <alignment horizontal="center"/>
    </xf>
    <xf numFmtId="0" fontId="16" fillId="0" borderId="0" xfId="0" applyFont="1"/>
    <xf numFmtId="0" fontId="12" fillId="0" borderId="0" xfId="0" applyFont="1" applyAlignment="1">
      <alignment vertical="top"/>
    </xf>
    <xf numFmtId="49" fontId="12" fillId="0" borderId="0" xfId="0" applyNumberFormat="1" applyFont="1" applyAlignment="1">
      <alignment horizontal="center" vertical="center"/>
    </xf>
    <xf numFmtId="49" fontId="12" fillId="0" borderId="0" xfId="0" applyNumberFormat="1" applyFont="1" applyFill="1" applyAlignment="1">
      <alignment horizontal="center" vertical="center"/>
    </xf>
    <xf numFmtId="49" fontId="12" fillId="0" borderId="0" xfId="0" applyNumberFormat="1" applyFont="1" applyFill="1" applyBorder="1" applyAlignment="1">
      <alignment horizontal="center"/>
    </xf>
    <xf numFmtId="2" fontId="12" fillId="0" borderId="0" xfId="0" applyNumberFormat="1" applyFont="1" applyFill="1" applyBorder="1" applyAlignment="1" applyProtection="1">
      <alignment horizontal="center" vertical="center"/>
      <protection locked="0"/>
    </xf>
    <xf numFmtId="0" fontId="12" fillId="0" borderId="0" xfId="0" applyFont="1" applyFill="1" applyAlignment="1">
      <alignment horizontal="left"/>
    </xf>
    <xf numFmtId="1" fontId="12" fillId="0" borderId="0" xfId="0" applyNumberFormat="1" applyFont="1" applyAlignment="1">
      <alignment horizontal="center" vertical="center"/>
    </xf>
    <xf numFmtId="0" fontId="12" fillId="0" borderId="0" xfId="0" applyFont="1" applyFill="1" applyAlignment="1">
      <alignment vertical="top"/>
    </xf>
    <xf numFmtId="49" fontId="12" fillId="0" borderId="0" xfId="0" applyNumberFormat="1" applyFont="1" applyFill="1" applyAlignment="1">
      <alignment horizontal="center" vertical="top"/>
    </xf>
    <xf numFmtId="0" fontId="12" fillId="0" borderId="0" xfId="0" applyFont="1" applyFill="1" applyBorder="1" applyAlignment="1">
      <alignment horizontal="center" vertical="center"/>
    </xf>
    <xf numFmtId="0" fontId="32" fillId="0" borderId="0" xfId="0" applyFont="1"/>
    <xf numFmtId="0" fontId="12" fillId="0" borderId="0" xfId="0" applyFont="1" applyFill="1" applyAlignment="1"/>
    <xf numFmtId="0" fontId="12" fillId="0" borderId="0" xfId="0" quotePrefix="1" applyFont="1" applyAlignment="1">
      <alignment horizontal="center" vertical="center"/>
    </xf>
    <xf numFmtId="0" fontId="36" fillId="0" borderId="0" xfId="0" applyFont="1" applyBorder="1" applyAlignment="1" applyProtection="1">
      <protection locked="0"/>
    </xf>
    <xf numFmtId="1" fontId="12" fillId="0" borderId="0" xfId="0" applyNumberFormat="1" applyFont="1" applyFill="1" applyAlignment="1">
      <alignment horizontal="center" vertical="center"/>
    </xf>
    <xf numFmtId="0" fontId="12" fillId="0" borderId="0" xfId="0" applyFont="1" applyAlignment="1">
      <alignment vertical="center"/>
    </xf>
    <xf numFmtId="1" fontId="12" fillId="0" borderId="0" xfId="0" quotePrefix="1" applyNumberFormat="1" applyFont="1" applyFill="1" applyBorder="1" applyAlignment="1">
      <alignment horizontal="center"/>
    </xf>
    <xf numFmtId="1" fontId="12" fillId="0" borderId="0" xfId="0" applyNumberFormat="1" applyFont="1" applyBorder="1" applyAlignment="1" applyProtection="1">
      <alignment horizontal="center" vertical="center"/>
      <protection locked="0"/>
    </xf>
    <xf numFmtId="2" fontId="12" fillId="0" borderId="8" xfId="0" applyNumberFormat="1" applyFont="1" applyFill="1" applyBorder="1" applyAlignment="1" applyProtection="1">
      <protection locked="0"/>
    </xf>
    <xf numFmtId="0" fontId="42" fillId="0" borderId="0" xfId="0" applyFont="1"/>
    <xf numFmtId="0" fontId="12" fillId="0" borderId="0" xfId="0" applyFont="1" applyBorder="1" applyAlignment="1" applyProtection="1">
      <alignment vertical="top" wrapText="1"/>
      <protection locked="0"/>
    </xf>
    <xf numFmtId="0" fontId="12" fillId="0" borderId="0" xfId="0" applyFont="1" applyBorder="1" applyAlignment="1" applyProtection="1">
      <alignment vertical="top"/>
      <protection locked="0"/>
    </xf>
    <xf numFmtId="1" fontId="12" fillId="0" borderId="8" xfId="0" applyNumberFormat="1" applyFont="1" applyBorder="1" applyAlignment="1" applyProtection="1">
      <protection locked="0"/>
    </xf>
    <xf numFmtId="49" fontId="12" fillId="0" borderId="0" xfId="2" applyNumberFormat="1" applyFont="1" applyFill="1" applyAlignment="1">
      <alignment horizontal="center"/>
    </xf>
    <xf numFmtId="1" fontId="12" fillId="0" borderId="0" xfId="1" applyNumberFormat="1" applyFont="1" applyAlignment="1">
      <alignment horizontal="center"/>
    </xf>
    <xf numFmtId="1" fontId="12" fillId="0" borderId="0" xfId="1" applyNumberFormat="1" applyFont="1" applyFill="1" applyAlignment="1">
      <alignment horizontal="center"/>
    </xf>
    <xf numFmtId="0" fontId="12" fillId="0" borderId="0" xfId="2" applyFont="1" applyFill="1"/>
    <xf numFmtId="1" fontId="12" fillId="0" borderId="0" xfId="2" applyNumberFormat="1" applyFont="1" applyAlignment="1">
      <alignment horizontal="center"/>
    </xf>
    <xf numFmtId="0" fontId="32" fillId="0" borderId="0" xfId="0" applyFont="1" applyAlignment="1"/>
    <xf numFmtId="44" fontId="32" fillId="0" borderId="0" xfId="9136" applyNumberFormat="1" applyFont="1" applyFill="1" applyBorder="1"/>
    <xf numFmtId="44" fontId="32" fillId="0" borderId="0" xfId="9141" applyFont="1" applyFill="1" applyBorder="1"/>
    <xf numFmtId="44" fontId="12" fillId="0" borderId="0" xfId="9141" applyFont="1" applyFill="1" applyBorder="1"/>
    <xf numFmtId="0" fontId="16" fillId="0" borderId="0" xfId="0" applyFont="1" applyFill="1"/>
    <xf numFmtId="0" fontId="42" fillId="0" borderId="0" xfId="0" applyFont="1" applyFill="1"/>
    <xf numFmtId="0" fontId="12" fillId="0" borderId="0" xfId="0" applyFont="1" applyFill="1" applyBorder="1" applyAlignment="1" applyProtection="1">
      <alignment vertical="top" wrapText="1"/>
      <protection locked="0"/>
    </xf>
    <xf numFmtId="2" fontId="12" fillId="0" borderId="0" xfId="0" applyNumberFormat="1" applyFont="1" applyFill="1" applyBorder="1"/>
    <xf numFmtId="2" fontId="12" fillId="0" borderId="0" xfId="0" applyNumberFormat="1" applyFont="1" applyBorder="1"/>
    <xf numFmtId="2" fontId="12" fillId="0" borderId="0" xfId="0" quotePrefix="1" applyNumberFormat="1" applyFont="1" applyFill="1" applyBorder="1" applyAlignment="1" applyProtection="1">
      <protection locked="0"/>
    </xf>
    <xf numFmtId="2" fontId="12" fillId="0" borderId="7" xfId="0" quotePrefix="1" applyNumberFormat="1" applyFont="1" applyFill="1" applyBorder="1" applyAlignment="1" applyProtection="1">
      <protection locked="0"/>
    </xf>
    <xf numFmtId="2" fontId="12" fillId="0" borderId="7" xfId="0" applyNumberFormat="1" applyFont="1" applyFill="1" applyBorder="1"/>
    <xf numFmtId="2" fontId="12" fillId="0" borderId="8" xfId="0" applyNumberFormat="1" applyFont="1" applyFill="1" applyBorder="1" applyAlignment="1" applyProtection="1">
      <alignment horizontal="center" vertical="center"/>
      <protection locked="0"/>
    </xf>
    <xf numFmtId="2" fontId="12" fillId="0" borderId="0" xfId="0" applyNumberFormat="1" applyFont="1" applyAlignment="1">
      <alignment horizontal="center" vertical="center"/>
    </xf>
    <xf numFmtId="0" fontId="14" fillId="0" borderId="0" xfId="0" applyFont="1" applyFill="1" applyAlignment="1"/>
    <xf numFmtId="2" fontId="32" fillId="0" borderId="0" xfId="9135" applyNumberFormat="1" applyFont="1" applyFill="1" applyBorder="1" applyAlignment="1">
      <alignment horizontal="center" vertical="center"/>
    </xf>
    <xf numFmtId="0" fontId="12" fillId="0" borderId="0" xfId="0" applyNumberFormat="1" applyFont="1" applyFill="1" applyBorder="1" applyAlignment="1" applyProtection="1">
      <protection locked="0"/>
    </xf>
    <xf numFmtId="49" fontId="12" fillId="0" borderId="0" xfId="9135" applyNumberFormat="1" applyFont="1" applyFill="1" applyBorder="1" applyAlignment="1">
      <alignment horizontal="center" vertical="center"/>
    </xf>
    <xf numFmtId="0" fontId="12" fillId="0" borderId="0" xfId="0" applyFont="1" applyAlignment="1">
      <alignment vertical="top" wrapText="1"/>
    </xf>
    <xf numFmtId="2" fontId="12" fillId="0" borderId="7" xfId="0" applyNumberFormat="1" applyFont="1" applyFill="1" applyBorder="1" applyProtection="1">
      <protection locked="0"/>
    </xf>
    <xf numFmtId="2" fontId="12" fillId="0" borderId="0" xfId="0" applyNumberFormat="1" applyFont="1" applyFill="1" applyBorder="1" applyProtection="1">
      <protection locked="0"/>
    </xf>
    <xf numFmtId="2" fontId="12" fillId="0" borderId="8" xfId="0" applyNumberFormat="1" applyFont="1" applyFill="1" applyBorder="1" applyProtection="1">
      <protection locked="0"/>
    </xf>
    <xf numFmtId="0" fontId="11" fillId="0" borderId="0" xfId="0" applyFont="1" applyFill="1" applyBorder="1" applyAlignment="1" applyProtection="1">
      <protection locked="0"/>
    </xf>
    <xf numFmtId="0" fontId="12" fillId="0" borderId="0" xfId="2" applyFont="1" applyFill="1" applyAlignment="1" applyProtection="1">
      <alignment horizontal="left" wrapText="1"/>
    </xf>
    <xf numFmtId="0" fontId="12" fillId="0" borderId="0" xfId="0" applyFont="1" applyFill="1" applyAlignment="1">
      <alignment horizontal="left" vertical="center"/>
    </xf>
    <xf numFmtId="0" fontId="13" fillId="0" borderId="0" xfId="0" applyFont="1" applyFill="1" applyBorder="1" applyAlignment="1" applyProtection="1">
      <protection locked="0"/>
    </xf>
    <xf numFmtId="0" fontId="13" fillId="0" borderId="0" xfId="0" applyFont="1" applyBorder="1" applyAlignment="1" applyProtection="1">
      <protection locked="0"/>
    </xf>
    <xf numFmtId="1" fontId="32" fillId="0" borderId="0" xfId="9135" applyNumberFormat="1" applyFont="1" applyFill="1" applyBorder="1" applyAlignment="1">
      <alignment horizontal="center" vertical="center"/>
    </xf>
    <xf numFmtId="1" fontId="16" fillId="0" borderId="0" xfId="0" applyNumberFormat="1" applyFont="1" applyAlignment="1">
      <alignment horizontal="center" vertical="center"/>
    </xf>
    <xf numFmtId="1" fontId="16" fillId="0" borderId="0" xfId="0" applyNumberFormat="1" applyFont="1" applyFill="1" applyAlignment="1">
      <alignment horizontal="center" vertical="center"/>
    </xf>
    <xf numFmtId="0" fontId="0" fillId="0" borderId="0" xfId="0" applyAlignment="1">
      <alignment horizontal="center" vertical="center"/>
    </xf>
    <xf numFmtId="49" fontId="12" fillId="0" borderId="0" xfId="0" quotePrefix="1" applyNumberFormat="1" applyFont="1" applyAlignment="1">
      <alignment horizontal="center"/>
    </xf>
    <xf numFmtId="1" fontId="32" fillId="0" borderId="0" xfId="0" applyNumberFormat="1" applyFont="1" applyAlignment="1">
      <alignment horizontal="center" vertical="center"/>
    </xf>
    <xf numFmtId="0" fontId="12" fillId="0" borderId="0" xfId="0" applyFont="1" applyAlignment="1">
      <alignment vertical="center" wrapText="1"/>
    </xf>
    <xf numFmtId="2" fontId="12" fillId="0" borderId="0" xfId="2" applyNumberFormat="1" applyFont="1" applyFill="1" applyBorder="1" applyAlignment="1" applyProtection="1">
      <protection locked="0"/>
    </xf>
    <xf numFmtId="1" fontId="12" fillId="0" borderId="0" xfId="2" applyNumberFormat="1" applyFont="1" applyFill="1" applyBorder="1" applyAlignment="1">
      <alignment horizontal="center"/>
    </xf>
    <xf numFmtId="0" fontId="11" fillId="0" borderId="0" xfId="0" applyFont="1"/>
    <xf numFmtId="169" fontId="12" fillId="0" borderId="0" xfId="0" applyNumberFormat="1" applyFont="1" applyAlignment="1">
      <alignment horizontal="center"/>
    </xf>
    <xf numFmtId="0" fontId="12" fillId="0" borderId="8" xfId="0" applyFont="1" applyBorder="1"/>
    <xf numFmtId="0" fontId="12" fillId="0" borderId="0" xfId="0" applyFont="1" applyFill="1" applyBorder="1" applyProtection="1">
      <protection locked="0"/>
    </xf>
    <xf numFmtId="2" fontId="12" fillId="27" borderId="7" xfId="0" applyNumberFormat="1" applyFont="1" applyFill="1" applyBorder="1" applyAlignment="1" applyProtection="1">
      <protection locked="0"/>
    </xf>
    <xf numFmtId="2" fontId="12" fillId="27" borderId="0" xfId="0" applyNumberFormat="1" applyFont="1" applyFill="1" applyBorder="1" applyAlignment="1" applyProtection="1">
      <protection locked="0"/>
    </xf>
    <xf numFmtId="2" fontId="12" fillId="27" borderId="8" xfId="0" applyNumberFormat="1" applyFont="1" applyFill="1" applyBorder="1" applyAlignment="1" applyProtection="1">
      <protection locked="0"/>
    </xf>
    <xf numFmtId="1" fontId="12" fillId="27" borderId="0" xfId="0" applyNumberFormat="1" applyFont="1" applyFill="1" applyBorder="1" applyAlignment="1" applyProtection="1">
      <protection locked="0"/>
    </xf>
    <xf numFmtId="49" fontId="12" fillId="27" borderId="0" xfId="0" applyNumberFormat="1" applyFont="1" applyFill="1" applyAlignment="1">
      <alignment horizontal="center"/>
    </xf>
    <xf numFmtId="170" fontId="12" fillId="0" borderId="0" xfId="0" applyNumberFormat="1" applyFont="1" applyFill="1" applyBorder="1" applyAlignment="1" applyProtection="1">
      <protection locked="0"/>
    </xf>
    <xf numFmtId="170" fontId="12" fillId="28" borderId="0" xfId="0" applyNumberFormat="1" applyFont="1" applyFill="1" applyBorder="1" applyAlignment="1" applyProtection="1">
      <protection locked="0"/>
    </xf>
    <xf numFmtId="170" fontId="12" fillId="0" borderId="0" xfId="0" applyNumberFormat="1" applyFont="1" applyBorder="1" applyAlignment="1" applyProtection="1">
      <protection locked="0"/>
    </xf>
    <xf numFmtId="2" fontId="12" fillId="27" borderId="0" xfId="0" applyNumberFormat="1" applyFont="1" applyFill="1" applyBorder="1" applyAlignment="1" applyProtection="1">
      <alignment horizontal="right"/>
      <protection locked="0"/>
    </xf>
    <xf numFmtId="2" fontId="12" fillId="0" borderId="0" xfId="0" applyNumberFormat="1" applyFont="1" applyFill="1" applyBorder="1" applyAlignment="1" applyProtection="1">
      <alignment horizontal="right"/>
      <protection locked="0"/>
    </xf>
    <xf numFmtId="2" fontId="12" fillId="0" borderId="8" xfId="0" applyNumberFormat="1" applyFont="1" applyFill="1" applyBorder="1" applyAlignment="1" applyProtection="1">
      <alignment horizontal="right"/>
      <protection locked="0"/>
    </xf>
    <xf numFmtId="0" fontId="12" fillId="0" borderId="7" xfId="0" applyFont="1" applyFill="1" applyBorder="1" applyAlignment="1" applyProtection="1">
      <protection locked="0"/>
    </xf>
    <xf numFmtId="2" fontId="12" fillId="0" borderId="0" xfId="0" applyNumberFormat="1" applyFont="1" applyFill="1" applyBorder="1" applyAlignment="1" applyProtection="1">
      <alignment horizontal="right" vertical="center"/>
      <protection locked="0"/>
    </xf>
    <xf numFmtId="2" fontId="12" fillId="0" borderId="8" xfId="0" applyNumberFormat="1" applyFont="1" applyFill="1" applyBorder="1" applyAlignment="1" applyProtection="1">
      <alignment horizontal="right" vertical="center"/>
      <protection locked="0"/>
    </xf>
    <xf numFmtId="0" fontId="12" fillId="0" borderId="0" xfId="0" applyNumberFormat="1" applyFont="1" applyBorder="1" applyAlignment="1" applyProtection="1">
      <alignment wrapText="1"/>
      <protection locked="0"/>
    </xf>
    <xf numFmtId="0" fontId="12" fillId="0" borderId="0" xfId="0" applyNumberFormat="1" applyFont="1" applyFill="1" applyBorder="1" applyAlignment="1" applyProtection="1">
      <alignment wrapText="1"/>
      <protection locked="0"/>
    </xf>
    <xf numFmtId="0" fontId="12" fillId="0" borderId="0" xfId="0" applyNumberFormat="1" applyFont="1" applyAlignment="1"/>
    <xf numFmtId="0" fontId="12" fillId="0" borderId="0" xfId="0" applyNumberFormat="1" applyFont="1" applyFill="1" applyBorder="1" applyAlignment="1"/>
    <xf numFmtId="0" fontId="12" fillId="0" borderId="0" xfId="0" applyNumberFormat="1" applyFont="1" applyFill="1" applyAlignment="1"/>
    <xf numFmtId="2" fontId="12" fillId="0" borderId="0" xfId="0" applyNumberFormat="1" applyFont="1" applyFill="1"/>
    <xf numFmtId="0" fontId="12" fillId="27" borderId="0" xfId="0" applyFont="1" applyFill="1"/>
    <xf numFmtId="0" fontId="57" fillId="0" borderId="0" xfId="0" applyNumberFormat="1" applyFont="1" applyFill="1" applyBorder="1" applyAlignment="1"/>
    <xf numFmtId="2" fontId="13" fillId="0" borderId="0" xfId="0" applyNumberFormat="1" applyFont="1" applyBorder="1" applyAlignment="1" applyProtection="1">
      <protection locked="0"/>
    </xf>
    <xf numFmtId="49" fontId="13" fillId="0" borderId="0" xfId="0" applyNumberFormat="1" applyFont="1" applyBorder="1" applyAlignment="1" applyProtection="1">
      <protection locked="0"/>
    </xf>
    <xf numFmtId="49" fontId="13" fillId="0" borderId="0" xfId="0" applyNumberFormat="1" applyFont="1" applyBorder="1" applyAlignment="1" applyProtection="1">
      <alignment horizontal="center"/>
      <protection locked="0"/>
    </xf>
    <xf numFmtId="44" fontId="13" fillId="0" borderId="0" xfId="0" applyNumberFormat="1" applyFont="1" applyBorder="1" applyAlignment="1" applyProtection="1">
      <protection locked="0"/>
    </xf>
    <xf numFmtId="1" fontId="13" fillId="0" borderId="0" xfId="0" applyNumberFormat="1" applyFont="1" applyBorder="1" applyAlignment="1" applyProtection="1">
      <protection locked="0"/>
    </xf>
    <xf numFmtId="2" fontId="13" fillId="0" borderId="7" xfId="0" applyNumberFormat="1" applyFont="1" applyBorder="1" applyAlignment="1" applyProtection="1">
      <protection locked="0"/>
    </xf>
    <xf numFmtId="2" fontId="13" fillId="0" borderId="8" xfId="0" applyNumberFormat="1" applyFont="1" applyBorder="1" applyAlignment="1" applyProtection="1">
      <protection locked="0"/>
    </xf>
    <xf numFmtId="49" fontId="53" fillId="0" borderId="0" xfId="0" applyNumberFormat="1" applyFont="1" applyFill="1"/>
    <xf numFmtId="2" fontId="53" fillId="0" borderId="7" xfId="0" applyNumberFormat="1" applyFont="1" applyFill="1" applyBorder="1" applyAlignment="1" applyProtection="1">
      <protection locked="0"/>
    </xf>
    <xf numFmtId="2" fontId="53" fillId="0" borderId="0" xfId="0" applyNumberFormat="1" applyFont="1" applyFill="1" applyBorder="1" applyAlignment="1" applyProtection="1">
      <protection locked="0"/>
    </xf>
    <xf numFmtId="2" fontId="53" fillId="0" borderId="8" xfId="0" applyNumberFormat="1" applyFont="1" applyFill="1" applyBorder="1" applyAlignment="1" applyProtection="1">
      <protection locked="0"/>
    </xf>
    <xf numFmtId="49" fontId="13" fillId="0" borderId="0" xfId="0" applyNumberFormat="1" applyFont="1" applyFill="1"/>
    <xf numFmtId="2" fontId="13" fillId="0" borderId="7" xfId="0" applyNumberFormat="1" applyFont="1" applyFill="1" applyBorder="1" applyAlignment="1" applyProtection="1">
      <protection locked="0"/>
    </xf>
    <xf numFmtId="2" fontId="13" fillId="0" borderId="0" xfId="0" applyNumberFormat="1" applyFont="1" applyFill="1" applyBorder="1" applyAlignment="1" applyProtection="1">
      <protection locked="0"/>
    </xf>
    <xf numFmtId="2" fontId="13" fillId="0" borderId="8" xfId="0" applyNumberFormat="1" applyFont="1" applyFill="1" applyBorder="1" applyAlignment="1" applyProtection="1">
      <protection locked="0"/>
    </xf>
    <xf numFmtId="0" fontId="13" fillId="0" borderId="0" xfId="0" applyFont="1" applyFill="1"/>
    <xf numFmtId="0" fontId="13" fillId="0" borderId="0" xfId="0" applyFont="1" applyFill="1" applyBorder="1"/>
    <xf numFmtId="0" fontId="59" fillId="0" borderId="0" xfId="0" applyFont="1" applyFill="1" applyAlignment="1"/>
    <xf numFmtId="1" fontId="13" fillId="0" borderId="0" xfId="1" applyNumberFormat="1" applyFont="1" applyFill="1" applyAlignment="1">
      <alignment horizontal="center"/>
    </xf>
    <xf numFmtId="0" fontId="53" fillId="0" borderId="0" xfId="0" applyFont="1" applyFill="1"/>
    <xf numFmtId="49" fontId="13" fillId="0" borderId="0" xfId="0" applyNumberFormat="1" applyFont="1" applyFill="1" applyBorder="1" applyAlignment="1" applyProtection="1">
      <alignment horizontal="center"/>
      <protection locked="0"/>
    </xf>
    <xf numFmtId="49" fontId="13" fillId="0" borderId="0" xfId="0" applyNumberFormat="1" applyFont="1" applyFill="1" applyAlignment="1">
      <alignment horizontal="center"/>
    </xf>
    <xf numFmtId="44" fontId="13" fillId="0" borderId="0" xfId="0" applyNumberFormat="1" applyFont="1" applyFill="1" applyBorder="1" applyAlignment="1" applyProtection="1">
      <protection locked="0"/>
    </xf>
    <xf numFmtId="1" fontId="13" fillId="0" borderId="0" xfId="0" applyNumberFormat="1" applyFont="1" applyFill="1" applyBorder="1" applyAlignment="1" applyProtection="1">
      <protection locked="0"/>
    </xf>
    <xf numFmtId="2" fontId="13" fillId="0" borderId="7" xfId="0" applyNumberFormat="1" applyFont="1" applyFill="1" applyBorder="1" applyProtection="1">
      <protection locked="0"/>
    </xf>
    <xf numFmtId="2" fontId="13" fillId="0" borderId="0" xfId="0" applyNumberFormat="1" applyFont="1" applyFill="1" applyBorder="1" applyProtection="1">
      <protection locked="0"/>
    </xf>
    <xf numFmtId="2" fontId="13" fillId="0" borderId="8" xfId="0" applyNumberFormat="1" applyFont="1" applyFill="1" applyBorder="1" applyProtection="1">
      <protection locked="0"/>
    </xf>
    <xf numFmtId="0" fontId="13" fillId="0" borderId="0" xfId="0" applyFont="1" applyFill="1" applyBorder="1" applyAlignment="1" applyProtection="1">
      <alignment wrapText="1"/>
      <protection locked="0"/>
    </xf>
    <xf numFmtId="49" fontId="53" fillId="0" borderId="0" xfId="0" applyNumberFormat="1" applyFont="1" applyFill="1" applyBorder="1" applyAlignment="1" applyProtection="1">
      <alignment horizontal="center"/>
      <protection locked="0"/>
    </xf>
    <xf numFmtId="1" fontId="53" fillId="0" borderId="0" xfId="0" applyNumberFormat="1" applyFont="1" applyFill="1" applyBorder="1" applyAlignment="1">
      <alignment horizontal="center"/>
    </xf>
    <xf numFmtId="0" fontId="53" fillId="0" borderId="0" xfId="0" applyFont="1" applyFill="1" applyBorder="1" applyAlignment="1" applyProtection="1">
      <protection locked="0"/>
    </xf>
    <xf numFmtId="49" fontId="53" fillId="0" borderId="0" xfId="0" applyNumberFormat="1" applyFont="1" applyFill="1" applyAlignment="1">
      <alignment horizontal="center"/>
    </xf>
    <xf numFmtId="44" fontId="53" fillId="0" borderId="0" xfId="0" applyNumberFormat="1" applyFont="1" applyFill="1" applyBorder="1" applyAlignment="1" applyProtection="1">
      <protection locked="0"/>
    </xf>
    <xf numFmtId="1" fontId="53" fillId="0" borderId="0" xfId="0" applyNumberFormat="1" applyFont="1" applyFill="1" applyBorder="1" applyAlignment="1" applyProtection="1">
      <protection locked="0"/>
    </xf>
    <xf numFmtId="2" fontId="53" fillId="0" borderId="7" xfId="0" applyNumberFormat="1" applyFont="1" applyFill="1" applyBorder="1" applyProtection="1">
      <protection locked="0"/>
    </xf>
    <xf numFmtId="2" fontId="53" fillId="0" borderId="0" xfId="0" applyNumberFormat="1" applyFont="1" applyFill="1" applyBorder="1" applyProtection="1">
      <protection locked="0"/>
    </xf>
    <xf numFmtId="2" fontId="53" fillId="0" borderId="8" xfId="0" applyNumberFormat="1" applyFont="1" applyFill="1" applyBorder="1" applyProtection="1">
      <protection locked="0"/>
    </xf>
    <xf numFmtId="0" fontId="53" fillId="0" borderId="0" xfId="0" applyFont="1" applyFill="1" applyBorder="1" applyAlignment="1" applyProtection="1">
      <alignment wrapText="1"/>
      <protection locked="0"/>
    </xf>
    <xf numFmtId="1" fontId="53" fillId="0" borderId="0" xfId="1" applyNumberFormat="1" applyFont="1" applyFill="1" applyAlignment="1">
      <alignment horizontal="center"/>
    </xf>
    <xf numFmtId="2" fontId="53" fillId="0" borderId="7" xfId="0" applyNumberFormat="1" applyFont="1" applyFill="1" applyBorder="1"/>
    <xf numFmtId="2" fontId="53" fillId="0" borderId="0" xfId="0" applyNumberFormat="1" applyFont="1" applyFill="1" applyBorder="1"/>
    <xf numFmtId="0" fontId="58" fillId="0" borderId="0" xfId="0" applyFont="1" applyFill="1" applyAlignment="1"/>
    <xf numFmtId="0" fontId="53" fillId="0" borderId="0" xfId="0" applyFont="1" applyFill="1" applyBorder="1"/>
    <xf numFmtId="0" fontId="58" fillId="0" borderId="0" xfId="0" applyFont="1" applyFill="1"/>
    <xf numFmtId="2" fontId="12" fillId="0" borderId="8" xfId="0" applyNumberFormat="1" applyFont="1" applyFill="1" applyBorder="1"/>
    <xf numFmtId="1" fontId="12" fillId="0" borderId="8" xfId="0" applyNumberFormat="1" applyFont="1" applyFill="1" applyBorder="1" applyAlignment="1" applyProtection="1">
      <protection locked="0"/>
    </xf>
    <xf numFmtId="1" fontId="12" fillId="27" borderId="8" xfId="0" applyNumberFormat="1" applyFont="1" applyFill="1" applyBorder="1" applyAlignment="1" applyProtection="1">
      <protection locked="0"/>
    </xf>
    <xf numFmtId="0" fontId="12" fillId="27" borderId="8" xfId="0" applyFont="1" applyFill="1" applyBorder="1"/>
    <xf numFmtId="1" fontId="53" fillId="0" borderId="0" xfId="0" applyNumberFormat="1" applyFont="1" applyFill="1" applyAlignment="1">
      <alignment horizontal="center"/>
    </xf>
    <xf numFmtId="1" fontId="53" fillId="0" borderId="0" xfId="0" applyNumberFormat="1" applyFont="1" applyFill="1" applyAlignment="1">
      <alignment horizontal="center" vertical="center"/>
    </xf>
    <xf numFmtId="49" fontId="13" fillId="0" borderId="0" xfId="0" applyNumberFormat="1" applyFont="1" applyFill="1" applyBorder="1" applyAlignment="1" applyProtection="1">
      <protection locked="0"/>
    </xf>
    <xf numFmtId="0" fontId="13" fillId="0" borderId="0" xfId="0" applyFont="1" applyFill="1" applyAlignment="1">
      <alignment horizontal="center"/>
    </xf>
    <xf numFmtId="0" fontId="12" fillId="0" borderId="0" xfId="0" applyFont="1" applyFill="1" applyBorder="1" applyAlignment="1" applyProtection="1">
      <alignment horizontal="center"/>
      <protection locked="0"/>
    </xf>
    <xf numFmtId="0" fontId="60" fillId="0" borderId="0" xfId="0" applyFont="1" applyFill="1" applyAlignment="1">
      <alignment vertical="center" wrapText="1"/>
    </xf>
    <xf numFmtId="0" fontId="16" fillId="0" borderId="0" xfId="0" applyFont="1" applyFill="1" applyAlignment="1">
      <alignment vertical="center"/>
    </xf>
    <xf numFmtId="0" fontId="61" fillId="0" borderId="0" xfId="0" applyFont="1" applyFill="1" applyAlignment="1">
      <alignment horizontal="left" vertical="center" indent="1"/>
    </xf>
    <xf numFmtId="0" fontId="62" fillId="0" borderId="0" xfId="0" applyFont="1" applyFill="1" applyAlignment="1">
      <alignment horizontal="left" vertical="center" indent="1"/>
    </xf>
    <xf numFmtId="49" fontId="53" fillId="0" borderId="0" xfId="0" applyNumberFormat="1" applyFont="1" applyFill="1" applyBorder="1" applyAlignment="1" applyProtection="1">
      <protection locked="0"/>
    </xf>
    <xf numFmtId="0" fontId="63" fillId="0" borderId="0" xfId="0" applyFont="1" applyFill="1"/>
    <xf numFmtId="1" fontId="63" fillId="0" borderId="0" xfId="0" applyNumberFormat="1" applyFont="1" applyFill="1" applyAlignment="1">
      <alignment horizontal="center" vertical="center"/>
    </xf>
    <xf numFmtId="0" fontId="13" fillId="0" borderId="0" xfId="0" applyFont="1" applyFill="1" applyBorder="1" applyAlignment="1" applyProtection="1">
      <alignment horizontal="center"/>
      <protection locked="0"/>
    </xf>
    <xf numFmtId="2" fontId="12" fillId="0" borderId="7" xfId="0" applyNumberFormat="1" applyFont="1" applyFill="1" applyBorder="1" applyAlignment="1" applyProtection="1">
      <alignment horizontal="right" vertical="center"/>
      <protection locked="0"/>
    </xf>
    <xf numFmtId="0" fontId="40" fillId="0" borderId="0" xfId="0" applyFont="1" applyFill="1"/>
    <xf numFmtId="2" fontId="11" fillId="0" borderId="0" xfId="0" applyNumberFormat="1" applyFont="1" applyFill="1" applyBorder="1" applyAlignment="1" applyProtection="1">
      <protection locked="0"/>
    </xf>
    <xf numFmtId="49" fontId="11" fillId="0" borderId="0" xfId="0" applyNumberFormat="1" applyFont="1" applyFill="1" applyBorder="1" applyAlignment="1" applyProtection="1">
      <protection locked="0"/>
    </xf>
    <xf numFmtId="49" fontId="11" fillId="0" borderId="0" xfId="0" applyNumberFormat="1" applyFont="1" applyFill="1" applyBorder="1" applyAlignment="1" applyProtection="1">
      <alignment horizontal="center"/>
      <protection locked="0"/>
    </xf>
    <xf numFmtId="44" fontId="11" fillId="0" borderId="0" xfId="0" applyNumberFormat="1" applyFont="1" applyFill="1" applyBorder="1" applyAlignment="1" applyProtection="1">
      <protection locked="0"/>
    </xf>
    <xf numFmtId="1" fontId="11" fillId="0" borderId="0" xfId="0" applyNumberFormat="1" applyFont="1" applyFill="1" applyBorder="1" applyAlignment="1" applyProtection="1">
      <protection locked="0"/>
    </xf>
    <xf numFmtId="2" fontId="11" fillId="0" borderId="7" xfId="0" applyNumberFormat="1" applyFont="1" applyFill="1" applyBorder="1" applyAlignment="1" applyProtection="1">
      <protection locked="0"/>
    </xf>
    <xf numFmtId="2" fontId="11" fillId="0" borderId="8" xfId="0" applyNumberFormat="1" applyFont="1" applyFill="1" applyBorder="1" applyAlignment="1" applyProtection="1">
      <protection locked="0"/>
    </xf>
    <xf numFmtId="0" fontId="64" fillId="0" borderId="0" xfId="0" applyFont="1" applyFill="1"/>
    <xf numFmtId="0" fontId="11" fillId="0" borderId="0" xfId="0" applyFont="1" applyFill="1" applyAlignment="1"/>
    <xf numFmtId="1" fontId="11" fillId="0" borderId="0" xfId="0" applyNumberFormat="1" applyFont="1" applyFill="1" applyBorder="1" applyAlignment="1" applyProtection="1">
      <alignment horizontal="center" vertical="center"/>
      <protection locked="0"/>
    </xf>
    <xf numFmtId="0" fontId="11" fillId="0" borderId="0" xfId="0" applyFont="1" applyFill="1"/>
    <xf numFmtId="0" fontId="12" fillId="0" borderId="0" xfId="0" applyFont="1" applyFill="1" applyAlignment="1">
      <alignment horizontal="left" vertical="center" wrapText="1"/>
    </xf>
    <xf numFmtId="0" fontId="12" fillId="0" borderId="0" xfId="0" applyFont="1" applyFill="1" applyAlignment="1">
      <alignment vertical="center"/>
    </xf>
    <xf numFmtId="44" fontId="12" fillId="0" borderId="0" xfId="0" applyNumberFormat="1" applyFont="1" applyFill="1"/>
    <xf numFmtId="49" fontId="12" fillId="0" borderId="0" xfId="0" applyNumberFormat="1" applyFont="1" applyFill="1" applyBorder="1" applyAlignment="1" applyProtection="1">
      <alignment horizontal="left"/>
      <protection locked="0"/>
    </xf>
    <xf numFmtId="2" fontId="12" fillId="27" borderId="7" xfId="0" quotePrefix="1" applyNumberFormat="1" applyFont="1" applyFill="1" applyBorder="1" applyAlignment="1" applyProtection="1">
      <protection locked="0"/>
    </xf>
    <xf numFmtId="2" fontId="12" fillId="27" borderId="0" xfId="0" quotePrefix="1" applyNumberFormat="1" applyFont="1" applyFill="1" applyBorder="1" applyAlignment="1" applyProtection="1">
      <protection locked="0"/>
    </xf>
    <xf numFmtId="2" fontId="12" fillId="27" borderId="8" xfId="0" quotePrefix="1" applyNumberFormat="1" applyFont="1" applyFill="1" applyBorder="1" applyAlignment="1" applyProtection="1">
      <protection locked="0"/>
    </xf>
    <xf numFmtId="49" fontId="12" fillId="0" borderId="0" xfId="0" applyNumberFormat="1" applyFont="1" applyFill="1" applyBorder="1" applyAlignment="1" applyProtection="1">
      <alignment horizontal="center" vertical="center"/>
      <protection locked="0"/>
    </xf>
    <xf numFmtId="2" fontId="12" fillId="27" borderId="0" xfId="0" applyNumberFormat="1" applyFont="1" applyFill="1"/>
    <xf numFmtId="0" fontId="12" fillId="0" borderId="0" xfId="0" applyFont="1" applyBorder="1" applyAlignment="1" applyProtection="1">
      <alignment horizontal="left"/>
      <protection locked="0"/>
    </xf>
    <xf numFmtId="1" fontId="12" fillId="27" borderId="0" xfId="0" applyNumberFormat="1" applyFont="1" applyFill="1" applyAlignment="1">
      <alignment horizontal="center"/>
    </xf>
    <xf numFmtId="168" fontId="12" fillId="27" borderId="0" xfId="4613" applyNumberFormat="1" applyFont="1" applyFill="1"/>
    <xf numFmtId="2" fontId="12" fillId="0" borderId="7" xfId="0" applyNumberFormat="1" applyFont="1" applyFill="1" applyBorder="1" applyAlignment="1" applyProtection="1">
      <alignment horizontal="right"/>
      <protection locked="0"/>
    </xf>
    <xf numFmtId="0" fontId="0" fillId="0" borderId="0" xfId="0" applyAlignment="1">
      <alignment horizontal="center"/>
    </xf>
    <xf numFmtId="0" fontId="0" fillId="0" borderId="7" xfId="0" applyBorder="1"/>
    <xf numFmtId="0" fontId="0" fillId="0" borderId="0" xfId="0" applyAlignment="1">
      <alignment wrapText="1"/>
    </xf>
    <xf numFmtId="1" fontId="13" fillId="0" borderId="8" xfId="0" applyNumberFormat="1" applyFont="1" applyBorder="1" applyAlignment="1" applyProtection="1">
      <protection locked="0"/>
    </xf>
    <xf numFmtId="1" fontId="53" fillId="0" borderId="8" xfId="0" applyNumberFormat="1" applyFont="1" applyFill="1" applyBorder="1" applyAlignment="1" applyProtection="1">
      <protection locked="0"/>
    </xf>
    <xf numFmtId="1" fontId="13" fillId="0" borderId="8" xfId="0" applyNumberFormat="1" applyFont="1" applyFill="1" applyBorder="1" applyAlignment="1" applyProtection="1">
      <protection locked="0"/>
    </xf>
    <xf numFmtId="1" fontId="11" fillId="0" borderId="8" xfId="0" applyNumberFormat="1" applyFont="1" applyFill="1" applyBorder="1" applyAlignment="1" applyProtection="1">
      <protection locked="0"/>
    </xf>
    <xf numFmtId="0" fontId="11" fillId="0" borderId="8" xfId="0" applyFont="1" applyFill="1" applyBorder="1"/>
    <xf numFmtId="0" fontId="12" fillId="0" borderId="8" xfId="0" applyFont="1" applyFill="1" applyBorder="1"/>
    <xf numFmtId="0" fontId="12" fillId="0" borderId="19" xfId="0" applyFont="1" applyBorder="1"/>
    <xf numFmtId="0" fontId="32" fillId="0" borderId="8" xfId="9135" applyFont="1" applyFill="1" applyBorder="1"/>
    <xf numFmtId="0" fontId="0" fillId="0" borderId="8" xfId="0" applyBorder="1"/>
    <xf numFmtId="0" fontId="0" fillId="0" borderId="0" xfId="0" applyFill="1"/>
    <xf numFmtId="0" fontId="12" fillId="0" borderId="0" xfId="0" applyFont="1" applyFill="1" applyAlignment="1">
      <alignment vertical="center" wrapText="1"/>
    </xf>
    <xf numFmtId="2" fontId="12" fillId="0" borderId="0" xfId="0" applyNumberFormat="1" applyFont="1"/>
    <xf numFmtId="2" fontId="11" fillId="0" borderId="0" xfId="0" applyNumberFormat="1" applyFont="1" applyFill="1"/>
    <xf numFmtId="2" fontId="11" fillId="0" borderId="8" xfId="0" applyNumberFormat="1" applyFont="1" applyFill="1" applyBorder="1"/>
    <xf numFmtId="2" fontId="12" fillId="0" borderId="8" xfId="0" applyNumberFormat="1" applyFont="1" applyBorder="1"/>
    <xf numFmtId="0" fontId="46" fillId="0" borderId="0" xfId="0" applyNumberFormat="1" applyFont="1" applyFill="1" applyBorder="1" applyAlignment="1" applyProtection="1">
      <alignment wrapText="1"/>
      <protection locked="0"/>
    </xf>
    <xf numFmtId="0" fontId="12" fillId="27" borderId="0" xfId="0" applyFont="1" applyFill="1" applyBorder="1" applyAlignment="1" applyProtection="1">
      <protection locked="0"/>
    </xf>
    <xf numFmtId="2" fontId="12" fillId="0" borderId="8" xfId="0" quotePrefix="1" applyNumberFormat="1" applyFont="1" applyFill="1" applyBorder="1" applyAlignment="1" applyProtection="1">
      <protection locked="0"/>
    </xf>
    <xf numFmtId="0" fontId="0" fillId="30" borderId="0" xfId="0" applyFill="1" applyBorder="1"/>
    <xf numFmtId="49" fontId="12" fillId="27" borderId="0" xfId="0" applyNumberFormat="1" applyFont="1" applyFill="1" applyBorder="1" applyAlignment="1" applyProtection="1">
      <alignment horizontal="center"/>
      <protection locked="0"/>
    </xf>
    <xf numFmtId="1" fontId="12" fillId="27" borderId="0" xfId="0" quotePrefix="1" applyNumberFormat="1" applyFont="1" applyFill="1" applyAlignment="1">
      <alignment horizontal="center" vertical="center"/>
    </xf>
    <xf numFmtId="0" fontId="12" fillId="0" borderId="0" xfId="0" applyFont="1" applyFill="1" applyAlignment="1">
      <alignment horizontal="center"/>
    </xf>
    <xf numFmtId="0" fontId="12" fillId="0" borderId="0" xfId="0" applyFont="1" applyFill="1" applyBorder="1" applyAlignment="1" applyProtection="1">
      <alignment horizontal="left"/>
      <protection locked="0"/>
    </xf>
    <xf numFmtId="1" fontId="12" fillId="0" borderId="0" xfId="0" applyNumberFormat="1" applyFont="1" applyAlignment="1">
      <alignment horizontal="left"/>
    </xf>
    <xf numFmtId="49" fontId="12" fillId="0" borderId="0" xfId="0" applyNumberFormat="1" applyFont="1" applyAlignment="1">
      <alignment horizontal="left"/>
    </xf>
    <xf numFmtId="49" fontId="12" fillId="0" borderId="0" xfId="0" applyNumberFormat="1" applyFont="1" applyFill="1" applyAlignment="1">
      <alignment horizontal="left"/>
    </xf>
    <xf numFmtId="0" fontId="12" fillId="31" borderId="0" xfId="0" applyFont="1" applyFill="1" applyBorder="1" applyAlignment="1" applyProtection="1">
      <protection locked="0"/>
    </xf>
    <xf numFmtId="0" fontId="11" fillId="0" borderId="0" xfId="2" applyFont="1" applyFill="1" applyAlignment="1" applyProtection="1">
      <alignment horizontal="left" wrapText="1"/>
    </xf>
    <xf numFmtId="1" fontId="65" fillId="0" borderId="0" xfId="0" applyNumberFormat="1" applyFont="1" applyFill="1" applyAlignment="1">
      <alignment horizontal="center" vertical="center"/>
    </xf>
    <xf numFmtId="0" fontId="11" fillId="0" borderId="0" xfId="0" applyFont="1" applyFill="1" applyAlignment="1">
      <alignment horizontal="center"/>
    </xf>
    <xf numFmtId="165" fontId="11" fillId="0" borderId="0" xfId="0" applyNumberFormat="1" applyFont="1" applyFill="1" applyBorder="1" applyAlignment="1" applyProtection="1">
      <alignment horizontal="center"/>
      <protection locked="0"/>
    </xf>
    <xf numFmtId="0" fontId="67" fillId="0" borderId="0" xfId="0" applyFont="1" applyFill="1" applyAlignment="1"/>
    <xf numFmtId="2" fontId="12" fillId="27" borderId="7" xfId="0" applyNumberFormat="1" applyFont="1" applyFill="1" applyBorder="1"/>
    <xf numFmtId="2" fontId="12" fillId="27" borderId="8" xfId="0" applyNumberFormat="1" applyFont="1" applyFill="1" applyBorder="1"/>
    <xf numFmtId="1" fontId="37" fillId="0" borderId="0" xfId="0" applyNumberFormat="1" applyFont="1" applyFill="1" applyBorder="1" applyAlignment="1" applyProtection="1">
      <protection locked="0"/>
    </xf>
    <xf numFmtId="1" fontId="37" fillId="0" borderId="8" xfId="0" applyNumberFormat="1" applyFont="1" applyFill="1" applyBorder="1" applyAlignment="1" applyProtection="1">
      <protection locked="0"/>
    </xf>
    <xf numFmtId="1" fontId="68" fillId="0" borderId="0" xfId="0" applyNumberFormat="1" applyFont="1" applyFill="1" applyBorder="1" applyAlignment="1" applyProtection="1">
      <protection locked="0"/>
    </xf>
    <xf numFmtId="1" fontId="68" fillId="0" borderId="8" xfId="0" applyNumberFormat="1" applyFont="1" applyFill="1" applyBorder="1" applyAlignment="1" applyProtection="1">
      <protection locked="0"/>
    </xf>
    <xf numFmtId="0" fontId="37" fillId="0" borderId="0" xfId="0" applyFont="1" applyFill="1"/>
    <xf numFmtId="2" fontId="44" fillId="0" borderId="0" xfId="0" applyNumberFormat="1" applyFont="1" applyFill="1" applyBorder="1" applyAlignment="1" applyProtection="1">
      <protection locked="0"/>
    </xf>
    <xf numFmtId="2" fontId="44" fillId="0" borderId="8" xfId="0" applyNumberFormat="1" applyFont="1" applyFill="1" applyBorder="1" applyAlignment="1" applyProtection="1">
      <protection locked="0"/>
    </xf>
    <xf numFmtId="0" fontId="46" fillId="0" borderId="0" xfId="0" applyNumberFormat="1" applyFont="1" applyFill="1" applyBorder="1" applyAlignment="1" applyProtection="1">
      <alignment horizontal="left" wrapText="1"/>
      <protection locked="0"/>
    </xf>
    <xf numFmtId="2" fontId="37" fillId="0" borderId="0" xfId="0" applyNumberFormat="1" applyFont="1" applyFill="1" applyBorder="1" applyAlignment="1" applyProtection="1">
      <protection locked="0"/>
    </xf>
    <xf numFmtId="2" fontId="37" fillId="0" borderId="8" xfId="0" applyNumberFormat="1" applyFont="1" applyFill="1" applyBorder="1" applyAlignment="1" applyProtection="1">
      <protection locked="0"/>
    </xf>
    <xf numFmtId="2" fontId="68" fillId="0" borderId="0" xfId="0" applyNumberFormat="1" applyFont="1" applyFill="1" applyBorder="1" applyAlignment="1" applyProtection="1">
      <protection locked="0"/>
    </xf>
    <xf numFmtId="2" fontId="68" fillId="0" borderId="8" xfId="0" applyNumberFormat="1" applyFont="1" applyFill="1" applyBorder="1" applyAlignment="1" applyProtection="1">
      <protection locked="0"/>
    </xf>
    <xf numFmtId="2" fontId="37" fillId="0" borderId="0" xfId="0" applyNumberFormat="1" applyFont="1" applyBorder="1" applyAlignment="1" applyProtection="1">
      <protection locked="0"/>
    </xf>
    <xf numFmtId="49" fontId="37" fillId="0" borderId="0" xfId="0" applyNumberFormat="1" applyFont="1" applyBorder="1" applyAlignment="1" applyProtection="1">
      <protection locked="0"/>
    </xf>
    <xf numFmtId="0" fontId="37" fillId="0" borderId="0" xfId="0" applyFont="1" applyBorder="1" applyAlignment="1" applyProtection="1">
      <protection locked="0"/>
    </xf>
    <xf numFmtId="49" fontId="37" fillId="0" borderId="0" xfId="0" applyNumberFormat="1" applyFont="1" applyBorder="1" applyAlignment="1" applyProtection="1">
      <alignment horizontal="center"/>
      <protection locked="0"/>
    </xf>
    <xf numFmtId="0" fontId="37" fillId="0" borderId="0" xfId="0" applyFont="1"/>
    <xf numFmtId="1" fontId="37" fillId="0" borderId="0" xfId="0" applyNumberFormat="1" applyFont="1" applyBorder="1" applyAlignment="1" applyProtection="1">
      <protection locked="0"/>
    </xf>
    <xf numFmtId="1" fontId="37" fillId="0" borderId="8" xfId="0" applyNumberFormat="1" applyFont="1" applyBorder="1" applyAlignment="1" applyProtection="1">
      <protection locked="0"/>
    </xf>
    <xf numFmtId="2" fontId="37" fillId="0" borderId="8" xfId="0" applyNumberFormat="1" applyFont="1" applyBorder="1" applyAlignment="1" applyProtection="1">
      <protection locked="0"/>
    </xf>
    <xf numFmtId="0" fontId="37" fillId="0" borderId="0" xfId="0" applyFont="1" applyFill="1" applyAlignment="1">
      <alignment horizontal="left"/>
    </xf>
    <xf numFmtId="49" fontId="37" fillId="0" borderId="0" xfId="0" applyNumberFormat="1" applyFont="1" applyFill="1"/>
    <xf numFmtId="49" fontId="37" fillId="0" borderId="0" xfId="0" applyNumberFormat="1" applyFont="1" applyFill="1" applyAlignment="1">
      <alignment horizontal="center"/>
    </xf>
    <xf numFmtId="49" fontId="37" fillId="0" borderId="0" xfId="0" applyNumberFormat="1" applyFont="1" applyFill="1" applyBorder="1" applyAlignment="1" applyProtection="1">
      <alignment horizontal="center"/>
      <protection locked="0"/>
    </xf>
    <xf numFmtId="0" fontId="37" fillId="0" borderId="0" xfId="0" applyFont="1" applyFill="1" applyBorder="1" applyAlignment="1" applyProtection="1">
      <protection locked="0"/>
    </xf>
    <xf numFmtId="0" fontId="68" fillId="0" borderId="0" xfId="0" applyFont="1" applyFill="1"/>
    <xf numFmtId="0" fontId="68" fillId="0" borderId="0" xfId="0" applyFont="1" applyFill="1" applyAlignment="1">
      <alignment vertical="center"/>
    </xf>
    <xf numFmtId="49" fontId="68" fillId="0" borderId="0" xfId="0" applyNumberFormat="1" applyFont="1" applyFill="1" applyAlignment="1">
      <alignment horizontal="center"/>
    </xf>
    <xf numFmtId="49" fontId="68" fillId="0" borderId="0" xfId="0" applyNumberFormat="1" applyFont="1" applyFill="1" applyBorder="1" applyAlignment="1" applyProtection="1">
      <alignment horizontal="center"/>
      <protection locked="0"/>
    </xf>
    <xf numFmtId="0" fontId="68" fillId="0" borderId="0" xfId="0" applyFont="1" applyFill="1" applyBorder="1" applyAlignment="1" applyProtection="1">
      <protection locked="0"/>
    </xf>
    <xf numFmtId="0" fontId="68" fillId="0" borderId="0" xfId="0" applyFont="1" applyFill="1" applyAlignment="1">
      <alignment vertical="center" wrapText="1"/>
    </xf>
    <xf numFmtId="49" fontId="12" fillId="27" borderId="0" xfId="0" applyNumberFormat="1" applyFont="1" applyFill="1" applyBorder="1" applyAlignment="1">
      <alignment horizontal="center"/>
    </xf>
    <xf numFmtId="1" fontId="12" fillId="27" borderId="0" xfId="0" quotePrefix="1" applyNumberFormat="1" applyFont="1" applyFill="1" applyAlignment="1">
      <alignment horizontal="center"/>
    </xf>
    <xf numFmtId="1" fontId="12" fillId="27" borderId="0" xfId="0" applyNumberFormat="1" applyFont="1" applyFill="1" applyBorder="1" applyAlignment="1" applyProtection="1">
      <alignment horizontal="center"/>
      <protection locked="0"/>
    </xf>
    <xf numFmtId="1" fontId="12" fillId="27" borderId="0" xfId="0" applyNumberFormat="1" applyFont="1" applyFill="1" applyBorder="1" applyAlignment="1">
      <alignment horizontal="center"/>
    </xf>
    <xf numFmtId="1" fontId="12" fillId="0" borderId="0" xfId="0" quotePrefix="1" applyNumberFormat="1" applyFont="1" applyFill="1" applyAlignment="1">
      <alignment horizontal="center" vertical="center"/>
    </xf>
    <xf numFmtId="1" fontId="12" fillId="0" borderId="8" xfId="0" quotePrefix="1" applyNumberFormat="1" applyFont="1" applyFill="1" applyBorder="1" applyAlignment="1" applyProtection="1">
      <protection locked="0"/>
    </xf>
    <xf numFmtId="44" fontId="12" fillId="0" borderId="0" xfId="0" applyNumberFormat="1" applyFont="1" applyFill="1" applyBorder="1"/>
    <xf numFmtId="0" fontId="12" fillId="0" borderId="0" xfId="0" applyNumberFormat="1" applyFont="1" applyFill="1" applyBorder="1"/>
    <xf numFmtId="0" fontId="12" fillId="0" borderId="0" xfId="0" applyFont="1" applyFill="1" applyBorder="1" applyAlignment="1">
      <alignment vertical="top"/>
    </xf>
    <xf numFmtId="0" fontId="48" fillId="0" borderId="0" xfId="0" applyFont="1" applyFill="1" applyAlignment="1"/>
    <xf numFmtId="0" fontId="12" fillId="0" borderId="0" xfId="0" applyFont="1" applyFill="1" applyAlignment="1">
      <alignment horizontal="left" vertical="top"/>
    </xf>
    <xf numFmtId="0" fontId="13" fillId="0" borderId="0" xfId="0" applyFont="1" applyFill="1" applyBorder="1" applyAlignment="1" applyProtection="1">
      <alignment horizontal="left"/>
      <protection locked="0"/>
    </xf>
    <xf numFmtId="0" fontId="0" fillId="27" borderId="0" xfId="0" applyFill="1" applyAlignment="1">
      <alignment wrapText="1"/>
    </xf>
    <xf numFmtId="0" fontId="0" fillId="27" borderId="0" xfId="0" applyFill="1"/>
    <xf numFmtId="2" fontId="12" fillId="0" borderId="0" xfId="0" quotePrefix="1" applyNumberFormat="1" applyFont="1" applyFill="1" applyAlignment="1">
      <alignment horizontal="center" vertical="center"/>
    </xf>
    <xf numFmtId="170" fontId="12" fillId="0" borderId="0" xfId="0" applyNumberFormat="1" applyFont="1" applyFill="1"/>
    <xf numFmtId="0" fontId="16" fillId="0" borderId="0" xfId="0" applyFont="1" applyFill="1" applyAlignment="1"/>
    <xf numFmtId="0" fontId="0" fillId="32" borderId="0" xfId="0" applyFill="1" applyAlignment="1">
      <alignment wrapText="1"/>
    </xf>
    <xf numFmtId="0" fontId="0" fillId="28" borderId="0" xfId="0" applyFill="1" applyAlignment="1">
      <alignment wrapText="1"/>
    </xf>
    <xf numFmtId="170" fontId="13" fillId="0" borderId="0" xfId="0" applyNumberFormat="1" applyFont="1" applyBorder="1" applyAlignment="1" applyProtection="1">
      <protection locked="0"/>
    </xf>
    <xf numFmtId="170" fontId="53" fillId="0" borderId="0" xfId="0" applyNumberFormat="1" applyFont="1" applyFill="1" applyBorder="1" applyAlignment="1" applyProtection="1">
      <protection locked="0"/>
    </xf>
    <xf numFmtId="170" fontId="13" fillId="0" borderId="0" xfId="0" applyNumberFormat="1" applyFont="1" applyFill="1" applyBorder="1" applyAlignment="1" applyProtection="1">
      <protection locked="0"/>
    </xf>
    <xf numFmtId="14" fontId="12" fillId="0" borderId="0" xfId="0" applyNumberFormat="1" applyFont="1" applyBorder="1" applyAlignment="1" applyProtection="1">
      <protection locked="0"/>
    </xf>
    <xf numFmtId="14" fontId="12" fillId="0" borderId="0" xfId="0" applyNumberFormat="1" applyFont="1" applyFill="1" applyBorder="1" applyAlignment="1" applyProtection="1">
      <protection locked="0"/>
    </xf>
    <xf numFmtId="170" fontId="11" fillId="0" borderId="0" xfId="0" applyNumberFormat="1" applyFont="1" applyFill="1" applyBorder="1" applyAlignment="1" applyProtection="1">
      <protection locked="0"/>
    </xf>
    <xf numFmtId="0" fontId="46" fillId="2" borderId="20" xfId="0" applyFont="1" applyFill="1" applyBorder="1" applyAlignment="1" applyProtection="1">
      <alignment wrapText="1"/>
      <protection locked="0"/>
    </xf>
    <xf numFmtId="0" fontId="46" fillId="29" borderId="21" xfId="0" applyFont="1" applyFill="1" applyBorder="1" applyAlignment="1">
      <alignment wrapText="1"/>
    </xf>
    <xf numFmtId="2" fontId="46" fillId="2" borderId="21" xfId="0" applyNumberFormat="1" applyFont="1" applyFill="1" applyBorder="1" applyAlignment="1" applyProtection="1">
      <alignment wrapText="1"/>
      <protection locked="0"/>
    </xf>
    <xf numFmtId="0" fontId="46" fillId="2" borderId="21" xfId="0" applyFont="1" applyFill="1" applyBorder="1" applyAlignment="1" applyProtection="1">
      <alignment wrapText="1"/>
      <protection locked="0"/>
    </xf>
    <xf numFmtId="49" fontId="46" fillId="2" borderId="21" xfId="0" applyNumberFormat="1" applyFont="1" applyFill="1" applyBorder="1" applyAlignment="1" applyProtection="1">
      <alignment wrapText="1"/>
      <protection locked="0"/>
    </xf>
    <xf numFmtId="49" fontId="46" fillId="2" borderId="21" xfId="0" applyNumberFormat="1" applyFont="1" applyFill="1" applyBorder="1" applyAlignment="1" applyProtection="1">
      <alignment horizontal="left" wrapText="1"/>
      <protection locked="0"/>
    </xf>
    <xf numFmtId="1" fontId="46" fillId="2" borderId="21" xfId="0" applyNumberFormat="1" applyFont="1" applyFill="1" applyBorder="1" applyAlignment="1" applyProtection="1">
      <alignment wrapText="1"/>
      <protection locked="0"/>
    </xf>
    <xf numFmtId="2" fontId="46" fillId="2" borderId="22" xfId="0" applyNumberFormat="1" applyFont="1" applyFill="1" applyBorder="1" applyAlignment="1" applyProtection="1">
      <alignment wrapText="1"/>
      <protection locked="0"/>
    </xf>
    <xf numFmtId="2" fontId="46" fillId="2" borderId="20" xfId="0" applyNumberFormat="1" applyFont="1" applyFill="1" applyBorder="1" applyAlignment="1" applyProtection="1">
      <alignment wrapText="1"/>
      <protection locked="0"/>
    </xf>
    <xf numFmtId="0" fontId="46" fillId="3" borderId="21" xfId="0" applyFont="1" applyFill="1" applyBorder="1" applyAlignment="1" applyProtection="1">
      <alignment wrapText="1"/>
      <protection locked="0"/>
    </xf>
    <xf numFmtId="0" fontId="46" fillId="4" borderId="21" xfId="0" applyFont="1" applyFill="1" applyBorder="1" applyAlignment="1" applyProtection="1">
      <alignment wrapText="1"/>
      <protection locked="0"/>
    </xf>
    <xf numFmtId="0" fontId="46" fillId="4" borderId="22" xfId="0" applyFont="1" applyFill="1" applyBorder="1" applyAlignment="1" applyProtection="1">
      <alignment wrapText="1"/>
      <protection locked="0"/>
    </xf>
    <xf numFmtId="0" fontId="46" fillId="2" borderId="21" xfId="0" applyNumberFormat="1" applyFont="1" applyFill="1" applyBorder="1" applyAlignment="1" applyProtection="1">
      <alignment horizontal="left" wrapText="1"/>
      <protection locked="0"/>
    </xf>
    <xf numFmtId="0" fontId="46" fillId="2" borderId="22" xfId="0" applyNumberFormat="1" applyFont="1" applyFill="1" applyBorder="1" applyAlignment="1" applyProtection="1">
      <alignment horizontal="left" wrapText="1"/>
      <protection locked="0"/>
    </xf>
    <xf numFmtId="0" fontId="46" fillId="2" borderId="20" xfId="0" applyNumberFormat="1" applyFont="1" applyFill="1" applyBorder="1" applyAlignment="1" applyProtection="1">
      <alignment horizontal="left" wrapText="1"/>
      <protection locked="0"/>
    </xf>
    <xf numFmtId="0" fontId="46" fillId="3" borderId="21" xfId="0" applyNumberFormat="1" applyFont="1" applyFill="1" applyBorder="1" applyAlignment="1" applyProtection="1">
      <alignment horizontal="left" wrapText="1"/>
      <protection locked="0"/>
    </xf>
    <xf numFmtId="0" fontId="46" fillId="4" borderId="21" xfId="0" applyNumberFormat="1" applyFont="1" applyFill="1" applyBorder="1" applyAlignment="1" applyProtection="1">
      <alignment horizontal="left" wrapText="1"/>
      <protection locked="0"/>
    </xf>
    <xf numFmtId="0" fontId="46" fillId="4" borderId="21" xfId="0" applyNumberFormat="1" applyFont="1" applyFill="1" applyBorder="1" applyAlignment="1" applyProtection="1">
      <alignment horizontal="left"/>
      <protection locked="0"/>
    </xf>
    <xf numFmtId="0" fontId="12" fillId="0" borderId="0" xfId="0" applyFont="1" applyBorder="1" applyAlignment="1">
      <alignment horizontal="center"/>
    </xf>
    <xf numFmtId="0" fontId="46" fillId="4" borderId="22" xfId="0" applyNumberFormat="1" applyFont="1" applyFill="1" applyBorder="1" applyAlignment="1" applyProtection="1">
      <alignment horizontal="left" wrapText="1"/>
      <protection locked="0"/>
    </xf>
    <xf numFmtId="2" fontId="12" fillId="0" borderId="19" xfId="0" applyNumberFormat="1" applyFont="1" applyBorder="1"/>
    <xf numFmtId="0" fontId="46" fillId="2" borderId="23" xfId="0" applyNumberFormat="1" applyFont="1" applyFill="1" applyBorder="1" applyAlignment="1" applyProtection="1">
      <alignment horizontal="left" wrapText="1"/>
      <protection locked="0"/>
    </xf>
    <xf numFmtId="2" fontId="12" fillId="27" borderId="0" xfId="0" applyNumberFormat="1" applyFont="1" applyFill="1" applyBorder="1"/>
    <xf numFmtId="1" fontId="12" fillId="0" borderId="7" xfId="0" applyNumberFormat="1" applyFont="1" applyFill="1" applyBorder="1" applyAlignment="1" applyProtection="1">
      <protection locked="0"/>
    </xf>
    <xf numFmtId="0" fontId="12" fillId="0" borderId="7" xfId="0" applyFont="1" applyFill="1" applyBorder="1"/>
    <xf numFmtId="44" fontId="12" fillId="0" borderId="7" xfId="0" applyNumberFormat="1" applyFont="1" applyFill="1" applyBorder="1" applyAlignment="1" applyProtection="1">
      <protection locked="0"/>
    </xf>
    <xf numFmtId="44" fontId="12" fillId="0" borderId="8" xfId="0" applyNumberFormat="1" applyFont="1" applyFill="1" applyBorder="1" applyAlignment="1" applyProtection="1">
      <protection locked="0"/>
    </xf>
    <xf numFmtId="0" fontId="32" fillId="0" borderId="7" xfId="9135" applyFont="1" applyFill="1" applyBorder="1"/>
    <xf numFmtId="0" fontId="0" fillId="0" borderId="0" xfId="0" applyBorder="1"/>
    <xf numFmtId="0" fontId="13" fillId="0" borderId="0" xfId="0" applyFont="1" applyFill="1" applyAlignment="1">
      <alignment horizontal="left" vertical="center"/>
    </xf>
    <xf numFmtId="0" fontId="13" fillId="0" borderId="0" xfId="2" applyFont="1" applyFill="1" applyAlignment="1" applyProtection="1">
      <alignment horizontal="left"/>
    </xf>
    <xf numFmtId="0" fontId="72" fillId="0" borderId="0" xfId="0" applyFont="1" applyFill="1"/>
    <xf numFmtId="0" fontId="12" fillId="27" borderId="0" xfId="0" applyFont="1" applyFill="1" applyBorder="1"/>
    <xf numFmtId="1" fontId="12" fillId="0" borderId="0" xfId="0" applyNumberFormat="1" applyFont="1" applyFill="1" applyBorder="1" applyAlignment="1" applyProtection="1">
      <alignment horizontal="center" vertical="center"/>
      <protection locked="0"/>
    </xf>
    <xf numFmtId="0" fontId="11" fillId="0" borderId="0" xfId="0" applyFont="1" applyFill="1" applyAlignment="1">
      <alignment vertical="center"/>
    </xf>
    <xf numFmtId="1" fontId="12" fillId="0" borderId="0" xfId="2" applyNumberFormat="1" applyFont="1" applyFill="1" applyAlignment="1">
      <alignment horizontal="center"/>
    </xf>
    <xf numFmtId="1" fontId="12" fillId="0" borderId="0" xfId="0" applyNumberFormat="1" applyFont="1" applyFill="1" applyBorder="1" applyAlignment="1" applyProtection="1">
      <alignment horizontal="center" wrapText="1"/>
      <protection locked="0"/>
    </xf>
    <xf numFmtId="1" fontId="32" fillId="0" borderId="0" xfId="0" applyNumberFormat="1" applyFont="1" applyFill="1" applyAlignment="1">
      <alignment horizontal="right"/>
    </xf>
    <xf numFmtId="1" fontId="32" fillId="0" borderId="0" xfId="0" applyNumberFormat="1" applyFont="1" applyFill="1" applyAlignment="1">
      <alignment horizontal="center" vertical="center"/>
    </xf>
    <xf numFmtId="0" fontId="0" fillId="33" borderId="0" xfId="0" applyFill="1" applyAlignment="1">
      <alignment wrapText="1"/>
    </xf>
    <xf numFmtId="0" fontId="0" fillId="34" borderId="0" xfId="0" applyFill="1" applyAlignment="1">
      <alignment wrapText="1"/>
    </xf>
    <xf numFmtId="2" fontId="12" fillId="0" borderId="0" xfId="0" applyNumberFormat="1" applyFont="1" applyFill="1" applyBorder="1" applyAlignment="1" applyProtection="1">
      <alignment horizontal="center"/>
      <protection locked="0"/>
    </xf>
    <xf numFmtId="0" fontId="12" fillId="34" borderId="0" xfId="0" applyFont="1" applyFill="1" applyBorder="1" applyAlignment="1" applyProtection="1">
      <protection locked="0"/>
    </xf>
    <xf numFmtId="170" fontId="12" fillId="34" borderId="0" xfId="0" applyNumberFormat="1" applyFont="1" applyFill="1" applyBorder="1" applyAlignment="1" applyProtection="1">
      <protection locked="0"/>
    </xf>
    <xf numFmtId="2" fontId="12" fillId="34" borderId="0" xfId="0" applyNumberFormat="1" applyFont="1" applyFill="1" applyBorder="1" applyAlignment="1" applyProtection="1">
      <protection locked="0"/>
    </xf>
    <xf numFmtId="44" fontId="12" fillId="34" borderId="0" xfId="0" applyNumberFormat="1" applyFont="1" applyFill="1" applyBorder="1" applyAlignment="1" applyProtection="1">
      <protection locked="0"/>
    </xf>
    <xf numFmtId="1" fontId="12" fillId="34" borderId="0" xfId="0" applyNumberFormat="1" applyFont="1" applyFill="1" applyBorder="1" applyAlignment="1" applyProtection="1">
      <protection locked="0"/>
    </xf>
    <xf numFmtId="0" fontId="12" fillId="34" borderId="0" xfId="0" applyFont="1" applyFill="1"/>
    <xf numFmtId="49" fontId="12" fillId="34" borderId="0" xfId="0" applyNumberFormat="1" applyFont="1" applyFill="1"/>
    <xf numFmtId="49" fontId="12" fillId="34" borderId="0" xfId="0" applyNumberFormat="1" applyFont="1" applyFill="1" applyAlignment="1">
      <alignment horizontal="center"/>
    </xf>
    <xf numFmtId="0" fontId="12" fillId="34" borderId="0" xfId="0" applyFont="1" applyFill="1" applyAlignment="1">
      <alignment horizontal="left"/>
    </xf>
    <xf numFmtId="0" fontId="12" fillId="34" borderId="0" xfId="0" applyFont="1" applyFill="1" applyBorder="1"/>
    <xf numFmtId="2" fontId="12" fillId="0" borderId="0" xfId="0" applyNumberFormat="1" applyFont="1" applyFill="1" applyAlignment="1">
      <alignment horizontal="center"/>
    </xf>
    <xf numFmtId="0" fontId="12" fillId="28" borderId="0" xfId="0" applyFont="1" applyFill="1"/>
    <xf numFmtId="2" fontId="12" fillId="0" borderId="7" xfId="0" applyNumberFormat="1" applyFont="1" applyBorder="1"/>
    <xf numFmtId="2" fontId="12" fillId="0" borderId="8" xfId="0" applyNumberFormat="1" applyFont="1" applyFill="1" applyBorder="1" applyAlignment="1" applyProtection="1">
      <alignment horizontal="center"/>
      <protection locked="0"/>
    </xf>
    <xf numFmtId="0" fontId="12" fillId="0" borderId="7" xfId="0" applyFont="1" applyBorder="1"/>
    <xf numFmtId="0" fontId="46" fillId="2" borderId="21" xfId="0" applyNumberFormat="1" applyFont="1" applyFill="1" applyBorder="1" applyAlignment="1" applyProtection="1">
      <alignment horizontal="center" wrapText="1"/>
      <protection locked="0"/>
    </xf>
    <xf numFmtId="170" fontId="12" fillId="35" borderId="0" xfId="0" applyNumberFormat="1" applyFont="1" applyFill="1" applyBorder="1" applyAlignment="1" applyProtection="1">
      <protection locked="0"/>
    </xf>
    <xf numFmtId="0" fontId="13" fillId="0" borderId="0" xfId="0" applyFont="1" applyFill="1" applyAlignment="1"/>
    <xf numFmtId="0" fontId="13" fillId="0" borderId="0" xfId="0" applyFont="1" applyFill="1" applyBorder="1" applyAlignment="1" applyProtection="1">
      <alignment horizontal="left"/>
      <protection locked="0"/>
    </xf>
    <xf numFmtId="0" fontId="53" fillId="0" borderId="0" xfId="0" applyFont="1" applyBorder="1" applyAlignment="1" applyProtection="1">
      <protection locked="0"/>
    </xf>
    <xf numFmtId="0" fontId="12" fillId="27" borderId="0" xfId="0" applyNumberFormat="1" applyFont="1" applyFill="1" applyAlignment="1"/>
    <xf numFmtId="0" fontId="73" fillId="0" borderId="0" xfId="0" quotePrefix="1" applyFont="1" applyFill="1" applyAlignment="1">
      <alignment horizontal="center" vertical="center"/>
    </xf>
    <xf numFmtId="0" fontId="68" fillId="0" borderId="0" xfId="0" quotePrefix="1" applyFont="1" applyFill="1" applyAlignment="1">
      <alignment horizontal="center" vertical="center"/>
    </xf>
    <xf numFmtId="0" fontId="37" fillId="0" borderId="7" xfId="0" applyFont="1" applyBorder="1" applyAlignment="1" applyProtection="1">
      <protection locked="0"/>
    </xf>
    <xf numFmtId="2" fontId="37" fillId="0" borderId="7" xfId="0" applyNumberFormat="1" applyFont="1" applyFill="1" applyBorder="1" applyAlignment="1" applyProtection="1">
      <protection locked="0"/>
    </xf>
    <xf numFmtId="2" fontId="68" fillId="0" borderId="7" xfId="0" applyNumberFormat="1" applyFont="1" applyFill="1" applyBorder="1" applyAlignment="1" applyProtection="1">
      <protection locked="0"/>
    </xf>
    <xf numFmtId="0" fontId="0" fillId="0" borderId="19" xfId="0" applyBorder="1"/>
    <xf numFmtId="2" fontId="37" fillId="0" borderId="7" xfId="0" applyNumberFormat="1" applyFont="1" applyBorder="1" applyAlignment="1" applyProtection="1">
      <protection locked="0"/>
    </xf>
    <xf numFmtId="0" fontId="12" fillId="34" borderId="0" xfId="0" applyFont="1" applyFill="1" applyAlignment="1">
      <alignment vertical="top"/>
    </xf>
    <xf numFmtId="0" fontId="46" fillId="36" borderId="20" xfId="0" applyNumberFormat="1" applyFont="1" applyFill="1" applyBorder="1" applyAlignment="1" applyProtection="1">
      <alignment wrapText="1"/>
      <protection locked="0"/>
    </xf>
    <xf numFmtId="0" fontId="46" fillId="36" borderId="21" xfId="0" applyFont="1" applyFill="1" applyBorder="1" applyAlignment="1">
      <alignment wrapText="1"/>
    </xf>
    <xf numFmtId="0" fontId="46" fillId="36" borderId="21" xfId="0" applyNumberFormat="1" applyFont="1" applyFill="1" applyBorder="1" applyAlignment="1" applyProtection="1">
      <alignment wrapText="1"/>
      <protection locked="0"/>
    </xf>
    <xf numFmtId="0" fontId="46" fillId="36" borderId="21" xfId="0" applyNumberFormat="1" applyFont="1" applyFill="1" applyBorder="1" applyAlignment="1" applyProtection="1">
      <alignment horizontal="center" wrapText="1"/>
      <protection locked="0"/>
    </xf>
    <xf numFmtId="49" fontId="46" fillId="36" borderId="21" xfId="0" applyNumberFormat="1" applyFont="1" applyFill="1" applyBorder="1" applyAlignment="1" applyProtection="1">
      <alignment horizontal="center" wrapText="1"/>
      <protection locked="0"/>
    </xf>
    <xf numFmtId="2" fontId="46" fillId="36" borderId="21" xfId="0" applyNumberFormat="1" applyFont="1" applyFill="1" applyBorder="1" applyAlignment="1" applyProtection="1">
      <alignment wrapText="1"/>
      <protection locked="0"/>
    </xf>
    <xf numFmtId="0" fontId="46" fillId="36" borderId="22" xfId="0" applyNumberFormat="1" applyFont="1" applyFill="1" applyBorder="1" applyAlignment="1" applyProtection="1">
      <alignment wrapText="1"/>
      <protection locked="0"/>
    </xf>
    <xf numFmtId="2" fontId="12" fillId="0" borderId="19" xfId="0" applyNumberFormat="1" applyFont="1" applyFill="1" applyBorder="1"/>
    <xf numFmtId="0" fontId="0" fillId="0" borderId="19" xfId="0" applyFill="1" applyBorder="1"/>
    <xf numFmtId="0" fontId="12" fillId="27" borderId="0" xfId="0" applyFont="1" applyFill="1" applyAlignment="1">
      <alignment vertical="top"/>
    </xf>
    <xf numFmtId="0" fontId="13" fillId="0" borderId="0" xfId="0" applyFont="1" applyBorder="1" applyAlignment="1" applyProtection="1">
      <alignment horizontal="left"/>
      <protection locked="0"/>
    </xf>
    <xf numFmtId="0" fontId="12" fillId="0" borderId="0" xfId="0" applyFont="1" applyFill="1" applyAlignment="1">
      <alignment wrapText="1"/>
    </xf>
    <xf numFmtId="0" fontId="46" fillId="29" borderId="20" xfId="0" applyNumberFormat="1" applyFont="1" applyFill="1" applyBorder="1" applyAlignment="1" applyProtection="1">
      <alignment wrapText="1"/>
      <protection locked="0"/>
    </xf>
    <xf numFmtId="0" fontId="46" fillId="29" borderId="21" xfId="0" applyNumberFormat="1" applyFont="1" applyFill="1" applyBorder="1" applyAlignment="1" applyProtection="1">
      <alignment wrapText="1"/>
      <protection locked="0"/>
    </xf>
    <xf numFmtId="49" fontId="12" fillId="27" borderId="0" xfId="0" applyNumberFormat="1" applyFont="1" applyFill="1" applyAlignment="1">
      <alignment horizontal="center" vertical="top"/>
    </xf>
    <xf numFmtId="0" fontId="46" fillId="0" borderId="19" xfId="0" applyFont="1" applyFill="1" applyBorder="1" applyAlignment="1" applyProtection="1">
      <alignment wrapText="1"/>
      <protection locked="0"/>
    </xf>
    <xf numFmtId="0" fontId="46" fillId="0" borderId="19" xfId="0" applyFont="1" applyFill="1" applyBorder="1" applyAlignment="1">
      <alignment wrapText="1"/>
    </xf>
    <xf numFmtId="2" fontId="46" fillId="0" borderId="19" xfId="0" applyNumberFormat="1" applyFont="1" applyFill="1" applyBorder="1" applyAlignment="1" applyProtection="1">
      <alignment wrapText="1"/>
      <protection locked="0"/>
    </xf>
    <xf numFmtId="49" fontId="46" fillId="0" borderId="19" xfId="0" applyNumberFormat="1" applyFont="1" applyFill="1" applyBorder="1" applyAlignment="1" applyProtection="1">
      <alignment wrapText="1"/>
      <protection locked="0"/>
    </xf>
    <xf numFmtId="49" fontId="46" fillId="0" borderId="19" xfId="0" applyNumberFormat="1" applyFont="1" applyFill="1" applyBorder="1" applyAlignment="1" applyProtection="1">
      <alignment horizontal="left" wrapText="1"/>
      <protection locked="0"/>
    </xf>
    <xf numFmtId="44" fontId="46" fillId="0" borderId="19" xfId="0" applyNumberFormat="1" applyFont="1" applyFill="1" applyBorder="1" applyAlignment="1" applyProtection="1">
      <alignment wrapText="1"/>
      <protection locked="0"/>
    </xf>
    <xf numFmtId="1" fontId="46" fillId="0" borderId="19" xfId="0" applyNumberFormat="1" applyFont="1" applyFill="1" applyBorder="1" applyAlignment="1" applyProtection="1">
      <alignment wrapText="1"/>
      <protection locked="0"/>
    </xf>
    <xf numFmtId="0" fontId="46" fillId="29" borderId="21" xfId="0" applyNumberFormat="1" applyFont="1" applyFill="1" applyBorder="1" applyAlignment="1" applyProtection="1">
      <alignment horizontal="left" wrapText="1"/>
      <protection locked="0"/>
    </xf>
    <xf numFmtId="0" fontId="46" fillId="29" borderId="20" xfId="0" applyNumberFormat="1" applyFont="1" applyFill="1" applyBorder="1" applyAlignment="1" applyProtection="1">
      <alignment horizontal="left" wrapText="1"/>
      <protection locked="0"/>
    </xf>
    <xf numFmtId="0" fontId="46" fillId="29" borderId="22" xfId="0" applyNumberFormat="1" applyFont="1" applyFill="1" applyBorder="1" applyAlignment="1" applyProtection="1">
      <alignment horizontal="left" wrapText="1"/>
      <protection locked="0"/>
    </xf>
    <xf numFmtId="0" fontId="12" fillId="0" borderId="0" xfId="2" applyFont="1" applyFill="1" applyAlignment="1"/>
    <xf numFmtId="1" fontId="46" fillId="2" borderId="22" xfId="0" applyNumberFormat="1" applyFont="1" applyFill="1" applyBorder="1" applyAlignment="1" applyProtection="1">
      <alignment wrapText="1"/>
      <protection locked="0"/>
    </xf>
    <xf numFmtId="0" fontId="12" fillId="34" borderId="0" xfId="0" applyFont="1" applyFill="1" applyAlignment="1">
      <alignment horizontal="center"/>
    </xf>
    <xf numFmtId="0" fontId="13" fillId="0" borderId="0" xfId="0" applyFont="1" applyFill="1" applyBorder="1" applyAlignment="1" applyProtection="1">
      <alignment horizontal="left"/>
      <protection locked="0"/>
    </xf>
    <xf numFmtId="0" fontId="53" fillId="0" borderId="0" xfId="0" applyFont="1" applyBorder="1" applyAlignment="1" applyProtection="1">
      <protection locked="0"/>
    </xf>
    <xf numFmtId="0" fontId="12" fillId="0" borderId="0" xfId="0" applyFont="1" applyAlignment="1"/>
    <xf numFmtId="0" fontId="13" fillId="0" borderId="0" xfId="0" applyFont="1" applyFill="1" applyBorder="1" applyAlignment="1" applyProtection="1">
      <alignment horizontal="left"/>
      <protection locked="0"/>
    </xf>
    <xf numFmtId="0" fontId="53" fillId="0" borderId="0" xfId="0" applyFont="1" applyBorder="1" applyAlignment="1" applyProtection="1">
      <protection locked="0"/>
    </xf>
    <xf numFmtId="0" fontId="32" fillId="0" borderId="0" xfId="9135" applyFont="1" applyFill="1" applyBorder="1" applyAlignment="1">
      <alignment vertical="top"/>
    </xf>
    <xf numFmtId="49" fontId="46" fillId="2" borderId="21" xfId="0" applyNumberFormat="1" applyFont="1" applyFill="1" applyBorder="1" applyAlignment="1" applyProtection="1">
      <alignment horizontal="center" wrapText="1"/>
      <protection locked="0"/>
    </xf>
    <xf numFmtId="0" fontId="46" fillId="2" borderId="20" xfId="0" applyNumberFormat="1" applyFont="1" applyFill="1" applyBorder="1" applyAlignment="1" applyProtection="1">
      <alignment wrapText="1"/>
      <protection locked="0"/>
    </xf>
    <xf numFmtId="0" fontId="46" fillId="2" borderId="21" xfId="0" applyNumberFormat="1" applyFont="1" applyFill="1" applyBorder="1" applyAlignment="1" applyProtection="1">
      <alignment wrapText="1"/>
      <protection locked="0"/>
    </xf>
    <xf numFmtId="0" fontId="46" fillId="3" borderId="21" xfId="0" applyNumberFormat="1" applyFont="1" applyFill="1" applyBorder="1" applyAlignment="1" applyProtection="1">
      <alignment wrapText="1"/>
      <protection locked="0"/>
    </xf>
    <xf numFmtId="0" fontId="46" fillId="4" borderId="21" xfId="0" applyNumberFormat="1" applyFont="1" applyFill="1" applyBorder="1" applyAlignment="1" applyProtection="1">
      <alignment wrapText="1"/>
      <protection locked="0"/>
    </xf>
    <xf numFmtId="0" fontId="46" fillId="4" borderId="21" xfId="0" applyNumberFormat="1" applyFont="1" applyFill="1" applyBorder="1" applyAlignment="1" applyProtection="1">
      <protection locked="0"/>
    </xf>
    <xf numFmtId="0" fontId="46" fillId="4" borderId="22" xfId="0" applyNumberFormat="1" applyFont="1" applyFill="1" applyBorder="1" applyAlignment="1" applyProtection="1">
      <alignment wrapText="1"/>
      <protection locked="0"/>
    </xf>
    <xf numFmtId="0" fontId="46" fillId="2" borderId="22" xfId="0" applyNumberFormat="1" applyFont="1" applyFill="1" applyBorder="1" applyAlignment="1" applyProtection="1">
      <alignment wrapText="1"/>
      <protection locked="0"/>
    </xf>
    <xf numFmtId="2" fontId="44" fillId="0" borderId="7" xfId="0" applyNumberFormat="1" applyFont="1" applyFill="1" applyBorder="1" applyAlignment="1" applyProtection="1">
      <protection locked="0"/>
    </xf>
    <xf numFmtId="2" fontId="11" fillId="0" borderId="0" xfId="0" applyNumberFormat="1" applyFont="1" applyFill="1" applyBorder="1"/>
    <xf numFmtId="0" fontId="12" fillId="27" borderId="7" xfId="0" applyFont="1" applyFill="1" applyBorder="1" applyAlignment="1" applyProtection="1">
      <protection locked="0"/>
    </xf>
    <xf numFmtId="0" fontId="0" fillId="30" borderId="7" xfId="0" applyFill="1" applyBorder="1"/>
    <xf numFmtId="168" fontId="12" fillId="27" borderId="8" xfId="4613" applyNumberFormat="1" applyFont="1" applyFill="1" applyBorder="1"/>
    <xf numFmtId="0" fontId="66" fillId="29" borderId="21" xfId="0" applyNumberFormat="1" applyFont="1" applyFill="1" applyBorder="1" applyAlignment="1" applyProtection="1">
      <alignment wrapText="1"/>
      <protection locked="0"/>
    </xf>
    <xf numFmtId="171" fontId="12" fillId="0" borderId="0" xfId="0" applyNumberFormat="1" applyFont="1" applyFill="1" applyBorder="1" applyAlignment="1" applyProtection="1">
      <protection locked="0"/>
    </xf>
    <xf numFmtId="171" fontId="12" fillId="0" borderId="8" xfId="0" applyNumberFormat="1" applyFont="1" applyFill="1" applyBorder="1" applyAlignment="1" applyProtection="1">
      <protection locked="0"/>
    </xf>
    <xf numFmtId="44" fontId="32" fillId="0" borderId="0" xfId="9141" applyFont="1" applyFill="1" applyBorder="1" applyAlignment="1">
      <alignment vertical="top"/>
    </xf>
    <xf numFmtId="0" fontId="32" fillId="0" borderId="8" xfId="9135" applyFont="1" applyFill="1" applyBorder="1" applyAlignment="1">
      <alignment vertical="top"/>
    </xf>
    <xf numFmtId="1" fontId="16" fillId="0" borderId="0" xfId="0" applyNumberFormat="1" applyFont="1" applyFill="1" applyAlignment="1">
      <alignment horizontal="center"/>
    </xf>
    <xf numFmtId="171" fontId="12" fillId="27" borderId="0" xfId="0" applyNumberFormat="1" applyFont="1" applyFill="1" applyBorder="1" applyAlignment="1" applyProtection="1">
      <protection locked="0"/>
    </xf>
    <xf numFmtId="171" fontId="12" fillId="27" borderId="8" xfId="0" applyNumberFormat="1" applyFont="1" applyFill="1" applyBorder="1" applyAlignment="1" applyProtection="1">
      <protection locked="0"/>
    </xf>
    <xf numFmtId="0" fontId="13" fillId="0" borderId="0" xfId="0" applyFont="1" applyFill="1" applyBorder="1" applyAlignment="1" applyProtection="1">
      <alignment horizontal="left"/>
      <protection locked="0"/>
    </xf>
    <xf numFmtId="0" fontId="12" fillId="0" borderId="0" xfId="0" applyFont="1" applyFill="1" applyBorder="1" applyAlignment="1">
      <alignment horizontal="left" vertical="center"/>
    </xf>
    <xf numFmtId="49" fontId="12" fillId="0" borderId="0" xfId="0" applyNumberFormat="1" applyFont="1" applyFill="1" applyBorder="1" applyAlignment="1">
      <alignment horizontal="center" vertical="center"/>
    </xf>
    <xf numFmtId="0" fontId="12" fillId="0" borderId="0" xfId="0" applyFont="1" applyFill="1" applyAlignment="1">
      <alignment vertical="center"/>
    </xf>
    <xf numFmtId="0" fontId="12" fillId="0" borderId="0" xfId="0" applyFont="1" applyFill="1" applyBorder="1" applyAlignment="1">
      <alignment wrapText="1"/>
    </xf>
    <xf numFmtId="0" fontId="12" fillId="0" borderId="0" xfId="9135" applyFont="1" applyFill="1" applyBorder="1"/>
    <xf numFmtId="0" fontId="12" fillId="0" borderId="8" xfId="9135" applyFont="1" applyFill="1" applyBorder="1"/>
    <xf numFmtId="1" fontId="12" fillId="0" borderId="0" xfId="0" applyNumberFormat="1" applyFont="1" applyFill="1" applyBorder="1" applyAlignment="1">
      <alignment horizontal="center" vertical="center"/>
    </xf>
    <xf numFmtId="1" fontId="12" fillId="0" borderId="0" xfId="0" applyNumberFormat="1" applyFont="1" applyFill="1" applyBorder="1" applyAlignment="1">
      <alignment horizontal="center" vertical="center" wrapText="1"/>
    </xf>
    <xf numFmtId="1" fontId="32" fillId="0" borderId="0" xfId="9135" applyNumberFormat="1" applyFont="1" applyFill="1" applyBorder="1" applyAlignment="1">
      <alignment horizontal="center"/>
    </xf>
    <xf numFmtId="0" fontId="66" fillId="29" borderId="22" xfId="0" applyNumberFormat="1" applyFont="1" applyFill="1" applyBorder="1" applyAlignment="1" applyProtection="1">
      <alignment wrapText="1"/>
      <protection locked="0"/>
    </xf>
    <xf numFmtId="0" fontId="16" fillId="0" borderId="0" xfId="0" applyFont="1" applyAlignment="1">
      <alignment horizontal="left" vertical="center"/>
    </xf>
    <xf numFmtId="0" fontId="42" fillId="27" borderId="0" xfId="0" applyFont="1" applyFill="1"/>
    <xf numFmtId="0" fontId="16" fillId="27" borderId="0" xfId="0" applyFont="1" applyFill="1"/>
    <xf numFmtId="0" fontId="47" fillId="27" borderId="0" xfId="0" applyFont="1" applyFill="1"/>
    <xf numFmtId="0" fontId="12" fillId="27" borderId="0" xfId="0" applyFont="1" applyFill="1" applyAlignment="1">
      <alignment vertical="center"/>
    </xf>
    <xf numFmtId="0" fontId="12" fillId="27" borderId="0" xfId="0" applyFont="1" applyFill="1" applyAlignment="1">
      <alignment horizontal="left" vertical="center"/>
    </xf>
    <xf numFmtId="0" fontId="32" fillId="27" borderId="0" xfId="9135" applyFont="1" applyFill="1" applyBorder="1"/>
    <xf numFmtId="0" fontId="48" fillId="0" borderId="0" xfId="0" applyFont="1" applyFill="1" applyAlignment="1">
      <alignment horizontal="left" vertical="center" wrapText="1"/>
    </xf>
    <xf numFmtId="0" fontId="12" fillId="0" borderId="0" xfId="0" applyFont="1" applyFill="1" applyAlignment="1">
      <alignment horizontal="left" vertical="top" wrapText="1"/>
    </xf>
    <xf numFmtId="0" fontId="47" fillId="0" borderId="0" xfId="0" applyFont="1" applyFill="1"/>
    <xf numFmtId="0" fontId="32" fillId="0" borderId="0" xfId="9135" applyFont="1" applyFill="1" applyBorder="1" applyAlignment="1"/>
    <xf numFmtId="0" fontId="42" fillId="0" borderId="0" xfId="0" applyFont="1" applyFill="1" applyBorder="1"/>
    <xf numFmtId="0" fontId="42" fillId="27" borderId="0" xfId="0" applyFont="1" applyFill="1" applyAlignment="1"/>
    <xf numFmtId="0" fontId="42" fillId="0" borderId="0" xfId="0" applyFont="1" applyFill="1" applyAlignment="1"/>
    <xf numFmtId="0" fontId="47" fillId="0" borderId="0" xfId="0" applyFont="1" applyFill="1" applyAlignment="1"/>
    <xf numFmtId="1" fontId="73" fillId="0" borderId="0" xfId="0" quotePrefix="1" applyNumberFormat="1" applyFont="1" applyFill="1" applyAlignment="1">
      <alignment horizontal="center" vertical="center"/>
    </xf>
    <xf numFmtId="49" fontId="12" fillId="34" borderId="0" xfId="0" applyNumberFormat="1" applyFont="1" applyFill="1" applyBorder="1" applyAlignment="1" applyProtection="1">
      <alignment horizontal="left"/>
      <protection locked="0"/>
    </xf>
    <xf numFmtId="0" fontId="12" fillId="0" borderId="0" xfId="0" quotePrefix="1" applyFont="1" applyFill="1" applyAlignment="1">
      <alignment horizontal="center" vertical="center"/>
    </xf>
    <xf numFmtId="0" fontId="12" fillId="0" borderId="0" xfId="0" applyFont="1" applyFill="1" applyAlignment="1">
      <alignment vertical="top" wrapText="1"/>
    </xf>
    <xf numFmtId="168" fontId="12" fillId="0" borderId="0" xfId="4613" applyNumberFormat="1" applyFont="1" applyFill="1"/>
    <xf numFmtId="168" fontId="12" fillId="0" borderId="8" xfId="4613" applyNumberFormat="1" applyFont="1" applyFill="1" applyBorder="1"/>
    <xf numFmtId="0" fontId="12" fillId="0" borderId="0" xfId="0" applyFont="1" applyFill="1" applyBorder="1" applyAlignment="1" applyProtection="1">
      <alignment vertical="top"/>
      <protection locked="0"/>
    </xf>
    <xf numFmtId="171" fontId="12" fillId="0" borderId="8" xfId="0" quotePrefix="1" applyNumberFormat="1" applyFont="1" applyFill="1" applyBorder="1" applyAlignment="1" applyProtection="1">
      <protection locked="0"/>
    </xf>
    <xf numFmtId="171" fontId="53" fillId="0" borderId="0" xfId="0" applyNumberFormat="1" applyFont="1" applyFill="1" applyBorder="1" applyAlignment="1" applyProtection="1">
      <protection locked="0"/>
    </xf>
    <xf numFmtId="0" fontId="16" fillId="0" borderId="0" xfId="0" applyNumberFormat="1" applyFont="1" applyFill="1" applyAlignment="1"/>
    <xf numFmtId="172" fontId="12" fillId="0" borderId="7" xfId="0" applyNumberFormat="1" applyFont="1" applyFill="1" applyBorder="1" applyAlignment="1" applyProtection="1">
      <protection locked="0"/>
    </xf>
    <xf numFmtId="172" fontId="12" fillId="0" borderId="0" xfId="0" applyNumberFormat="1" applyFont="1" applyFill="1" applyBorder="1" applyAlignment="1" applyProtection="1">
      <protection locked="0"/>
    </xf>
    <xf numFmtId="172" fontId="12" fillId="0" borderId="8" xfId="0" applyNumberFormat="1" applyFont="1" applyFill="1" applyBorder="1" applyAlignment="1" applyProtection="1">
      <alignment horizontal="right"/>
      <protection locked="0"/>
    </xf>
    <xf numFmtId="172" fontId="12" fillId="0" borderId="8" xfId="0" applyNumberFormat="1" applyFont="1" applyFill="1" applyBorder="1" applyAlignment="1" applyProtection="1">
      <protection locked="0"/>
    </xf>
    <xf numFmtId="172" fontId="12" fillId="0" borderId="0" xfId="0" applyNumberFormat="1" applyFont="1" applyFill="1" applyBorder="1" applyAlignment="1" applyProtection="1">
      <alignment horizontal="right"/>
      <protection locked="0"/>
    </xf>
    <xf numFmtId="0" fontId="0" fillId="0" borderId="0" xfId="0" applyAlignment="1"/>
    <xf numFmtId="49" fontId="32" fillId="0" borderId="0" xfId="0" applyNumberFormat="1" applyFont="1" applyAlignment="1"/>
    <xf numFmtId="0" fontId="32" fillId="0" borderId="0" xfId="0" applyFont="1" applyBorder="1" applyAlignment="1"/>
    <xf numFmtId="0" fontId="75" fillId="0" borderId="0" xfId="0" applyFont="1" applyAlignment="1"/>
    <xf numFmtId="172" fontId="32" fillId="0" borderId="0" xfId="0" applyNumberFormat="1" applyFont="1" applyBorder="1" applyAlignment="1">
      <alignment wrapText="1"/>
    </xf>
    <xf numFmtId="2" fontId="32" fillId="0" borderId="0" xfId="0" applyNumberFormat="1" applyFont="1" applyBorder="1" applyAlignment="1"/>
    <xf numFmtId="2" fontId="32" fillId="0" borderId="0" xfId="0" applyNumberFormat="1" applyFont="1" applyFill="1" applyBorder="1" applyAlignment="1"/>
    <xf numFmtId="1" fontId="32" fillId="0" borderId="0" xfId="0" applyNumberFormat="1" applyFont="1" applyBorder="1" applyAlignment="1"/>
    <xf numFmtId="1" fontId="12" fillId="0" borderId="0" xfId="0" applyNumberFormat="1" applyFont="1" applyFill="1" applyAlignment="1"/>
    <xf numFmtId="1" fontId="32" fillId="0" borderId="0" xfId="0" applyNumberFormat="1" applyFont="1" applyFill="1" applyBorder="1" applyAlignment="1"/>
    <xf numFmtId="172" fontId="32" fillId="0" borderId="0" xfId="0" applyNumberFormat="1" applyFont="1" applyFill="1" applyBorder="1" applyAlignment="1">
      <alignment wrapText="1"/>
    </xf>
    <xf numFmtId="0" fontId="32" fillId="0" borderId="0" xfId="0" applyFont="1" applyFill="1" applyBorder="1" applyAlignment="1"/>
    <xf numFmtId="1" fontId="12" fillId="0" borderId="0" xfId="0" quotePrefix="1" applyNumberFormat="1" applyFont="1" applyFill="1" applyAlignment="1">
      <alignment horizontal="center"/>
    </xf>
    <xf numFmtId="1" fontId="12" fillId="0" borderId="0" xfId="0" applyNumberFormat="1" applyFont="1"/>
    <xf numFmtId="169" fontId="12" fillId="0" borderId="0" xfId="0" applyNumberFormat="1" applyFont="1"/>
    <xf numFmtId="169" fontId="12" fillId="0" borderId="0" xfId="0" applyNumberFormat="1" applyFont="1" applyFill="1" applyBorder="1" applyAlignment="1" applyProtection="1">
      <protection locked="0"/>
    </xf>
    <xf numFmtId="169" fontId="12" fillId="0" borderId="0" xfId="0" applyNumberFormat="1" applyFont="1" applyFill="1"/>
    <xf numFmtId="169" fontId="12" fillId="0" borderId="0" xfId="0" applyNumberFormat="1" applyFont="1" applyBorder="1"/>
    <xf numFmtId="169" fontId="12" fillId="0" borderId="0" xfId="0" applyNumberFormat="1" applyFont="1" applyBorder="1" applyAlignment="1">
      <alignment horizontal="center"/>
    </xf>
    <xf numFmtId="169" fontId="46" fillId="2" borderId="21" xfId="0" applyNumberFormat="1" applyFont="1" applyFill="1" applyBorder="1" applyAlignment="1" applyProtection="1">
      <alignment wrapText="1"/>
      <protection locked="0"/>
    </xf>
    <xf numFmtId="169" fontId="32" fillId="0" borderId="0" xfId="9141" applyNumberFormat="1" applyFont="1" applyFill="1" applyBorder="1"/>
    <xf numFmtId="169" fontId="32" fillId="0" borderId="0" xfId="9136" applyNumberFormat="1" applyFont="1" applyFill="1" applyBorder="1"/>
    <xf numFmtId="169" fontId="12" fillId="0" borderId="0" xfId="9141" applyNumberFormat="1" applyFont="1" applyFill="1" applyBorder="1"/>
    <xf numFmtId="169" fontId="12" fillId="0" borderId="0" xfId="9136" applyNumberFormat="1" applyFont="1" applyFill="1" applyBorder="1"/>
    <xf numFmtId="169" fontId="12" fillId="0" borderId="0" xfId="0" applyNumberFormat="1" applyFont="1" applyAlignment="1">
      <alignment horizontal="left"/>
    </xf>
    <xf numFmtId="169" fontId="12" fillId="0" borderId="0" xfId="0" applyNumberFormat="1" applyFont="1" applyBorder="1" applyAlignment="1" applyProtection="1">
      <protection locked="0"/>
    </xf>
    <xf numFmtId="169" fontId="0" fillId="0" borderId="0" xfId="0" applyNumberFormat="1"/>
    <xf numFmtId="169" fontId="12" fillId="34" borderId="0" xfId="0" applyNumberFormat="1" applyFont="1" applyFill="1" applyBorder="1" applyAlignment="1" applyProtection="1">
      <protection locked="0"/>
    </xf>
    <xf numFmtId="0" fontId="13" fillId="0" borderId="0" xfId="0" applyFont="1" applyFill="1" applyBorder="1" applyAlignment="1" applyProtection="1">
      <alignment horizontal="left"/>
      <protection locked="0"/>
    </xf>
    <xf numFmtId="0" fontId="32" fillId="0" borderId="0" xfId="9135" applyFont="1"/>
    <xf numFmtId="1" fontId="32" fillId="0" borderId="0" xfId="9135" applyNumberFormat="1" applyFont="1" applyFill="1" applyAlignment="1">
      <alignment horizontal="center"/>
    </xf>
    <xf numFmtId="0" fontId="12" fillId="37" borderId="0" xfId="0" applyFont="1" applyFill="1"/>
    <xf numFmtId="0" fontId="12" fillId="37" borderId="0" xfId="0" applyFont="1" applyFill="1" applyAlignment="1">
      <alignment horizontal="left"/>
    </xf>
    <xf numFmtId="0" fontId="12" fillId="37" borderId="0" xfId="0" applyFont="1" applyFill="1" applyBorder="1"/>
    <xf numFmtId="0" fontId="13" fillId="0" borderId="0" xfId="0" applyFont="1" applyFill="1" applyBorder="1" applyAlignment="1" applyProtection="1">
      <alignment horizontal="left"/>
      <protection locked="0"/>
    </xf>
    <xf numFmtId="0" fontId="12" fillId="0" borderId="0" xfId="0" applyFont="1" applyAlignment="1"/>
    <xf numFmtId="0" fontId="12" fillId="0" borderId="0" xfId="0" applyFont="1" applyAlignment="1"/>
    <xf numFmtId="1" fontId="12" fillId="0" borderId="0" xfId="0" applyNumberFormat="1" applyFont="1" applyAlignment="1">
      <alignment horizontal="right"/>
    </xf>
    <xf numFmtId="44" fontId="12" fillId="0" borderId="0" xfId="5" applyFont="1"/>
    <xf numFmtId="44" fontId="12" fillId="27" borderId="0" xfId="5" applyFont="1" applyFill="1"/>
    <xf numFmtId="0" fontId="32" fillId="0" borderId="0" xfId="0" applyFont="1" applyFill="1" applyAlignment="1"/>
    <xf numFmtId="0" fontId="75" fillId="0" borderId="0" xfId="0" applyFont="1" applyFill="1" applyAlignment="1"/>
    <xf numFmtId="2" fontId="12" fillId="0" borderId="0" xfId="0" applyNumberFormat="1" applyFont="1" applyFill="1" applyAlignment="1">
      <alignment horizontal="right"/>
    </xf>
    <xf numFmtId="1" fontId="12" fillId="0" borderId="0" xfId="0" applyNumberFormat="1" applyFont="1" applyFill="1" applyAlignment="1">
      <alignment horizontal="right"/>
    </xf>
    <xf numFmtId="0" fontId="12" fillId="27" borderId="0" xfId="0" applyFont="1" applyFill="1" applyAlignment="1">
      <alignment horizontal="center"/>
    </xf>
    <xf numFmtId="0" fontId="42" fillId="0" borderId="0" xfId="0" applyFont="1" applyAlignment="1">
      <alignment vertical="top"/>
    </xf>
    <xf numFmtId="0" fontId="42" fillId="0" borderId="0" xfId="0" applyFont="1" applyAlignment="1">
      <alignment vertical="center"/>
    </xf>
    <xf numFmtId="0" fontId="42" fillId="0" borderId="0" xfId="0" applyFont="1" applyAlignment="1"/>
    <xf numFmtId="0" fontId="32" fillId="0" borderId="0" xfId="9135" applyFont="1" applyFill="1"/>
    <xf numFmtId="0" fontId="32" fillId="0" borderId="8" xfId="9135" applyFont="1" applyBorder="1"/>
    <xf numFmtId="14" fontId="12" fillId="0" borderId="0" xfId="0" applyNumberFormat="1" applyFont="1" applyFill="1" applyBorder="1" applyAlignment="1" applyProtection="1">
      <alignment horizontal="left"/>
      <protection locked="0"/>
    </xf>
    <xf numFmtId="2" fontId="12" fillId="0" borderId="26" xfId="0" applyNumberFormat="1" applyFont="1" applyBorder="1" applyAlignment="1" applyProtection="1">
      <protection locked="0"/>
    </xf>
    <xf numFmtId="2" fontId="12" fillId="27" borderId="26" xfId="0" applyNumberFormat="1" applyFont="1" applyFill="1" applyBorder="1" applyAlignment="1" applyProtection="1">
      <protection locked="0"/>
    </xf>
    <xf numFmtId="2" fontId="12" fillId="0" borderId="26" xfId="0" applyNumberFormat="1" applyFont="1" applyFill="1" applyBorder="1" applyAlignment="1" applyProtection="1">
      <protection locked="0"/>
    </xf>
    <xf numFmtId="0" fontId="12" fillId="27" borderId="26" xfId="0" applyFont="1" applyFill="1" applyBorder="1"/>
    <xf numFmtId="0" fontId="12" fillId="0" borderId="26" xfId="0" applyFont="1" applyBorder="1"/>
    <xf numFmtId="0" fontId="12" fillId="0" borderId="26" xfId="0" applyFont="1" applyFill="1" applyBorder="1"/>
    <xf numFmtId="2" fontId="12" fillId="0" borderId="27" xfId="0" applyNumberFormat="1" applyFont="1" applyBorder="1" applyAlignment="1" applyProtection="1">
      <protection locked="0"/>
    </xf>
    <xf numFmtId="2" fontId="12" fillId="0" borderId="24" xfId="0" applyNumberFormat="1" applyFont="1" applyBorder="1" applyAlignment="1" applyProtection="1">
      <protection locked="0"/>
    </xf>
    <xf numFmtId="2" fontId="12" fillId="27" borderId="24" xfId="0" applyNumberFormat="1" applyFont="1" applyFill="1" applyBorder="1" applyAlignment="1" applyProtection="1">
      <protection locked="0"/>
    </xf>
    <xf numFmtId="2" fontId="12" fillId="0" borderId="24" xfId="0" applyNumberFormat="1" applyFont="1" applyFill="1" applyBorder="1" applyAlignment="1" applyProtection="1">
      <protection locked="0"/>
    </xf>
    <xf numFmtId="0" fontId="12" fillId="27" borderId="24" xfId="0" applyFont="1" applyFill="1" applyBorder="1"/>
    <xf numFmtId="0" fontId="12" fillId="0" borderId="24" xfId="0" applyFont="1" applyBorder="1"/>
    <xf numFmtId="0" fontId="12" fillId="0" borderId="24" xfId="0" applyFont="1" applyFill="1" applyBorder="1"/>
    <xf numFmtId="0" fontId="12" fillId="0" borderId="0" xfId="0" applyFont="1" applyAlignment="1"/>
    <xf numFmtId="0" fontId="42" fillId="0" borderId="0" xfId="0" applyFont="1" applyFill="1" applyAlignment="1">
      <alignment vertical="top" wrapText="1"/>
    </xf>
    <xf numFmtId="0" fontId="42" fillId="0" borderId="0" xfId="0" applyFont="1" applyFill="1" applyAlignment="1">
      <alignment wrapText="1"/>
    </xf>
    <xf numFmtId="0" fontId="12" fillId="0" borderId="0" xfId="0" applyFont="1" applyFill="1" applyBorder="1" applyAlignment="1" applyProtection="1">
      <alignment horizontal="left" vertical="top"/>
      <protection locked="0"/>
    </xf>
    <xf numFmtId="0" fontId="12" fillId="0" borderId="0" xfId="0" applyFont="1" applyAlignment="1"/>
    <xf numFmtId="0" fontId="12" fillId="0" borderId="0" xfId="0" applyFont="1" applyFill="1" applyAlignment="1">
      <alignment vertical="center"/>
    </xf>
    <xf numFmtId="1" fontId="32" fillId="0" borderId="0" xfId="9135" applyNumberFormat="1" applyFont="1" applyAlignment="1">
      <alignment horizontal="center"/>
    </xf>
    <xf numFmtId="0" fontId="32" fillId="27" borderId="0" xfId="9135" applyFont="1" applyFill="1"/>
    <xf numFmtId="0" fontId="12" fillId="0" borderId="0" xfId="0" applyFont="1" applyFill="1" applyAlignment="1">
      <alignment horizontal="left" vertical="center" indent="2"/>
    </xf>
    <xf numFmtId="0" fontId="12" fillId="0" borderId="0" xfId="0" applyFont="1" applyFill="1" applyAlignment="1">
      <alignment horizontal="center" vertical="center"/>
    </xf>
    <xf numFmtId="165" fontId="12" fillId="0" borderId="0" xfId="0" applyNumberFormat="1" applyFont="1" applyFill="1" applyBorder="1" applyAlignment="1" applyProtection="1">
      <alignment horizontal="center"/>
      <protection locked="0"/>
    </xf>
    <xf numFmtId="0" fontId="54" fillId="0" borderId="0" xfId="0" applyNumberFormat="1" applyFont="1" applyFill="1" applyAlignment="1"/>
    <xf numFmtId="0" fontId="55" fillId="0" borderId="0" xfId="0" applyNumberFormat="1" applyFont="1" applyFill="1" applyAlignment="1"/>
    <xf numFmtId="0" fontId="0" fillId="0" borderId="7" xfId="0" applyFill="1" applyBorder="1"/>
    <xf numFmtId="0" fontId="0" fillId="0" borderId="0" xfId="0" applyFill="1" applyBorder="1"/>
    <xf numFmtId="0" fontId="0" fillId="0" borderId="8" xfId="0" applyFill="1" applyBorder="1"/>
    <xf numFmtId="0" fontId="14" fillId="0" borderId="0" xfId="0" applyFont="1" applyFill="1" applyAlignment="1">
      <alignment horizontal="left" wrapText="1"/>
    </xf>
    <xf numFmtId="0" fontId="12" fillId="0" borderId="0" xfId="2" applyFont="1" applyFill="1" applyBorder="1" applyAlignment="1" applyProtection="1">
      <protection locked="0"/>
    </xf>
    <xf numFmtId="0" fontId="32" fillId="0" borderId="0" xfId="0" applyFont="1" applyFill="1" applyAlignment="1">
      <alignment vertical="top"/>
    </xf>
    <xf numFmtId="0" fontId="32" fillId="0" borderId="0" xfId="0" applyFont="1" applyFill="1" applyAlignment="1">
      <alignment vertical="center"/>
    </xf>
    <xf numFmtId="0" fontId="32" fillId="0" borderId="0" xfId="0" applyFont="1" applyFill="1"/>
    <xf numFmtId="0" fontId="12" fillId="0" borderId="0" xfId="0" applyFont="1" applyFill="1" applyBorder="1" applyAlignment="1" applyProtection="1">
      <alignment vertical="center"/>
      <protection locked="0"/>
    </xf>
    <xf numFmtId="0" fontId="12" fillId="0" borderId="0" xfId="0" applyFont="1" applyAlignment="1"/>
    <xf numFmtId="0" fontId="12" fillId="0" borderId="0" xfId="0" applyNumberFormat="1" applyFont="1" applyFill="1" applyAlignment="1">
      <alignment vertical="top"/>
    </xf>
    <xf numFmtId="2" fontId="12" fillId="0" borderId="25" xfId="0" applyNumberFormat="1" applyFont="1" applyFill="1" applyBorder="1" applyAlignment="1" applyProtection="1">
      <protection locked="0"/>
    </xf>
    <xf numFmtId="2" fontId="12" fillId="0" borderId="28" xfId="0" quotePrefix="1" applyNumberFormat="1" applyFont="1" applyFill="1" applyBorder="1" applyAlignment="1" applyProtection="1">
      <protection locked="0"/>
    </xf>
    <xf numFmtId="2" fontId="12" fillId="0" borderId="29" xfId="0" quotePrefix="1" applyNumberFormat="1" applyFont="1" applyFill="1" applyBorder="1" applyAlignment="1" applyProtection="1">
      <protection locked="0"/>
    </xf>
    <xf numFmtId="0" fontId="32" fillId="0" borderId="25" xfId="9135" applyFont="1" applyFill="1" applyBorder="1"/>
    <xf numFmtId="0" fontId="53" fillId="0" borderId="0" xfId="0" applyFont="1" applyBorder="1" applyAlignment="1" applyProtection="1">
      <protection locked="0"/>
    </xf>
    <xf numFmtId="0" fontId="12" fillId="0" borderId="0" xfId="0" applyFont="1" applyAlignment="1"/>
    <xf numFmtId="1" fontId="12" fillId="0" borderId="0" xfId="0" applyNumberFormat="1" applyFont="1" applyAlignment="1">
      <alignment vertical="center"/>
    </xf>
    <xf numFmtId="44" fontId="46" fillId="2" borderId="21" xfId="0" applyNumberFormat="1" applyFont="1" applyFill="1" applyBorder="1" applyAlignment="1" applyProtection="1">
      <alignment wrapText="1"/>
      <protection locked="0"/>
    </xf>
    <xf numFmtId="2" fontId="46" fillId="2" borderId="23" xfId="0" applyNumberFormat="1" applyFont="1" applyFill="1" applyBorder="1" applyAlignment="1" applyProtection="1">
      <alignment wrapText="1"/>
      <protection locked="0"/>
    </xf>
    <xf numFmtId="0" fontId="46" fillId="0" borderId="0" xfId="0" applyFont="1"/>
    <xf numFmtId="1" fontId="12" fillId="34" borderId="0" xfId="0" applyNumberFormat="1" applyFont="1" applyFill="1" applyBorder="1" applyAlignment="1"/>
    <xf numFmtId="2" fontId="12" fillId="34" borderId="0" xfId="0" applyNumberFormat="1" applyFont="1" applyFill="1" applyBorder="1"/>
    <xf numFmtId="0" fontId="12" fillId="34" borderId="26" xfId="0" applyFont="1" applyFill="1" applyBorder="1"/>
    <xf numFmtId="0" fontId="12" fillId="34" borderId="24" xfId="0" applyFont="1" applyFill="1" applyBorder="1"/>
    <xf numFmtId="1" fontId="32" fillId="34" borderId="0" xfId="0" applyNumberFormat="1" applyFont="1" applyFill="1" applyBorder="1" applyAlignment="1"/>
    <xf numFmtId="172" fontId="32" fillId="34" borderId="0" xfId="0" applyNumberFormat="1" applyFont="1" applyFill="1" applyBorder="1" applyAlignment="1">
      <alignment wrapText="1"/>
    </xf>
    <xf numFmtId="2" fontId="32" fillId="34" borderId="0" xfId="0" applyNumberFormat="1" applyFont="1" applyFill="1" applyBorder="1" applyAlignment="1"/>
    <xf numFmtId="44" fontId="12" fillId="34" borderId="0" xfId="5" applyFont="1" applyFill="1"/>
    <xf numFmtId="2" fontId="32" fillId="34" borderId="0" xfId="0" applyNumberFormat="1" applyFont="1" applyFill="1" applyBorder="1" applyAlignment="1">
      <alignment wrapText="1"/>
    </xf>
    <xf numFmtId="0" fontId="32" fillId="34" borderId="0" xfId="0" applyFont="1" applyFill="1" applyBorder="1"/>
    <xf numFmtId="0" fontId="12" fillId="34" borderId="0" xfId="0" applyFont="1" applyFill="1" applyBorder="1" applyAlignment="1">
      <alignment horizontal="left"/>
    </xf>
    <xf numFmtId="2" fontId="32" fillId="34" borderId="1" xfId="0" applyNumberFormat="1" applyFont="1" applyFill="1" applyBorder="1" applyAlignment="1"/>
    <xf numFmtId="2" fontId="32" fillId="34" borderId="2" xfId="0" applyNumberFormat="1" applyFont="1" applyFill="1" applyBorder="1" applyAlignment="1"/>
    <xf numFmtId="0" fontId="32" fillId="34" borderId="0" xfId="0" applyFont="1" applyFill="1" applyBorder="1" applyAlignment="1"/>
    <xf numFmtId="0" fontId="12" fillId="34" borderId="0" xfId="0" applyFont="1" applyFill="1" applyAlignment="1"/>
    <xf numFmtId="1" fontId="12" fillId="34" borderId="0" xfId="0" applyNumberFormat="1" applyFont="1" applyFill="1" applyAlignment="1"/>
    <xf numFmtId="2" fontId="12" fillId="34" borderId="0" xfId="0" applyNumberFormat="1" applyFont="1" applyFill="1" applyBorder="1" applyAlignment="1" applyProtection="1">
      <alignment horizontal="right"/>
      <protection locked="0"/>
    </xf>
    <xf numFmtId="2" fontId="12" fillId="34" borderId="26" xfId="0" applyNumberFormat="1" applyFont="1" applyFill="1" applyBorder="1" applyAlignment="1" applyProtection="1">
      <protection locked="0"/>
    </xf>
    <xf numFmtId="2" fontId="12" fillId="34" borderId="24" xfId="0" applyNumberFormat="1" applyFont="1" applyFill="1" applyBorder="1" applyAlignment="1" applyProtection="1">
      <protection locked="0"/>
    </xf>
    <xf numFmtId="0" fontId="32" fillId="34" borderId="0" xfId="0" applyFont="1" applyFill="1" applyAlignment="1"/>
    <xf numFmtId="0" fontId="75" fillId="34" borderId="0" xfId="0" applyFont="1" applyFill="1" applyAlignment="1"/>
    <xf numFmtId="1" fontId="12" fillId="34" borderId="0" xfId="0" applyNumberFormat="1" applyFont="1" applyFill="1"/>
    <xf numFmtId="0" fontId="12" fillId="0" borderId="0" xfId="0" applyFont="1" applyAlignment="1"/>
    <xf numFmtId="169" fontId="12" fillId="0" borderId="0" xfId="9141" applyNumberFormat="1" applyFont="1"/>
    <xf numFmtId="169" fontId="12" fillId="34" borderId="0" xfId="5" applyNumberFormat="1" applyFont="1" applyFill="1"/>
    <xf numFmtId="0" fontId="12" fillId="0" borderId="0" xfId="0" applyFont="1" applyAlignment="1">
      <alignment wrapText="1"/>
    </xf>
    <xf numFmtId="0" fontId="13" fillId="0" borderId="0" xfId="0" applyFont="1" applyBorder="1" applyAlignment="1" applyProtection="1">
      <alignment horizontal="left"/>
      <protection locked="0"/>
    </xf>
    <xf numFmtId="0" fontId="45" fillId="0" borderId="0" xfId="0" applyFont="1" applyFill="1" applyBorder="1" applyAlignment="1" applyProtection="1">
      <protection locked="0"/>
    </xf>
    <xf numFmtId="0" fontId="42" fillId="0" borderId="0" xfId="0" applyNumberFormat="1" applyFont="1" applyFill="1" applyAlignment="1"/>
    <xf numFmtId="0" fontId="57" fillId="0" borderId="0" xfId="0" applyFont="1" applyFill="1"/>
    <xf numFmtId="49" fontId="32" fillId="0" borderId="0" xfId="0" applyNumberFormat="1" applyFont="1" applyFill="1" applyAlignment="1"/>
    <xf numFmtId="0" fontId="46" fillId="36" borderId="1" xfId="0" applyFont="1" applyFill="1" applyBorder="1" applyAlignment="1" applyProtection="1">
      <alignment wrapText="1"/>
      <protection locked="0"/>
    </xf>
    <xf numFmtId="2" fontId="46" fillId="36" borderId="1" xfId="0" applyNumberFormat="1" applyFont="1" applyFill="1" applyBorder="1" applyAlignment="1" applyProtection="1">
      <alignment wrapText="1"/>
      <protection locked="0"/>
    </xf>
    <xf numFmtId="0" fontId="46" fillId="36" borderId="5" xfId="0" applyFont="1" applyFill="1" applyBorder="1" applyAlignment="1" applyProtection="1">
      <alignment wrapText="1"/>
      <protection locked="0"/>
    </xf>
    <xf numFmtId="49" fontId="46" fillId="36" borderId="1" xfId="0" applyNumberFormat="1" applyFont="1" applyFill="1" applyBorder="1" applyAlignment="1" applyProtection="1">
      <alignment horizontal="center" wrapText="1"/>
      <protection locked="0"/>
    </xf>
    <xf numFmtId="49" fontId="46" fillId="36" borderId="5" xfId="0" applyNumberFormat="1" applyFont="1" applyFill="1" applyBorder="1" applyAlignment="1" applyProtection="1">
      <alignment wrapText="1"/>
      <protection locked="0"/>
    </xf>
    <xf numFmtId="44" fontId="46" fillId="36" borderId="1" xfId="0" applyNumberFormat="1" applyFont="1" applyFill="1" applyBorder="1" applyAlignment="1" applyProtection="1">
      <alignment wrapText="1"/>
      <protection locked="0"/>
    </xf>
    <xf numFmtId="1" fontId="46" fillId="36" borderId="1" xfId="0" applyNumberFormat="1" applyFont="1" applyFill="1" applyBorder="1" applyAlignment="1" applyProtection="1">
      <alignment wrapText="1"/>
      <protection locked="0"/>
    </xf>
    <xf numFmtId="1" fontId="46" fillId="36" borderId="2" xfId="0" applyNumberFormat="1" applyFont="1" applyFill="1" applyBorder="1" applyAlignment="1" applyProtection="1">
      <alignment wrapText="1"/>
      <protection locked="0"/>
    </xf>
    <xf numFmtId="0" fontId="46" fillId="36" borderId="20" xfId="0" applyNumberFormat="1" applyFont="1" applyFill="1" applyBorder="1" applyAlignment="1" applyProtection="1">
      <alignment horizontal="left" wrapText="1"/>
      <protection locked="0"/>
    </xf>
    <xf numFmtId="0" fontId="46" fillId="36" borderId="21" xfId="0" applyNumberFormat="1" applyFont="1" applyFill="1" applyBorder="1" applyAlignment="1" applyProtection="1">
      <alignment horizontal="left" wrapText="1"/>
      <protection locked="0"/>
    </xf>
    <xf numFmtId="0" fontId="46" fillId="36" borderId="22" xfId="0" applyNumberFormat="1" applyFont="1" applyFill="1" applyBorder="1" applyAlignment="1" applyProtection="1">
      <alignment horizontal="left" wrapText="1"/>
      <protection locked="0"/>
    </xf>
    <xf numFmtId="2" fontId="46" fillId="36" borderId="18" xfId="0" applyNumberFormat="1" applyFont="1" applyFill="1" applyBorder="1" applyAlignment="1" applyProtection="1">
      <alignment wrapText="1"/>
      <protection locked="0"/>
    </xf>
    <xf numFmtId="2" fontId="46" fillId="36" borderId="5" xfId="0" applyNumberFormat="1" applyFont="1" applyFill="1" applyBorder="1" applyAlignment="1" applyProtection="1">
      <alignment wrapText="1"/>
      <protection locked="0"/>
    </xf>
    <xf numFmtId="2" fontId="46" fillId="36" borderId="6" xfId="0" applyNumberFormat="1" applyFont="1" applyFill="1" applyBorder="1" applyAlignment="1" applyProtection="1">
      <alignment wrapText="1"/>
      <protection locked="0"/>
    </xf>
    <xf numFmtId="2" fontId="46" fillId="36" borderId="4" xfId="0" applyNumberFormat="1" applyFont="1" applyFill="1" applyBorder="1" applyAlignment="1" applyProtection="1">
      <alignment wrapText="1"/>
      <protection locked="0"/>
    </xf>
    <xf numFmtId="2" fontId="46" fillId="36" borderId="3" xfId="0" applyNumberFormat="1" applyFont="1" applyFill="1" applyBorder="1" applyAlignment="1" applyProtection="1">
      <alignment wrapText="1"/>
      <protection locked="0"/>
    </xf>
    <xf numFmtId="0" fontId="46" fillId="36" borderId="1" xfId="0" applyFont="1" applyFill="1" applyBorder="1" applyAlignment="1" applyProtection="1">
      <protection locked="0"/>
    </xf>
    <xf numFmtId="0" fontId="46" fillId="36" borderId="0" xfId="0" applyFont="1" applyFill="1" applyBorder="1" applyAlignment="1" applyProtection="1">
      <alignment wrapText="1"/>
      <protection locked="0"/>
    </xf>
    <xf numFmtId="44" fontId="12" fillId="0" borderId="0" xfId="0" applyNumberFormat="1" applyFont="1" applyFill="1" applyAlignment="1"/>
    <xf numFmtId="0" fontId="12" fillId="0" borderId="8" xfId="0" applyFont="1" applyFill="1" applyBorder="1" applyAlignment="1"/>
    <xf numFmtId="2" fontId="12" fillId="0" borderId="0" xfId="0" applyNumberFormat="1" applyFont="1" applyFill="1" applyAlignment="1"/>
    <xf numFmtId="2" fontId="12" fillId="0" borderId="8" xfId="0" applyNumberFormat="1" applyFont="1" applyFill="1" applyBorder="1" applyAlignment="1"/>
    <xf numFmtId="0" fontId="32" fillId="0" borderId="0" xfId="0" applyFont="1" applyFill="1" applyAlignment="1">
      <alignment horizontal="left" indent="2"/>
    </xf>
    <xf numFmtId="1" fontId="32" fillId="0" borderId="8" xfId="0" applyNumberFormat="1" applyFont="1" applyFill="1" applyBorder="1" applyAlignment="1">
      <alignment horizontal="center" vertical="center"/>
    </xf>
    <xf numFmtId="1" fontId="32" fillId="0" borderId="7" xfId="0" applyNumberFormat="1" applyFont="1" applyFill="1" applyBorder="1" applyAlignment="1">
      <alignment horizontal="center" vertical="center"/>
    </xf>
    <xf numFmtId="0" fontId="12" fillId="0" borderId="0" xfId="0" applyFont="1" applyAlignment="1"/>
    <xf numFmtId="49" fontId="12" fillId="0" borderId="0" xfId="0" applyNumberFormat="1" applyFont="1" applyAlignment="1">
      <alignment horizontal="right"/>
    </xf>
    <xf numFmtId="49" fontId="12" fillId="0" borderId="0" xfId="0" applyNumberFormat="1" applyFont="1" applyFill="1" applyAlignment="1">
      <alignment horizontal="right"/>
    </xf>
    <xf numFmtId="0" fontId="12" fillId="0" borderId="0" xfId="0" quotePrefix="1" applyFont="1" applyAlignment="1">
      <alignment horizontal="right" vertical="center"/>
    </xf>
    <xf numFmtId="0" fontId="12" fillId="0" borderId="0" xfId="0" quotePrefix="1" applyFont="1" applyFill="1" applyAlignment="1">
      <alignment horizontal="right" vertical="center"/>
    </xf>
    <xf numFmtId="0" fontId="12" fillId="0" borderId="0" xfId="0" quotePrefix="1" applyNumberFormat="1" applyFont="1" applyAlignment="1">
      <alignment horizontal="right"/>
    </xf>
    <xf numFmtId="0" fontId="12" fillId="0" borderId="0" xfId="0" applyFont="1" applyAlignment="1">
      <alignment horizontal="right" vertical="center"/>
    </xf>
    <xf numFmtId="49" fontId="12" fillId="0" borderId="0" xfId="0" applyNumberFormat="1" applyFont="1" applyAlignment="1">
      <alignment horizontal="right" vertical="center"/>
    </xf>
    <xf numFmtId="49" fontId="12" fillId="0" borderId="0" xfId="0" applyNumberFormat="1" applyFont="1" applyBorder="1" applyAlignment="1" applyProtection="1">
      <alignment horizontal="right"/>
      <protection locked="0"/>
    </xf>
    <xf numFmtId="49" fontId="12" fillId="0" borderId="0" xfId="0" applyNumberFormat="1" applyFont="1" applyBorder="1" applyAlignment="1">
      <alignment horizontal="right"/>
    </xf>
    <xf numFmtId="165" fontId="12" fillId="0" borderId="0" xfId="0" applyNumberFormat="1" applyFont="1" applyAlignment="1">
      <alignment horizontal="right"/>
    </xf>
    <xf numFmtId="165" fontId="12" fillId="0" borderId="0" xfId="0" applyNumberFormat="1" applyFont="1" applyFill="1" applyAlignment="1">
      <alignment horizontal="right"/>
    </xf>
    <xf numFmtId="44" fontId="12" fillId="0" borderId="0" xfId="9141" applyFont="1"/>
    <xf numFmtId="0" fontId="40" fillId="0" borderId="0" xfId="0" applyFont="1"/>
    <xf numFmtId="0" fontId="0" fillId="0" borderId="0" xfId="0" applyAlignment="1">
      <alignment horizontal="left" vertical="center"/>
    </xf>
    <xf numFmtId="0" fontId="12" fillId="0" borderId="0" xfId="18176" applyFont="1" applyFill="1" applyAlignment="1">
      <alignment vertical="center"/>
    </xf>
    <xf numFmtId="0" fontId="12" fillId="0" borderId="0" xfId="18176" applyFont="1" applyAlignment="1">
      <alignment vertical="center"/>
    </xf>
    <xf numFmtId="0" fontId="12" fillId="0" borderId="0" xfId="18176" applyFont="1" applyFill="1" applyBorder="1" applyAlignment="1">
      <alignment vertical="center"/>
    </xf>
    <xf numFmtId="44" fontId="12" fillId="34" borderId="0" xfId="9141" applyFont="1" applyFill="1"/>
    <xf numFmtId="14" fontId="12" fillId="37" borderId="0" xfId="0" applyNumberFormat="1" applyFont="1" applyFill="1" applyBorder="1" applyAlignment="1" applyProtection="1">
      <protection locked="0"/>
    </xf>
    <xf numFmtId="0" fontId="12" fillId="37" borderId="0" xfId="0" applyFont="1" applyFill="1" applyBorder="1" applyAlignment="1" applyProtection="1">
      <alignment horizontal="left"/>
      <protection locked="0"/>
    </xf>
    <xf numFmtId="165" fontId="12" fillId="37" borderId="0" xfId="0" applyNumberFormat="1" applyFont="1" applyFill="1" applyAlignment="1">
      <alignment horizontal="right"/>
    </xf>
    <xf numFmtId="169" fontId="12" fillId="37" borderId="0" xfId="9141" applyNumberFormat="1" applyFont="1" applyFill="1"/>
    <xf numFmtId="2" fontId="12" fillId="37" borderId="0" xfId="0" applyNumberFormat="1" applyFont="1" applyFill="1" applyBorder="1"/>
    <xf numFmtId="2" fontId="12" fillId="37" borderId="0" xfId="0" applyNumberFormat="1" applyFont="1" applyFill="1"/>
    <xf numFmtId="0" fontId="76" fillId="0" borderId="0" xfId="0" applyFont="1"/>
    <xf numFmtId="0" fontId="76" fillId="0" borderId="0" xfId="0" applyFont="1" applyAlignment="1">
      <alignment horizontal="left"/>
    </xf>
    <xf numFmtId="169" fontId="76" fillId="0" borderId="0" xfId="0" applyNumberFormat="1" applyFont="1"/>
    <xf numFmtId="0" fontId="76" fillId="0" borderId="19" xfId="0" applyFont="1" applyBorder="1"/>
    <xf numFmtId="172" fontId="76" fillId="0" borderId="19" xfId="0" applyNumberFormat="1" applyFont="1" applyBorder="1"/>
    <xf numFmtId="0" fontId="77" fillId="2" borderId="20" xfId="0" applyFont="1" applyFill="1" applyBorder="1" applyAlignment="1" applyProtection="1">
      <alignment wrapText="1"/>
      <protection locked="0"/>
    </xf>
    <xf numFmtId="0" fontId="77" fillId="29" borderId="21" xfId="0" applyFont="1" applyFill="1" applyBorder="1" applyAlignment="1">
      <alignment wrapText="1"/>
    </xf>
    <xf numFmtId="2" fontId="77" fillId="2" borderId="21" xfId="0" applyNumberFormat="1" applyFont="1" applyFill="1" applyBorder="1" applyAlignment="1" applyProtection="1">
      <alignment wrapText="1"/>
      <protection locked="0"/>
    </xf>
    <xf numFmtId="0" fontId="77" fillId="2" borderId="21" xfId="0" applyFont="1" applyFill="1" applyBorder="1" applyAlignment="1" applyProtection="1">
      <alignment wrapText="1"/>
      <protection locked="0"/>
    </xf>
    <xf numFmtId="49" fontId="77" fillId="2" borderId="21" xfId="0" applyNumberFormat="1" applyFont="1" applyFill="1" applyBorder="1" applyAlignment="1" applyProtection="1">
      <alignment horizontal="center" wrapText="1"/>
      <protection locked="0"/>
    </xf>
    <xf numFmtId="49" fontId="77" fillId="2" borderId="21" xfId="0" applyNumberFormat="1" applyFont="1" applyFill="1" applyBorder="1" applyAlignment="1" applyProtection="1">
      <alignment horizontal="left" wrapText="1"/>
      <protection locked="0"/>
    </xf>
    <xf numFmtId="169" fontId="77" fillId="2" borderId="21" xfId="0" applyNumberFormat="1" applyFont="1" applyFill="1" applyBorder="1" applyAlignment="1" applyProtection="1">
      <alignment wrapText="1"/>
      <protection locked="0"/>
    </xf>
    <xf numFmtId="1" fontId="77" fillId="2" borderId="21" xfId="0" applyNumberFormat="1" applyFont="1" applyFill="1" applyBorder="1" applyAlignment="1" applyProtection="1">
      <alignment wrapText="1"/>
      <protection locked="0"/>
    </xf>
    <xf numFmtId="1" fontId="77" fillId="2" borderId="22" xfId="0" applyNumberFormat="1" applyFont="1" applyFill="1" applyBorder="1" applyAlignment="1" applyProtection="1">
      <alignment wrapText="1"/>
      <protection locked="0"/>
    </xf>
    <xf numFmtId="172" fontId="77" fillId="2" borderId="20" xfId="0" applyNumberFormat="1" applyFont="1" applyFill="1" applyBorder="1" applyAlignment="1" applyProtection="1">
      <alignment wrapText="1"/>
      <protection locked="0"/>
    </xf>
    <xf numFmtId="172" fontId="77" fillId="2" borderId="21" xfId="0" applyNumberFormat="1" applyFont="1" applyFill="1" applyBorder="1" applyAlignment="1" applyProtection="1">
      <alignment wrapText="1"/>
      <protection locked="0"/>
    </xf>
    <xf numFmtId="172" fontId="77" fillId="2" borderId="22" xfId="0" applyNumberFormat="1" applyFont="1" applyFill="1" applyBorder="1" applyAlignment="1" applyProtection="1">
      <alignment wrapText="1"/>
      <protection locked="0"/>
    </xf>
    <xf numFmtId="2" fontId="77" fillId="2" borderId="20" xfId="0" applyNumberFormat="1" applyFont="1" applyFill="1" applyBorder="1" applyAlignment="1" applyProtection="1">
      <alignment wrapText="1"/>
      <protection locked="0"/>
    </xf>
    <xf numFmtId="2" fontId="77" fillId="2" borderId="22" xfId="0" applyNumberFormat="1" applyFont="1" applyFill="1" applyBorder="1" applyAlignment="1" applyProtection="1">
      <alignment wrapText="1"/>
      <protection locked="0"/>
    </xf>
    <xf numFmtId="0" fontId="77" fillId="3" borderId="21" xfId="0" applyFont="1" applyFill="1" applyBorder="1" applyAlignment="1" applyProtection="1">
      <alignment wrapText="1"/>
      <protection locked="0"/>
    </xf>
    <xf numFmtId="0" fontId="77" fillId="4" borderId="21" xfId="0" applyFont="1" applyFill="1" applyBorder="1" applyAlignment="1" applyProtection="1">
      <alignment wrapText="1"/>
      <protection locked="0"/>
    </xf>
    <xf numFmtId="0" fontId="77" fillId="4" borderId="22" xfId="0" applyFont="1" applyFill="1" applyBorder="1" applyAlignment="1" applyProtection="1">
      <alignment wrapText="1"/>
      <protection locked="0"/>
    </xf>
    <xf numFmtId="0" fontId="78" fillId="0" borderId="0" xfId="0" applyFont="1"/>
    <xf numFmtId="49" fontId="76" fillId="0" borderId="0" xfId="0" applyNumberFormat="1" applyFont="1"/>
    <xf numFmtId="49" fontId="76" fillId="0" borderId="0" xfId="0" applyNumberFormat="1" applyFont="1" applyFill="1"/>
    <xf numFmtId="0" fontId="76" fillId="0" borderId="0" xfId="0" applyFont="1" applyBorder="1" applyAlignment="1" applyProtection="1">
      <protection locked="0"/>
    </xf>
    <xf numFmtId="1" fontId="76" fillId="0" borderId="0" xfId="0" applyNumberFormat="1" applyFont="1" applyAlignment="1">
      <alignment horizontal="center"/>
    </xf>
    <xf numFmtId="1" fontId="76" fillId="0" borderId="0" xfId="0" applyNumberFormat="1" applyFont="1" applyAlignment="1">
      <alignment horizontal="left"/>
    </xf>
    <xf numFmtId="169" fontId="76" fillId="0" borderId="0" xfId="0" applyNumberFormat="1" applyFont="1" applyBorder="1" applyAlignment="1" applyProtection="1">
      <protection locked="0"/>
    </xf>
    <xf numFmtId="1" fontId="76" fillId="0" borderId="0" xfId="0" applyNumberFormat="1" applyFont="1" applyBorder="1" applyAlignment="1" applyProtection="1">
      <protection locked="0"/>
    </xf>
    <xf numFmtId="1" fontId="76" fillId="0" borderId="8" xfId="0" applyNumberFormat="1" applyFont="1" applyBorder="1" applyAlignment="1" applyProtection="1">
      <protection locked="0"/>
    </xf>
    <xf numFmtId="172" fontId="80" fillId="0" borderId="7" xfId="0" applyNumberFormat="1" applyFont="1" applyBorder="1" applyAlignment="1" applyProtection="1">
      <protection locked="0"/>
    </xf>
    <xf numFmtId="172" fontId="80" fillId="0" borderId="0" xfId="0" applyNumberFormat="1" applyFont="1" applyBorder="1" applyAlignment="1" applyProtection="1">
      <protection locked="0"/>
    </xf>
    <xf numFmtId="172" fontId="76" fillId="0" borderId="8" xfId="0" applyNumberFormat="1" applyFont="1" applyBorder="1" applyAlignment="1" applyProtection="1">
      <protection locked="0"/>
    </xf>
    <xf numFmtId="2" fontId="76" fillId="0" borderId="7" xfId="0" applyNumberFormat="1" applyFont="1" applyBorder="1" applyAlignment="1" applyProtection="1">
      <protection locked="0"/>
    </xf>
    <xf numFmtId="2" fontId="76" fillId="0" borderId="0" xfId="0" applyNumberFormat="1" applyFont="1" applyBorder="1" applyAlignment="1" applyProtection="1">
      <protection locked="0"/>
    </xf>
    <xf numFmtId="2" fontId="76" fillId="0" borderId="8" xfId="0" applyNumberFormat="1" applyFont="1" applyBorder="1" applyAlignment="1" applyProtection="1">
      <protection locked="0"/>
    </xf>
    <xf numFmtId="2" fontId="76" fillId="0" borderId="7" xfId="0" applyNumberFormat="1" applyFont="1" applyFill="1" applyBorder="1" applyAlignment="1" applyProtection="1">
      <protection locked="0"/>
    </xf>
    <xf numFmtId="0" fontId="76" fillId="0" borderId="0" xfId="0" applyFont="1" applyBorder="1" applyAlignment="1" applyProtection="1">
      <alignment wrapText="1"/>
      <protection locked="0"/>
    </xf>
    <xf numFmtId="49" fontId="76" fillId="0" borderId="0" xfId="0" applyNumberFormat="1" applyFont="1" applyBorder="1" applyAlignment="1" applyProtection="1">
      <protection locked="0"/>
    </xf>
    <xf numFmtId="0" fontId="76" fillId="0" borderId="0" xfId="0" applyFont="1" applyFill="1" applyBorder="1" applyAlignment="1" applyProtection="1">
      <protection locked="0"/>
    </xf>
    <xf numFmtId="49" fontId="76" fillId="0" borderId="0" xfId="0" applyNumberFormat="1" applyFont="1" applyBorder="1" applyAlignment="1" applyProtection="1">
      <alignment horizontal="center"/>
      <protection locked="0"/>
    </xf>
    <xf numFmtId="49" fontId="76" fillId="0" borderId="0" xfId="0" applyNumberFormat="1" applyFont="1" applyBorder="1" applyAlignment="1" applyProtection="1">
      <alignment horizontal="left"/>
      <protection locked="0"/>
    </xf>
    <xf numFmtId="172" fontId="76" fillId="0" borderId="7" xfId="0" applyNumberFormat="1" applyFont="1" applyFill="1" applyBorder="1" applyAlignment="1" applyProtection="1">
      <protection locked="0"/>
    </xf>
    <xf numFmtId="172" fontId="76" fillId="0" borderId="0" xfId="0" applyNumberFormat="1" applyFont="1" applyFill="1" applyBorder="1" applyAlignment="1" applyProtection="1">
      <protection locked="0"/>
    </xf>
    <xf numFmtId="2" fontId="76" fillId="0" borderId="0" xfId="0" applyNumberFormat="1" applyFont="1" applyFill="1" applyBorder="1" applyAlignment="1" applyProtection="1">
      <protection locked="0"/>
    </xf>
    <xf numFmtId="2" fontId="76" fillId="0" borderId="8" xfId="0" applyNumberFormat="1" applyFont="1" applyFill="1" applyBorder="1" applyAlignment="1" applyProtection="1">
      <protection locked="0"/>
    </xf>
    <xf numFmtId="0" fontId="76" fillId="0" borderId="0" xfId="0" applyNumberFormat="1" applyFont="1" applyBorder="1" applyAlignment="1" applyProtection="1">
      <protection locked="0"/>
    </xf>
    <xf numFmtId="170" fontId="76" fillId="0" borderId="0" xfId="0" applyNumberFormat="1" applyFont="1" applyBorder="1" applyAlignment="1" applyProtection="1">
      <protection locked="0"/>
    </xf>
    <xf numFmtId="49" fontId="76" fillId="0" borderId="0" xfId="0" applyNumberFormat="1" applyFont="1" applyAlignment="1">
      <alignment horizontal="center"/>
    </xf>
    <xf numFmtId="49" fontId="76" fillId="27" borderId="0" xfId="0" applyNumberFormat="1" applyFont="1" applyFill="1" applyAlignment="1">
      <alignment horizontal="center"/>
    </xf>
    <xf numFmtId="49" fontId="76" fillId="0" borderId="0" xfId="0" applyNumberFormat="1" applyFont="1" applyAlignment="1">
      <alignment horizontal="left"/>
    </xf>
    <xf numFmtId="172" fontId="76" fillId="0" borderId="8" xfId="0" applyNumberFormat="1" applyFont="1" applyFill="1" applyBorder="1" applyAlignment="1" applyProtection="1">
      <protection locked="0"/>
    </xf>
    <xf numFmtId="0" fontId="76" fillId="0" borderId="0" xfId="0" applyNumberFormat="1" applyFont="1" applyFill="1" applyAlignment="1"/>
    <xf numFmtId="0" fontId="76" fillId="0" borderId="0" xfId="0" applyNumberFormat="1" applyFont="1" applyAlignment="1"/>
    <xf numFmtId="0" fontId="76" fillId="0" borderId="0" xfId="0" applyNumberFormat="1" applyFont="1" applyFill="1" applyBorder="1" applyAlignment="1"/>
    <xf numFmtId="170" fontId="76" fillId="0" borderId="0" xfId="0" applyNumberFormat="1" applyFont="1" applyFill="1" applyBorder="1" applyAlignment="1" applyProtection="1">
      <protection locked="0"/>
    </xf>
    <xf numFmtId="49" fontId="76" fillId="0" borderId="0" xfId="0" applyNumberFormat="1" applyFont="1" applyFill="1" applyAlignment="1">
      <alignment horizontal="center"/>
    </xf>
    <xf numFmtId="49" fontId="76" fillId="0" borderId="0" xfId="0" applyNumberFormat="1" applyFont="1" applyFill="1" applyAlignment="1">
      <alignment horizontal="left"/>
    </xf>
    <xf numFmtId="1" fontId="76" fillId="0" borderId="8" xfId="0" applyNumberFormat="1" applyFont="1" applyFill="1" applyBorder="1" applyAlignment="1" applyProtection="1">
      <protection locked="0"/>
    </xf>
    <xf numFmtId="0" fontId="76" fillId="0" borderId="0" xfId="0" applyNumberFormat="1" applyFont="1" applyFill="1" applyBorder="1" applyAlignment="1" applyProtection="1">
      <protection locked="0"/>
    </xf>
    <xf numFmtId="0" fontId="76" fillId="0" borderId="0" xfId="0" applyNumberFormat="1" applyFont="1" applyFill="1" applyBorder="1" applyAlignment="1" applyProtection="1">
      <alignment wrapText="1"/>
      <protection locked="0"/>
    </xf>
    <xf numFmtId="0" fontId="76" fillId="0" borderId="0" xfId="0" applyNumberFormat="1" applyFont="1" applyBorder="1" applyAlignment="1" applyProtection="1">
      <alignment wrapText="1"/>
      <protection locked="0"/>
    </xf>
    <xf numFmtId="170" fontId="76" fillId="0" borderId="0" xfId="0" applyNumberFormat="1" applyFont="1" applyFill="1"/>
    <xf numFmtId="49" fontId="76" fillId="0" borderId="0" xfId="0" applyNumberFormat="1" applyFont="1" applyFill="1" applyBorder="1"/>
    <xf numFmtId="0" fontId="76" fillId="0" borderId="0" xfId="0" applyFont="1" applyFill="1"/>
    <xf numFmtId="0" fontId="76" fillId="0" borderId="0" xfId="0" applyFont="1" applyFill="1" applyAlignment="1">
      <alignment horizontal="center"/>
    </xf>
    <xf numFmtId="0" fontId="76" fillId="0" borderId="0" xfId="0" applyFont="1" applyFill="1" applyAlignment="1">
      <alignment horizontal="left"/>
    </xf>
    <xf numFmtId="169" fontId="76" fillId="0" borderId="0" xfId="0" applyNumberFormat="1" applyFont="1" applyFill="1"/>
    <xf numFmtId="0" fontId="76" fillId="0" borderId="8" xfId="0" applyFont="1" applyFill="1" applyBorder="1"/>
    <xf numFmtId="172" fontId="76" fillId="0" borderId="8" xfId="0" applyNumberFormat="1" applyFont="1" applyFill="1" applyBorder="1"/>
    <xf numFmtId="0" fontId="76" fillId="0" borderId="7" xfId="0" applyFont="1" applyFill="1" applyBorder="1"/>
    <xf numFmtId="172" fontId="76" fillId="0" borderId="8" xfId="0" applyNumberFormat="1" applyFont="1" applyFill="1" applyBorder="1" applyAlignment="1" applyProtection="1">
      <alignment horizontal="right"/>
      <protection locked="0"/>
    </xf>
    <xf numFmtId="2" fontId="76" fillId="27" borderId="7" xfId="0" applyNumberFormat="1" applyFont="1" applyFill="1" applyBorder="1" applyAlignment="1" applyProtection="1">
      <protection locked="0"/>
    </xf>
    <xf numFmtId="2" fontId="76" fillId="27" borderId="0" xfId="0" applyNumberFormat="1" applyFont="1" applyFill="1" applyBorder="1" applyAlignment="1" applyProtection="1">
      <protection locked="0"/>
    </xf>
    <xf numFmtId="2" fontId="76" fillId="33" borderId="7" xfId="0" applyNumberFormat="1" applyFont="1" applyFill="1" applyBorder="1" applyAlignment="1" applyProtection="1">
      <protection locked="0"/>
    </xf>
    <xf numFmtId="2" fontId="76" fillId="33" borderId="0" xfId="0" applyNumberFormat="1" applyFont="1" applyFill="1" applyBorder="1" applyAlignment="1" applyProtection="1">
      <protection locked="0"/>
    </xf>
    <xf numFmtId="2" fontId="76" fillId="33" borderId="8" xfId="0" applyNumberFormat="1" applyFont="1" applyFill="1" applyBorder="1" applyAlignment="1" applyProtection="1">
      <protection locked="0"/>
    </xf>
    <xf numFmtId="0" fontId="76" fillId="27" borderId="7" xfId="0" applyFont="1" applyFill="1" applyBorder="1"/>
    <xf numFmtId="0" fontId="76" fillId="27" borderId="0" xfId="0" applyFont="1" applyFill="1"/>
    <xf numFmtId="0" fontId="76" fillId="27" borderId="8" xfId="0" applyFont="1" applyFill="1" applyBorder="1"/>
    <xf numFmtId="0" fontId="82" fillId="0" borderId="0" xfId="0" applyNumberFormat="1" applyFont="1" applyAlignment="1"/>
    <xf numFmtId="0" fontId="83" fillId="0" borderId="0" xfId="0" applyNumberFormat="1" applyFont="1" applyAlignment="1"/>
    <xf numFmtId="169" fontId="76" fillId="0" borderId="0" xfId="0" applyNumberFormat="1" applyFont="1" applyFill="1" applyBorder="1" applyAlignment="1" applyProtection="1">
      <protection locked="0"/>
    </xf>
    <xf numFmtId="49" fontId="76" fillId="0" borderId="0" xfId="0" applyNumberFormat="1" applyFont="1" applyAlignment="1"/>
    <xf numFmtId="49" fontId="76" fillId="0" borderId="0" xfId="4613" applyNumberFormat="1" applyFont="1" applyBorder="1" applyAlignment="1" applyProtection="1">
      <protection locked="0"/>
    </xf>
    <xf numFmtId="170" fontId="76" fillId="0" borderId="0" xfId="4613" applyNumberFormat="1" applyFont="1" applyBorder="1" applyAlignment="1" applyProtection="1">
      <protection locked="0"/>
    </xf>
    <xf numFmtId="49" fontId="76" fillId="0" borderId="0" xfId="4613" applyNumberFormat="1" applyFont="1" applyAlignment="1"/>
    <xf numFmtId="43" fontId="76" fillId="0" borderId="0" xfId="4613" applyFont="1"/>
    <xf numFmtId="49" fontId="76" fillId="0" borderId="0" xfId="13654" applyNumberFormat="1" applyFont="1" applyAlignment="1">
      <alignment horizontal="left" vertical="top"/>
    </xf>
    <xf numFmtId="43" fontId="76" fillId="0" borderId="0" xfId="4613" applyFont="1" applyBorder="1" applyAlignment="1" applyProtection="1">
      <protection locked="0"/>
    </xf>
    <xf numFmtId="49" fontId="76" fillId="0" borderId="0" xfId="4613" applyNumberFormat="1" applyFont="1" applyAlignment="1">
      <alignment horizontal="center"/>
    </xf>
    <xf numFmtId="49" fontId="76" fillId="0" borderId="0" xfId="4613" applyNumberFormat="1" applyFont="1" applyAlignment="1">
      <alignment horizontal="left"/>
    </xf>
    <xf numFmtId="169" fontId="76" fillId="0" borderId="0" xfId="4613" applyNumberFormat="1" applyFont="1" applyBorder="1" applyAlignment="1" applyProtection="1">
      <protection locked="0"/>
    </xf>
    <xf numFmtId="1" fontId="76" fillId="0" borderId="8" xfId="4613" applyNumberFormat="1" applyFont="1" applyFill="1" applyBorder="1" applyAlignment="1" applyProtection="1">
      <protection locked="0"/>
    </xf>
    <xf numFmtId="2" fontId="76" fillId="0" borderId="7" xfId="4613" applyNumberFormat="1" applyFont="1" applyFill="1" applyBorder="1" applyAlignment="1" applyProtection="1">
      <protection locked="0"/>
    </xf>
    <xf numFmtId="2" fontId="76" fillId="0" borderId="0" xfId="4613" applyNumberFormat="1" applyFont="1" applyFill="1" applyBorder="1" applyAlignment="1" applyProtection="1">
      <protection locked="0"/>
    </xf>
    <xf numFmtId="2" fontId="76" fillId="0" borderId="8" xfId="4613" applyNumberFormat="1" applyFont="1" applyFill="1" applyBorder="1" applyAlignment="1" applyProtection="1">
      <protection locked="0"/>
    </xf>
    <xf numFmtId="0" fontId="76" fillId="0" borderId="0" xfId="13654" applyNumberFormat="1" applyFont="1" applyAlignment="1"/>
    <xf numFmtId="0" fontId="76" fillId="0" borderId="0" xfId="13654" applyNumberFormat="1" applyFont="1" applyFill="1" applyBorder="1" applyAlignment="1"/>
    <xf numFmtId="0" fontId="76" fillId="0" borderId="0" xfId="13654" applyNumberFormat="1" applyFont="1" applyBorder="1" applyAlignment="1" applyProtection="1">
      <protection locked="0"/>
    </xf>
    <xf numFmtId="49" fontId="76" fillId="0" borderId="0" xfId="4613" applyNumberFormat="1" applyFont="1" applyFill="1" applyBorder="1" applyAlignment="1" applyProtection="1">
      <protection locked="0"/>
    </xf>
    <xf numFmtId="170" fontId="76" fillId="0" borderId="0" xfId="4613" applyNumberFormat="1" applyFont="1" applyFill="1" applyBorder="1" applyAlignment="1" applyProtection="1">
      <protection locked="0"/>
    </xf>
    <xf numFmtId="43" fontId="76" fillId="0" borderId="0" xfId="4613" applyFont="1" applyFill="1"/>
    <xf numFmtId="43" fontId="76" fillId="0" borderId="0" xfId="4613" applyFont="1" applyFill="1" applyBorder="1" applyAlignment="1" applyProtection="1">
      <protection locked="0"/>
    </xf>
    <xf numFmtId="49" fontId="76" fillId="0" borderId="0" xfId="0" applyNumberFormat="1" applyFont="1" applyFill="1" applyAlignment="1">
      <alignment horizontal="center" vertical="center"/>
    </xf>
    <xf numFmtId="49" fontId="76" fillId="0" borderId="0" xfId="4613" applyNumberFormat="1" applyFont="1" applyFill="1" applyAlignment="1">
      <alignment horizontal="center"/>
    </xf>
    <xf numFmtId="169" fontId="76" fillId="0" borderId="0" xfId="9141" applyNumberFormat="1" applyFont="1" applyFill="1"/>
    <xf numFmtId="2" fontId="76" fillId="0" borderId="7" xfId="0" applyNumberFormat="1" applyFont="1" applyFill="1" applyBorder="1"/>
    <xf numFmtId="2" fontId="76" fillId="0" borderId="0" xfId="0" applyNumberFormat="1" applyFont="1" applyFill="1"/>
    <xf numFmtId="2" fontId="76" fillId="0" borderId="8" xfId="0" applyNumberFormat="1" applyFont="1" applyFill="1" applyBorder="1"/>
    <xf numFmtId="0" fontId="76" fillId="0" borderId="0" xfId="2" applyFont="1" applyFill="1"/>
    <xf numFmtId="2" fontId="76" fillId="0" borderId="0" xfId="0" quotePrefix="1" applyNumberFormat="1" applyFont="1" applyAlignment="1">
      <alignment horizontal="center" vertical="center"/>
    </xf>
    <xf numFmtId="0" fontId="76" fillId="0" borderId="7" xfId="0" applyFont="1" applyFill="1" applyBorder="1" applyAlignment="1" applyProtection="1">
      <protection locked="0"/>
    </xf>
    <xf numFmtId="49" fontId="76" fillId="0" borderId="0" xfId="0" applyNumberFormat="1" applyFont="1" applyFill="1" applyBorder="1" applyAlignment="1" applyProtection="1">
      <alignment horizontal="center"/>
      <protection locked="0"/>
    </xf>
    <xf numFmtId="169" fontId="76" fillId="0" borderId="0" xfId="0" applyNumberFormat="1" applyFont="1" applyBorder="1" applyAlignment="1" applyProtection="1">
      <alignment horizontal="right"/>
      <protection locked="0"/>
    </xf>
    <xf numFmtId="0" fontId="82" fillId="0" borderId="0" xfId="0" applyFont="1" applyAlignment="1"/>
    <xf numFmtId="0" fontId="83" fillId="0" borderId="0" xfId="0" applyFont="1" applyAlignment="1"/>
    <xf numFmtId="49" fontId="76" fillId="0" borderId="0" xfId="0" applyNumberFormat="1" applyFont="1" applyFill="1" applyBorder="1" applyAlignment="1" applyProtection="1">
      <alignment horizontal="left"/>
      <protection locked="0"/>
    </xf>
    <xf numFmtId="2" fontId="76" fillId="0" borderId="7" xfId="0" applyNumberFormat="1" applyFont="1" applyFill="1" applyBorder="1" applyAlignment="1" applyProtection="1">
      <alignment horizontal="right" vertical="center"/>
      <protection locked="0"/>
    </xf>
    <xf numFmtId="2" fontId="76" fillId="0" borderId="0" xfId="0" applyNumberFormat="1" applyFont="1" applyFill="1" applyBorder="1" applyAlignment="1" applyProtection="1">
      <alignment horizontal="right" vertical="center"/>
      <protection locked="0"/>
    </xf>
    <xf numFmtId="2" fontId="76" fillId="0" borderId="8" xfId="0" applyNumberFormat="1" applyFont="1" applyFill="1" applyBorder="1" applyAlignment="1" applyProtection="1">
      <alignment horizontal="right" vertical="center"/>
      <protection locked="0"/>
    </xf>
    <xf numFmtId="1" fontId="76" fillId="0" borderId="0" xfId="0" quotePrefix="1" applyNumberFormat="1" applyFont="1" applyAlignment="1">
      <alignment horizontal="center" vertical="center"/>
    </xf>
    <xf numFmtId="1" fontId="76" fillId="0" borderId="0" xfId="0" quotePrefix="1" applyNumberFormat="1" applyFont="1" applyFill="1" applyAlignment="1">
      <alignment horizontal="center" vertical="center"/>
    </xf>
    <xf numFmtId="164" fontId="76" fillId="0" borderId="0" xfId="0" applyNumberFormat="1" applyFont="1"/>
    <xf numFmtId="49" fontId="76" fillId="0" borderId="0" xfId="0" applyNumberFormat="1" applyFont="1" applyAlignment="1">
      <alignment horizontal="center" vertical="center"/>
    </xf>
    <xf numFmtId="169" fontId="76" fillId="0" borderId="0" xfId="0" applyNumberFormat="1" applyFont="1" applyFill="1" applyBorder="1" applyAlignment="1" applyProtection="1">
      <alignment horizontal="right"/>
      <protection locked="0"/>
    </xf>
    <xf numFmtId="172" fontId="76" fillId="27" borderId="0" xfId="0" applyNumberFormat="1" applyFont="1" applyFill="1" applyBorder="1" applyAlignment="1" applyProtection="1">
      <protection locked="0"/>
    </xf>
    <xf numFmtId="172" fontId="76" fillId="27" borderId="8" xfId="0" applyNumberFormat="1" applyFont="1" applyFill="1" applyBorder="1" applyAlignment="1" applyProtection="1">
      <protection locked="0"/>
    </xf>
    <xf numFmtId="2" fontId="76" fillId="27" borderId="7" xfId="0" applyNumberFormat="1" applyFont="1" applyFill="1" applyBorder="1" applyAlignment="1" applyProtection="1">
      <alignment horizontal="right"/>
      <protection locked="0"/>
    </xf>
    <xf numFmtId="2" fontId="76" fillId="27" borderId="0" xfId="0" applyNumberFormat="1" applyFont="1" applyFill="1" applyBorder="1" applyAlignment="1" applyProtection="1">
      <alignment horizontal="right"/>
      <protection locked="0"/>
    </xf>
    <xf numFmtId="2" fontId="76" fillId="27" borderId="8" xfId="0" applyNumberFormat="1" applyFont="1" applyFill="1" applyBorder="1" applyAlignment="1" applyProtection="1">
      <alignment horizontal="right"/>
      <protection locked="0"/>
    </xf>
    <xf numFmtId="169" fontId="76" fillId="0" borderId="0" xfId="0" applyNumberFormat="1" applyFont="1" applyAlignment="1">
      <alignment horizontal="right"/>
    </xf>
    <xf numFmtId="2" fontId="76" fillId="0" borderId="7" xfId="0" applyNumberFormat="1" applyFont="1" applyFill="1" applyBorder="1" applyAlignment="1" applyProtection="1">
      <alignment horizontal="right"/>
      <protection locked="0"/>
    </xf>
    <xf numFmtId="2" fontId="76" fillId="0" borderId="0" xfId="0" applyNumberFormat="1" applyFont="1" applyFill="1" applyBorder="1" applyAlignment="1" applyProtection="1">
      <alignment horizontal="right"/>
      <protection locked="0"/>
    </xf>
    <xf numFmtId="2" fontId="76" fillId="0" borderId="8" xfId="0" applyNumberFormat="1" applyFont="1" applyFill="1" applyBorder="1" applyAlignment="1" applyProtection="1">
      <alignment horizontal="right"/>
      <protection locked="0"/>
    </xf>
    <xf numFmtId="49" fontId="76" fillId="0" borderId="0" xfId="0" applyNumberFormat="1" applyFont="1" applyFill="1" applyBorder="1" applyAlignment="1">
      <alignment horizontal="center"/>
    </xf>
    <xf numFmtId="14" fontId="76" fillId="0" borderId="0" xfId="0" applyNumberFormat="1" applyFont="1" applyFill="1"/>
    <xf numFmtId="0" fontId="76" fillId="0" borderId="0" xfId="0" applyFont="1" applyFill="1" applyBorder="1"/>
    <xf numFmtId="0" fontId="84" fillId="0" borderId="0" xfId="0" applyFont="1" applyFill="1" applyAlignment="1"/>
    <xf numFmtId="0" fontId="84" fillId="0" borderId="0" xfId="0" applyFont="1"/>
    <xf numFmtId="49" fontId="76" fillId="0" borderId="0" xfId="4613" applyNumberFormat="1" applyFont="1" applyAlignment="1">
      <alignment horizontal="left" vertical="top"/>
    </xf>
    <xf numFmtId="1" fontId="76" fillId="0" borderId="0" xfId="4613" applyNumberFormat="1" applyFont="1" applyBorder="1" applyAlignment="1" applyProtection="1">
      <protection locked="0"/>
    </xf>
    <xf numFmtId="1" fontId="76" fillId="0" borderId="8" xfId="4613" applyNumberFormat="1" applyFont="1" applyBorder="1" applyAlignment="1" applyProtection="1">
      <protection locked="0"/>
    </xf>
    <xf numFmtId="172" fontId="76" fillId="0" borderId="8" xfId="4613" applyNumberFormat="1" applyFont="1" applyBorder="1" applyAlignment="1" applyProtection="1">
      <protection locked="0"/>
    </xf>
    <xf numFmtId="2" fontId="76" fillId="0" borderId="7" xfId="4613" applyNumberFormat="1" applyFont="1" applyBorder="1" applyAlignment="1" applyProtection="1">
      <protection locked="0"/>
    </xf>
    <xf numFmtId="2" fontId="76" fillId="0" borderId="0" xfId="4613" applyNumberFormat="1" applyFont="1" applyBorder="1" applyAlignment="1" applyProtection="1">
      <protection locked="0"/>
    </xf>
    <xf numFmtId="2" fontId="76" fillId="0" borderId="8" xfId="4613" applyNumberFormat="1" applyFont="1" applyBorder="1" applyAlignment="1" applyProtection="1">
      <protection locked="0"/>
    </xf>
    <xf numFmtId="0" fontId="76" fillId="0" borderId="0" xfId="4613" applyNumberFormat="1" applyFont="1" applyBorder="1" applyAlignment="1" applyProtection="1">
      <protection locked="0"/>
    </xf>
    <xf numFmtId="0" fontId="76" fillId="0" borderId="0" xfId="4613" applyNumberFormat="1" applyFont="1" applyBorder="1" applyAlignment="1" applyProtection="1">
      <alignment wrapText="1"/>
      <protection locked="0"/>
    </xf>
    <xf numFmtId="0" fontId="76" fillId="0" borderId="7" xfId="0" applyFont="1" applyBorder="1" applyAlignment="1" applyProtection="1">
      <protection locked="0"/>
    </xf>
    <xf numFmtId="49" fontId="76" fillId="0" borderId="0" xfId="0" applyNumberFormat="1" applyFont="1" applyFill="1" applyBorder="1" applyAlignment="1" applyProtection="1">
      <protection locked="0"/>
    </xf>
    <xf numFmtId="1" fontId="76" fillId="0" borderId="0" xfId="0" applyNumberFormat="1" applyFont="1" applyFill="1" applyAlignment="1">
      <alignment horizontal="center"/>
    </xf>
    <xf numFmtId="1" fontId="76" fillId="0" borderId="0" xfId="0" applyNumberFormat="1" applyFont="1" applyFill="1" applyBorder="1" applyAlignment="1" applyProtection="1">
      <protection locked="0"/>
    </xf>
    <xf numFmtId="0" fontId="84" fillId="0" borderId="0" xfId="0" applyFont="1" applyAlignment="1"/>
    <xf numFmtId="0" fontId="76" fillId="0" borderId="0" xfId="0" quotePrefix="1" applyFont="1" applyAlignment="1">
      <alignment horizontal="center" vertical="center"/>
    </xf>
    <xf numFmtId="0" fontId="82" fillId="0" borderId="0" xfId="0" applyFont="1" applyAlignment="1">
      <alignment horizontal="left"/>
    </xf>
    <xf numFmtId="0" fontId="82" fillId="0" borderId="0" xfId="0" applyFont="1"/>
    <xf numFmtId="0" fontId="85" fillId="0" borderId="0" xfId="0" applyFont="1" applyAlignment="1"/>
    <xf numFmtId="0" fontId="86" fillId="0" borderId="0" xfId="2" applyNumberFormat="1" applyFont="1" applyAlignment="1"/>
    <xf numFmtId="0" fontId="76" fillId="0" borderId="0" xfId="0" applyFont="1" applyAlignment="1"/>
    <xf numFmtId="0" fontId="86" fillId="0" borderId="0" xfId="0" applyNumberFormat="1" applyFont="1" applyBorder="1" applyAlignment="1" applyProtection="1">
      <alignment wrapText="1"/>
      <protection locked="0"/>
    </xf>
    <xf numFmtId="1" fontId="76" fillId="0" borderId="0" xfId="0" quotePrefix="1" applyNumberFormat="1" applyFont="1" applyFill="1" applyBorder="1" applyAlignment="1">
      <alignment horizontal="center"/>
    </xf>
    <xf numFmtId="2" fontId="76" fillId="0" borderId="0" xfId="0" quotePrefix="1" applyNumberFormat="1" applyFont="1" applyAlignment="1">
      <alignment horizontal="center"/>
    </xf>
    <xf numFmtId="2" fontId="76" fillId="0" borderId="0" xfId="0" quotePrefix="1" applyNumberFormat="1" applyFont="1" applyFill="1" applyAlignment="1">
      <alignment horizontal="center"/>
    </xf>
    <xf numFmtId="2" fontId="76" fillId="0" borderId="0" xfId="0" quotePrefix="1" applyNumberFormat="1" applyFont="1" applyFill="1" applyAlignment="1">
      <alignment horizontal="center" vertical="center"/>
    </xf>
    <xf numFmtId="165" fontId="76" fillId="0" borderId="0" xfId="0" applyNumberFormat="1" applyFont="1" applyFill="1" applyAlignment="1">
      <alignment horizontal="center"/>
    </xf>
    <xf numFmtId="0" fontId="76" fillId="0" borderId="25" xfId="0" applyFont="1" applyBorder="1"/>
    <xf numFmtId="172" fontId="76" fillId="0" borderId="24" xfId="0" applyNumberFormat="1" applyFont="1" applyFill="1" applyBorder="1"/>
    <xf numFmtId="0" fontId="76" fillId="0" borderId="0" xfId="0" applyFont="1" applyBorder="1"/>
    <xf numFmtId="0" fontId="76" fillId="0" borderId="0" xfId="0" applyFont="1" applyAlignment="1">
      <alignment vertical="center"/>
    </xf>
    <xf numFmtId="172" fontId="76" fillId="0" borderId="0" xfId="0" applyNumberFormat="1" applyFont="1" applyFill="1" applyBorder="1"/>
    <xf numFmtId="1" fontId="76" fillId="0" borderId="0" xfId="0" applyNumberFormat="1" applyFont="1" applyFill="1"/>
    <xf numFmtId="2" fontId="85" fillId="0" borderId="0" xfId="0" applyNumberFormat="1" applyFont="1" applyFill="1"/>
    <xf numFmtId="0" fontId="85" fillId="0" borderId="0" xfId="0" applyFont="1" applyFill="1"/>
    <xf numFmtId="0" fontId="85" fillId="0" borderId="0" xfId="0" applyFont="1"/>
    <xf numFmtId="0" fontId="76" fillId="27" borderId="0" xfId="0" applyFont="1" applyFill="1" applyBorder="1"/>
    <xf numFmtId="2" fontId="76" fillId="0" borderId="7" xfId="0" applyNumberFormat="1" applyFont="1" applyBorder="1" applyAlignment="1" applyProtection="1">
      <alignment horizontal="center"/>
      <protection locked="0"/>
    </xf>
    <xf numFmtId="2" fontId="76" fillId="0" borderId="0" xfId="0" applyNumberFormat="1" applyFont="1" applyBorder="1" applyAlignment="1" applyProtection="1">
      <alignment horizontal="center"/>
      <protection locked="0"/>
    </xf>
    <xf numFmtId="2" fontId="76" fillId="0" borderId="8" xfId="0" applyNumberFormat="1" applyFont="1" applyBorder="1" applyAlignment="1" applyProtection="1">
      <alignment horizontal="center"/>
      <protection locked="0"/>
    </xf>
    <xf numFmtId="0" fontId="76" fillId="0" borderId="8" xfId="0" applyFont="1" applyBorder="1"/>
    <xf numFmtId="172" fontId="76" fillId="0" borderId="8" xfId="0" applyNumberFormat="1" applyFont="1" applyBorder="1"/>
    <xf numFmtId="0" fontId="76" fillId="0" borderId="25" xfId="0" applyFont="1" applyFill="1" applyBorder="1"/>
    <xf numFmtId="1" fontId="76" fillId="0" borderId="0" xfId="0" applyNumberFormat="1" applyFont="1"/>
    <xf numFmtId="172" fontId="76" fillId="0" borderId="0" xfId="0" applyNumberFormat="1" applyFont="1" applyFill="1" applyBorder="1" applyAlignment="1" applyProtection="1">
      <alignment horizontal="right"/>
      <protection locked="0"/>
    </xf>
    <xf numFmtId="0" fontId="76" fillId="0" borderId="0" xfId="0" applyFont="1" applyFill="1" applyAlignment="1"/>
    <xf numFmtId="0" fontId="84" fillId="0" borderId="0" xfId="0" applyNumberFormat="1" applyFont="1" applyFill="1" applyAlignment="1"/>
    <xf numFmtId="0" fontId="76" fillId="0" borderId="0" xfId="0" applyFont="1" applyBorder="1" applyAlignment="1" applyProtection="1">
      <alignment horizontal="left"/>
      <protection locked="0"/>
    </xf>
    <xf numFmtId="170" fontId="76" fillId="0" borderId="0" xfId="0" applyNumberFormat="1" applyFont="1" applyFill="1" applyBorder="1" applyAlignment="1" applyProtection="1">
      <alignment horizontal="right"/>
      <protection locked="0"/>
    </xf>
    <xf numFmtId="0" fontId="76" fillId="0" borderId="0" xfId="0" applyFont="1" applyFill="1" applyBorder="1" applyAlignment="1" applyProtection="1">
      <alignment horizontal="left"/>
      <protection locked="0"/>
    </xf>
    <xf numFmtId="49" fontId="76" fillId="0" borderId="0" xfId="2" applyNumberFormat="1" applyFont="1" applyAlignment="1">
      <alignment horizontal="center"/>
    </xf>
    <xf numFmtId="49" fontId="76" fillId="0" borderId="0" xfId="2" applyNumberFormat="1" applyFont="1" applyFill="1" applyAlignment="1">
      <alignment horizontal="center"/>
    </xf>
    <xf numFmtId="172" fontId="76" fillId="0" borderId="8" xfId="0" applyNumberFormat="1" applyFont="1" applyFill="1" applyBorder="1" applyAlignment="1">
      <alignment horizontal="right"/>
    </xf>
    <xf numFmtId="0" fontId="87" fillId="0" borderId="0" xfId="0" applyNumberFormat="1" applyFont="1" applyAlignment="1"/>
    <xf numFmtId="0" fontId="76" fillId="0" borderId="0" xfId="0" applyFont="1" applyAlignment="1">
      <alignment horizontal="left" vertical="center"/>
    </xf>
    <xf numFmtId="0" fontId="76" fillId="0" borderId="0" xfId="0" applyNumberFormat="1" applyFont="1" applyBorder="1" applyAlignment="1"/>
    <xf numFmtId="0" fontId="88" fillId="0" borderId="0" xfId="0" applyFont="1"/>
    <xf numFmtId="172" fontId="76" fillId="0" borderId="0" xfId="0" applyNumberFormat="1" applyFont="1" applyBorder="1"/>
    <xf numFmtId="172" fontId="76" fillId="0" borderId="0" xfId="0" applyNumberFormat="1" applyFont="1"/>
    <xf numFmtId="2" fontId="76" fillId="27" borderId="8" xfId="0" applyNumberFormat="1" applyFont="1" applyFill="1" applyBorder="1" applyAlignment="1" applyProtection="1">
      <protection locked="0"/>
    </xf>
    <xf numFmtId="0" fontId="76" fillId="27" borderId="0" xfId="0" applyNumberFormat="1" applyFont="1" applyFill="1" applyBorder="1" applyAlignment="1" applyProtection="1">
      <protection locked="0"/>
    </xf>
    <xf numFmtId="2" fontId="76" fillId="0" borderId="0" xfId="0" applyNumberFormat="1" applyFont="1" applyBorder="1"/>
    <xf numFmtId="2" fontId="76" fillId="0" borderId="0" xfId="0" applyNumberFormat="1" applyFont="1"/>
    <xf numFmtId="0" fontId="84" fillId="0" borderId="0" xfId="0" applyNumberFormat="1" applyFont="1" applyAlignment="1"/>
    <xf numFmtId="0" fontId="84" fillId="0" borderId="0" xfId="0" applyNumberFormat="1" applyFont="1" applyFill="1" applyBorder="1" applyAlignment="1"/>
    <xf numFmtId="0" fontId="76" fillId="0" borderId="7" xfId="0" applyFont="1" applyBorder="1"/>
    <xf numFmtId="0" fontId="76" fillId="0" borderId="0" xfId="0" applyFont="1" applyAlignment="1">
      <alignment vertical="center" wrapText="1"/>
    </xf>
    <xf numFmtId="1" fontId="76" fillId="0" borderId="0" xfId="0" applyNumberFormat="1" applyFont="1" applyAlignment="1">
      <alignment vertical="center"/>
    </xf>
    <xf numFmtId="2" fontId="76" fillId="0" borderId="0" xfId="0" applyNumberFormat="1" applyFont="1" applyFill="1" applyBorder="1"/>
    <xf numFmtId="0" fontId="76" fillId="37" borderId="0" xfId="0" applyFont="1" applyFill="1" applyBorder="1" applyAlignment="1" applyProtection="1">
      <protection locked="0"/>
    </xf>
    <xf numFmtId="14" fontId="76" fillId="37" borderId="0" xfId="0" applyNumberFormat="1" applyFont="1" applyFill="1"/>
    <xf numFmtId="0" fontId="76" fillId="37" borderId="0" xfId="0" applyFont="1" applyFill="1"/>
    <xf numFmtId="165" fontId="76" fillId="37" borderId="0" xfId="0" applyNumberFormat="1" applyFont="1" applyFill="1" applyAlignment="1">
      <alignment horizontal="center"/>
    </xf>
    <xf numFmtId="49" fontId="76" fillId="37" borderId="0" xfId="0" applyNumberFormat="1" applyFont="1" applyFill="1" applyBorder="1" applyAlignment="1" applyProtection="1">
      <alignment horizontal="center"/>
      <protection locked="0"/>
    </xf>
    <xf numFmtId="0" fontId="76" fillId="37" borderId="0" xfId="0" applyFont="1" applyFill="1" applyAlignment="1">
      <alignment horizontal="left"/>
    </xf>
    <xf numFmtId="169" fontId="76" fillId="37" borderId="0" xfId="0" applyNumberFormat="1" applyFont="1" applyFill="1"/>
    <xf numFmtId="0" fontId="76" fillId="37" borderId="25" xfId="0" applyFont="1" applyFill="1" applyBorder="1"/>
    <xf numFmtId="172" fontId="76" fillId="37" borderId="0" xfId="0" applyNumberFormat="1" applyFont="1" applyFill="1" applyBorder="1" applyAlignment="1" applyProtection="1">
      <protection locked="0"/>
    </xf>
    <xf numFmtId="172" fontId="76" fillId="37" borderId="0" xfId="0" applyNumberFormat="1" applyFont="1" applyFill="1" applyBorder="1"/>
    <xf numFmtId="0" fontId="76" fillId="37" borderId="0" xfId="0" applyFont="1" applyFill="1" applyBorder="1"/>
    <xf numFmtId="0" fontId="76" fillId="37" borderId="0" xfId="0" applyNumberFormat="1" applyFont="1" applyFill="1" applyAlignment="1"/>
    <xf numFmtId="172" fontId="80" fillId="0" borderId="0" xfId="0" applyNumberFormat="1" applyFont="1" applyFill="1" applyBorder="1" applyAlignment="1" applyProtection="1">
      <protection locked="0"/>
    </xf>
    <xf numFmtId="172" fontId="76" fillId="0" borderId="0" xfId="0" applyNumberFormat="1" applyFont="1" applyFill="1"/>
    <xf numFmtId="0" fontId="79" fillId="0" borderId="0" xfId="0" applyFont="1" applyFill="1" applyBorder="1" applyAlignment="1" applyProtection="1">
      <alignment horizontal="left"/>
      <protection locked="0"/>
    </xf>
    <xf numFmtId="0" fontId="79" fillId="0" borderId="0" xfId="0" applyFont="1" applyBorder="1" applyAlignment="1" applyProtection="1">
      <alignment horizontal="left"/>
      <protection locked="0"/>
    </xf>
    <xf numFmtId="0" fontId="81" fillId="0" borderId="0" xfId="0" applyFont="1" applyBorder="1" applyAlignment="1" applyProtection="1">
      <protection locked="0"/>
    </xf>
    <xf numFmtId="0" fontId="76" fillId="0" borderId="0" xfId="0" applyFont="1" applyAlignment="1"/>
    <xf numFmtId="0" fontId="81" fillId="0" borderId="0" xfId="0" applyFont="1" applyBorder="1" applyAlignment="1" applyProtection="1">
      <alignment horizontal="left"/>
      <protection locked="0"/>
    </xf>
    <xf numFmtId="2" fontId="11" fillId="0" borderId="7" xfId="0" applyNumberFormat="1" applyFont="1" applyFill="1" applyBorder="1" applyAlignment="1" applyProtection="1">
      <alignment horizontal="center" wrapText="1"/>
      <protection locked="0"/>
    </xf>
    <xf numFmtId="2" fontId="11" fillId="0" borderId="0" xfId="0" applyNumberFormat="1" applyFont="1" applyFill="1" applyBorder="1" applyAlignment="1" applyProtection="1">
      <alignment horizontal="center" wrapText="1"/>
      <protection locked="0"/>
    </xf>
    <xf numFmtId="2" fontId="11" fillId="0" borderId="8" xfId="0" applyNumberFormat="1" applyFont="1" applyFill="1" applyBorder="1" applyAlignment="1" applyProtection="1">
      <alignment horizontal="center" wrapText="1"/>
      <protection locked="0"/>
    </xf>
    <xf numFmtId="2" fontId="11" fillId="0" borderId="7" xfId="0" applyNumberFormat="1" applyFont="1" applyFill="1" applyBorder="1" applyAlignment="1" applyProtection="1">
      <alignment horizontal="center"/>
      <protection locked="0"/>
    </xf>
    <xf numFmtId="2" fontId="11" fillId="0" borderId="0" xfId="0" applyNumberFormat="1" applyFont="1" applyFill="1" applyBorder="1" applyAlignment="1" applyProtection="1">
      <alignment horizontal="center"/>
      <protection locked="0"/>
    </xf>
    <xf numFmtId="2" fontId="11" fillId="0" borderId="8" xfId="0" applyNumberFormat="1" applyFont="1" applyFill="1" applyBorder="1" applyAlignment="1" applyProtection="1">
      <alignment horizontal="center"/>
      <protection locked="0"/>
    </xf>
    <xf numFmtId="0" fontId="13" fillId="0" borderId="0" xfId="0" applyFont="1" applyFill="1" applyBorder="1" applyAlignment="1" applyProtection="1">
      <alignment horizontal="left"/>
      <protection locked="0"/>
    </xf>
    <xf numFmtId="0" fontId="13" fillId="0" borderId="0" xfId="0" applyFont="1" applyBorder="1" applyAlignment="1" applyProtection="1">
      <alignment horizontal="left"/>
      <protection locked="0"/>
    </xf>
    <xf numFmtId="170" fontId="12" fillId="0" borderId="0" xfId="0" applyNumberFormat="1" applyFont="1" applyFill="1" applyBorder="1" applyAlignment="1" applyProtection="1">
      <alignment vertical="center"/>
      <protection locked="0"/>
    </xf>
    <xf numFmtId="0" fontId="0" fillId="0" borderId="0" xfId="0" applyAlignment="1">
      <alignment vertical="center"/>
    </xf>
    <xf numFmtId="0" fontId="12" fillId="0" borderId="0" xfId="0" applyFont="1" applyFill="1" applyAlignment="1">
      <alignment vertical="center"/>
    </xf>
    <xf numFmtId="0" fontId="0" fillId="0" borderId="0" xfId="0" applyFill="1" applyAlignment="1">
      <alignment vertical="center"/>
    </xf>
    <xf numFmtId="49" fontId="12" fillId="0" borderId="0" xfId="0" applyNumberFormat="1" applyFont="1" applyFill="1" applyAlignment="1">
      <alignment vertical="center"/>
    </xf>
    <xf numFmtId="2" fontId="12" fillId="0" borderId="0" xfId="0" applyNumberFormat="1" applyFont="1" applyFill="1" applyBorder="1" applyAlignment="1" applyProtection="1">
      <alignment vertical="center"/>
      <protection locked="0"/>
    </xf>
    <xf numFmtId="0" fontId="14" fillId="0" borderId="0" xfId="0" applyFont="1" applyFill="1" applyAlignment="1">
      <alignment vertical="center"/>
    </xf>
    <xf numFmtId="0" fontId="12" fillId="0" borderId="0" xfId="0" applyFont="1" applyFill="1" applyBorder="1" applyAlignment="1" applyProtection="1">
      <alignment vertical="center"/>
      <protection locked="0"/>
    </xf>
  </cellXfs>
  <cellStyles count="18177">
    <cellStyle name="20% - Accent1 2" xfId="1177" xr:uid="{00000000-0005-0000-0000-000000000000}"/>
    <cellStyle name="20% - Accent2 2" xfId="1178" xr:uid="{00000000-0005-0000-0000-000001000000}"/>
    <cellStyle name="20% - Accent3 2" xfId="1179" xr:uid="{00000000-0005-0000-0000-000002000000}"/>
    <cellStyle name="20% - Accent4 2" xfId="1180" xr:uid="{00000000-0005-0000-0000-000003000000}"/>
    <cellStyle name="20% - Accent5 2" xfId="1181" xr:uid="{00000000-0005-0000-0000-000004000000}"/>
    <cellStyle name="20% - Accent6 2" xfId="1182" xr:uid="{00000000-0005-0000-0000-000005000000}"/>
    <cellStyle name="20% - Accent6 2 2" xfId="2348" xr:uid="{00000000-0005-0000-0000-000006000000}"/>
    <cellStyle name="20% - Dekorfärg1" xfId="197" xr:uid="{00000000-0005-0000-0000-000007000000}"/>
    <cellStyle name="20% - Dekorfärg2" xfId="198" xr:uid="{00000000-0005-0000-0000-000008000000}"/>
    <cellStyle name="20% - Dekorfärg3" xfId="199" xr:uid="{00000000-0005-0000-0000-000009000000}"/>
    <cellStyle name="20% - Dekorfärg4" xfId="200" xr:uid="{00000000-0005-0000-0000-00000A000000}"/>
    <cellStyle name="20% - Dekorfärg5" xfId="201" xr:uid="{00000000-0005-0000-0000-00000B000000}"/>
    <cellStyle name="20% - Dekorfärg6" xfId="202" xr:uid="{00000000-0005-0000-0000-00000C000000}"/>
    <cellStyle name="20% - Dekorfärg6 2" xfId="2349" xr:uid="{00000000-0005-0000-0000-00000D000000}"/>
    <cellStyle name="40% - Accent1 2" xfId="1183" xr:uid="{00000000-0005-0000-0000-00000E000000}"/>
    <cellStyle name="40% - Accent2 2" xfId="1184" xr:uid="{00000000-0005-0000-0000-00000F000000}"/>
    <cellStyle name="40% - Accent3 2" xfId="1185" xr:uid="{00000000-0005-0000-0000-000010000000}"/>
    <cellStyle name="40% - Accent4 2" xfId="1186" xr:uid="{00000000-0005-0000-0000-000011000000}"/>
    <cellStyle name="40% - Accent5 2" xfId="1187" xr:uid="{00000000-0005-0000-0000-000012000000}"/>
    <cellStyle name="40% - Accent6 2" xfId="1188" xr:uid="{00000000-0005-0000-0000-000013000000}"/>
    <cellStyle name="40% - Dekorfärg1" xfId="203" xr:uid="{00000000-0005-0000-0000-000014000000}"/>
    <cellStyle name="40% - Dekorfärg2" xfId="204" xr:uid="{00000000-0005-0000-0000-000015000000}"/>
    <cellStyle name="40% - Dekorfärg3" xfId="205" xr:uid="{00000000-0005-0000-0000-000016000000}"/>
    <cellStyle name="40% - Dekorfärg4" xfId="206" xr:uid="{00000000-0005-0000-0000-000017000000}"/>
    <cellStyle name="40% - Dekorfärg5" xfId="207" xr:uid="{00000000-0005-0000-0000-000018000000}"/>
    <cellStyle name="40% - Dekorfärg6" xfId="208" xr:uid="{00000000-0005-0000-0000-000019000000}"/>
    <cellStyle name="60% - Accent1 2" xfId="1189" xr:uid="{00000000-0005-0000-0000-00001A000000}"/>
    <cellStyle name="60% - Accent2 2" xfId="1190" xr:uid="{00000000-0005-0000-0000-00001B000000}"/>
    <cellStyle name="60% - Accent3 2" xfId="1191" xr:uid="{00000000-0005-0000-0000-00001C000000}"/>
    <cellStyle name="60% - Accent4 2" xfId="1192" xr:uid="{00000000-0005-0000-0000-00001D000000}"/>
    <cellStyle name="60% - Accent5 2" xfId="1193" xr:uid="{00000000-0005-0000-0000-00001E000000}"/>
    <cellStyle name="60% - Accent6 2" xfId="1194" xr:uid="{00000000-0005-0000-0000-00001F000000}"/>
    <cellStyle name="60% - Dekorfärg1" xfId="209" xr:uid="{00000000-0005-0000-0000-000020000000}"/>
    <cellStyle name="60% - Dekorfärg2" xfId="210" xr:uid="{00000000-0005-0000-0000-000021000000}"/>
    <cellStyle name="60% - Dekorfärg3" xfId="211" xr:uid="{00000000-0005-0000-0000-000022000000}"/>
    <cellStyle name="60% - Dekorfärg4" xfId="212" xr:uid="{00000000-0005-0000-0000-000023000000}"/>
    <cellStyle name="60% - Dekorfärg5" xfId="213" xr:uid="{00000000-0005-0000-0000-000024000000}"/>
    <cellStyle name="60% - Dekorfärg6" xfId="214" xr:uid="{00000000-0005-0000-0000-000025000000}"/>
    <cellStyle name="Accent1 2" xfId="1195" xr:uid="{00000000-0005-0000-0000-000026000000}"/>
    <cellStyle name="Accent2 2" xfId="1196" xr:uid="{00000000-0005-0000-0000-000027000000}"/>
    <cellStyle name="Accent3 2" xfId="1197" xr:uid="{00000000-0005-0000-0000-000028000000}"/>
    <cellStyle name="Accent4 2" xfId="1198" xr:uid="{00000000-0005-0000-0000-000029000000}"/>
    <cellStyle name="Accent5 2" xfId="1199" xr:uid="{00000000-0005-0000-0000-00002A000000}"/>
    <cellStyle name="Accent6 2" xfId="1200" xr:uid="{00000000-0005-0000-0000-00002B000000}"/>
    <cellStyle name="Anteckning" xfId="215" xr:uid="{00000000-0005-0000-0000-00002C000000}"/>
    <cellStyle name="Bad 2" xfId="1201" xr:uid="{00000000-0005-0000-0000-00002D000000}"/>
    <cellStyle name="Beräkning" xfId="216" xr:uid="{00000000-0005-0000-0000-00002E000000}"/>
    <cellStyle name="Bra" xfId="217" xr:uid="{00000000-0005-0000-0000-00002F000000}"/>
    <cellStyle name="Calculation 2" xfId="1202" xr:uid="{00000000-0005-0000-0000-000030000000}"/>
    <cellStyle name="Check Cell 2" xfId="1203" xr:uid="{00000000-0005-0000-0000-000031000000}"/>
    <cellStyle name="Comma" xfId="4613" builtinId="3"/>
    <cellStyle name="Comma 2" xfId="9140" xr:uid="{00000000-0005-0000-0000-000033000000}"/>
    <cellStyle name="Comma 3" xfId="13654" xr:uid="{00000000-0005-0000-0000-000034000000}"/>
    <cellStyle name="Currency" xfId="9141" builtinId="4"/>
    <cellStyle name="Currency 2" xfId="5" xr:uid="{00000000-0005-0000-0000-000036000000}"/>
    <cellStyle name="Currency 2 2" xfId="9137" xr:uid="{00000000-0005-0000-0000-000037000000}"/>
    <cellStyle name="Currency 3" xfId="2350" xr:uid="{00000000-0005-0000-0000-000038000000}"/>
    <cellStyle name="Currency 4" xfId="9136" xr:uid="{00000000-0005-0000-0000-000039000000}"/>
    <cellStyle name="Currency 4 2" xfId="18174" xr:uid="{00000000-0005-0000-0000-00003A000000}"/>
    <cellStyle name="Dålig" xfId="218" xr:uid="{00000000-0005-0000-0000-00003B000000}"/>
    <cellStyle name="Explanatory Text 2" xfId="1204" xr:uid="{00000000-0005-0000-0000-00003C000000}"/>
    <cellStyle name="Färg1" xfId="219" xr:uid="{00000000-0005-0000-0000-00003D000000}"/>
    <cellStyle name="Färg2" xfId="220" xr:uid="{00000000-0005-0000-0000-00003E000000}"/>
    <cellStyle name="Färg3" xfId="221" xr:uid="{00000000-0005-0000-0000-00003F000000}"/>
    <cellStyle name="Färg4" xfId="222" xr:uid="{00000000-0005-0000-0000-000040000000}"/>
    <cellStyle name="Färg5" xfId="223" xr:uid="{00000000-0005-0000-0000-000041000000}"/>
    <cellStyle name="Färg6" xfId="224" xr:uid="{00000000-0005-0000-0000-000042000000}"/>
    <cellStyle name="Förklarande text" xfId="225" xr:uid="{00000000-0005-0000-0000-000043000000}"/>
    <cellStyle name="Good 2" xfId="1205" xr:uid="{00000000-0005-0000-0000-000044000000}"/>
    <cellStyle name="Heading 1 2" xfId="1206" xr:uid="{00000000-0005-0000-0000-000045000000}"/>
    <cellStyle name="Heading 2 2" xfId="1207" xr:uid="{00000000-0005-0000-0000-000046000000}"/>
    <cellStyle name="Heading 3 2" xfId="1208" xr:uid="{00000000-0005-0000-0000-000047000000}"/>
    <cellStyle name="Heading 4 2" xfId="1209" xr:uid="{00000000-0005-0000-0000-000048000000}"/>
    <cellStyle name="Hyperlänk 2" xfId="9129" xr:uid="{00000000-0005-0000-0000-000049000000}"/>
    <cellStyle name="Indata" xfId="226" xr:uid="{00000000-0005-0000-0000-00004A000000}"/>
    <cellStyle name="Indata 2" xfId="2351" xr:uid="{00000000-0005-0000-0000-00004B000000}"/>
    <cellStyle name="Input 2" xfId="1210" xr:uid="{00000000-0005-0000-0000-00004C000000}"/>
    <cellStyle name="Input 2 2" xfId="2352" xr:uid="{00000000-0005-0000-0000-00004D000000}"/>
    <cellStyle name="Kontrollcell" xfId="227" xr:uid="{00000000-0005-0000-0000-00004E000000}"/>
    <cellStyle name="Länkad cell" xfId="228" xr:uid="{00000000-0005-0000-0000-00004F000000}"/>
    <cellStyle name="Linked Cell 2" xfId="1211" xr:uid="{00000000-0005-0000-0000-000050000000}"/>
    <cellStyle name="Neutral 2" xfId="1212" xr:uid="{00000000-0005-0000-0000-000051000000}"/>
    <cellStyle name="Normal" xfId="0" builtinId="0"/>
    <cellStyle name="Normal 10" xfId="9135" xr:uid="{00000000-0005-0000-0000-000053000000}"/>
    <cellStyle name="Normal 10 2" xfId="18173" xr:uid="{00000000-0005-0000-0000-000054000000}"/>
    <cellStyle name="Normal 100" xfId="6" xr:uid="{00000000-0005-0000-0000-000055000000}"/>
    <cellStyle name="Normal 100 2" xfId="102" xr:uid="{00000000-0005-0000-0000-000056000000}"/>
    <cellStyle name="Normal 100 2 2" xfId="331" xr:uid="{00000000-0005-0000-0000-000057000000}"/>
    <cellStyle name="Normal 100 2 2 2" xfId="895" xr:uid="{00000000-0005-0000-0000-000058000000}"/>
    <cellStyle name="Normal 100 2 2 2 2" xfId="2065" xr:uid="{00000000-0005-0000-0000-000059000000}"/>
    <cellStyle name="Normal 100 2 2 2 2 2" xfId="2357" xr:uid="{00000000-0005-0000-0000-00005A000000}"/>
    <cellStyle name="Normal 100 2 2 2 2 2 2" xfId="6874" xr:uid="{00000000-0005-0000-0000-00005B000000}"/>
    <cellStyle name="Normal 100 2 2 2 2 2 2 2" xfId="15915" xr:uid="{00000000-0005-0000-0000-00005C000000}"/>
    <cellStyle name="Normal 100 2 2 2 2 2 3" xfId="11402" xr:uid="{00000000-0005-0000-0000-00005D000000}"/>
    <cellStyle name="Normal 100 2 2 2 2 3" xfId="6588" xr:uid="{00000000-0005-0000-0000-00005E000000}"/>
    <cellStyle name="Normal 100 2 2 2 2 3 2" xfId="15629" xr:uid="{00000000-0005-0000-0000-00005F000000}"/>
    <cellStyle name="Normal 100 2 2 2 2 4" xfId="11116" xr:uid="{00000000-0005-0000-0000-000060000000}"/>
    <cellStyle name="Normal 100 2 2 2 3" xfId="2356" xr:uid="{00000000-0005-0000-0000-000061000000}"/>
    <cellStyle name="Normal 100 2 2 2 3 2" xfId="6873" xr:uid="{00000000-0005-0000-0000-000062000000}"/>
    <cellStyle name="Normal 100 2 2 2 3 2 2" xfId="15914" xr:uid="{00000000-0005-0000-0000-000063000000}"/>
    <cellStyle name="Normal 100 2 2 2 3 3" xfId="11401" xr:uid="{00000000-0005-0000-0000-000064000000}"/>
    <cellStyle name="Normal 100 2 2 2 4" xfId="5460" xr:uid="{00000000-0005-0000-0000-000065000000}"/>
    <cellStyle name="Normal 100 2 2 2 4 2" xfId="14501" xr:uid="{00000000-0005-0000-0000-000066000000}"/>
    <cellStyle name="Normal 100 2 2 2 5" xfId="9988" xr:uid="{00000000-0005-0000-0000-000067000000}"/>
    <cellStyle name="Normal 100 2 2 3" xfId="1501" xr:uid="{00000000-0005-0000-0000-000068000000}"/>
    <cellStyle name="Normal 100 2 2 3 2" xfId="2358" xr:uid="{00000000-0005-0000-0000-000069000000}"/>
    <cellStyle name="Normal 100 2 2 3 2 2" xfId="6875" xr:uid="{00000000-0005-0000-0000-00006A000000}"/>
    <cellStyle name="Normal 100 2 2 3 2 2 2" xfId="15916" xr:uid="{00000000-0005-0000-0000-00006B000000}"/>
    <cellStyle name="Normal 100 2 2 3 2 3" xfId="11403" xr:uid="{00000000-0005-0000-0000-00006C000000}"/>
    <cellStyle name="Normal 100 2 2 3 3" xfId="6024" xr:uid="{00000000-0005-0000-0000-00006D000000}"/>
    <cellStyle name="Normal 100 2 2 3 3 2" xfId="15065" xr:uid="{00000000-0005-0000-0000-00006E000000}"/>
    <cellStyle name="Normal 100 2 2 3 4" xfId="10552" xr:uid="{00000000-0005-0000-0000-00006F000000}"/>
    <cellStyle name="Normal 100 2 2 4" xfId="2355" xr:uid="{00000000-0005-0000-0000-000070000000}"/>
    <cellStyle name="Normal 100 2 2 4 2" xfId="6872" xr:uid="{00000000-0005-0000-0000-000071000000}"/>
    <cellStyle name="Normal 100 2 2 4 2 2" xfId="15913" xr:uid="{00000000-0005-0000-0000-000072000000}"/>
    <cellStyle name="Normal 100 2 2 4 3" xfId="11400" xr:uid="{00000000-0005-0000-0000-000073000000}"/>
    <cellStyle name="Normal 100 2 2 5" xfId="4896" xr:uid="{00000000-0005-0000-0000-000074000000}"/>
    <cellStyle name="Normal 100 2 2 5 2" xfId="13937" xr:uid="{00000000-0005-0000-0000-000075000000}"/>
    <cellStyle name="Normal 100 2 2 6" xfId="9424" xr:uid="{00000000-0005-0000-0000-000076000000}"/>
    <cellStyle name="Normal 100 2 3" xfId="519" xr:uid="{00000000-0005-0000-0000-000077000000}"/>
    <cellStyle name="Normal 100 2 3 2" xfId="1083" xr:uid="{00000000-0005-0000-0000-000078000000}"/>
    <cellStyle name="Normal 100 2 3 2 2" xfId="2253" xr:uid="{00000000-0005-0000-0000-000079000000}"/>
    <cellStyle name="Normal 100 2 3 2 2 2" xfId="2361" xr:uid="{00000000-0005-0000-0000-00007A000000}"/>
    <cellStyle name="Normal 100 2 3 2 2 2 2" xfId="6878" xr:uid="{00000000-0005-0000-0000-00007B000000}"/>
    <cellStyle name="Normal 100 2 3 2 2 2 2 2" xfId="15919" xr:uid="{00000000-0005-0000-0000-00007C000000}"/>
    <cellStyle name="Normal 100 2 3 2 2 2 3" xfId="11406" xr:uid="{00000000-0005-0000-0000-00007D000000}"/>
    <cellStyle name="Normal 100 2 3 2 2 3" xfId="6776" xr:uid="{00000000-0005-0000-0000-00007E000000}"/>
    <cellStyle name="Normal 100 2 3 2 2 3 2" xfId="15817" xr:uid="{00000000-0005-0000-0000-00007F000000}"/>
    <cellStyle name="Normal 100 2 3 2 2 4" xfId="11304" xr:uid="{00000000-0005-0000-0000-000080000000}"/>
    <cellStyle name="Normal 100 2 3 2 3" xfId="2360" xr:uid="{00000000-0005-0000-0000-000081000000}"/>
    <cellStyle name="Normal 100 2 3 2 3 2" xfId="6877" xr:uid="{00000000-0005-0000-0000-000082000000}"/>
    <cellStyle name="Normal 100 2 3 2 3 2 2" xfId="15918" xr:uid="{00000000-0005-0000-0000-000083000000}"/>
    <cellStyle name="Normal 100 2 3 2 3 3" xfId="11405" xr:uid="{00000000-0005-0000-0000-000084000000}"/>
    <cellStyle name="Normal 100 2 3 2 4" xfId="5648" xr:uid="{00000000-0005-0000-0000-000085000000}"/>
    <cellStyle name="Normal 100 2 3 2 4 2" xfId="14689" xr:uid="{00000000-0005-0000-0000-000086000000}"/>
    <cellStyle name="Normal 100 2 3 2 5" xfId="10176" xr:uid="{00000000-0005-0000-0000-000087000000}"/>
    <cellStyle name="Normal 100 2 3 3" xfId="1689" xr:uid="{00000000-0005-0000-0000-000088000000}"/>
    <cellStyle name="Normal 100 2 3 3 2" xfId="2362" xr:uid="{00000000-0005-0000-0000-000089000000}"/>
    <cellStyle name="Normal 100 2 3 3 2 2" xfId="6879" xr:uid="{00000000-0005-0000-0000-00008A000000}"/>
    <cellStyle name="Normal 100 2 3 3 2 2 2" xfId="15920" xr:uid="{00000000-0005-0000-0000-00008B000000}"/>
    <cellStyle name="Normal 100 2 3 3 2 3" xfId="11407" xr:uid="{00000000-0005-0000-0000-00008C000000}"/>
    <cellStyle name="Normal 100 2 3 3 3" xfId="6212" xr:uid="{00000000-0005-0000-0000-00008D000000}"/>
    <cellStyle name="Normal 100 2 3 3 3 2" xfId="15253" xr:uid="{00000000-0005-0000-0000-00008E000000}"/>
    <cellStyle name="Normal 100 2 3 3 4" xfId="10740" xr:uid="{00000000-0005-0000-0000-00008F000000}"/>
    <cellStyle name="Normal 100 2 3 4" xfId="2359" xr:uid="{00000000-0005-0000-0000-000090000000}"/>
    <cellStyle name="Normal 100 2 3 4 2" xfId="6876" xr:uid="{00000000-0005-0000-0000-000091000000}"/>
    <cellStyle name="Normal 100 2 3 4 2 2" xfId="15917" xr:uid="{00000000-0005-0000-0000-000092000000}"/>
    <cellStyle name="Normal 100 2 3 4 3" xfId="11404" xr:uid="{00000000-0005-0000-0000-000093000000}"/>
    <cellStyle name="Normal 100 2 3 5" xfId="5084" xr:uid="{00000000-0005-0000-0000-000094000000}"/>
    <cellStyle name="Normal 100 2 3 5 2" xfId="14125" xr:uid="{00000000-0005-0000-0000-000095000000}"/>
    <cellStyle name="Normal 100 2 3 6" xfId="9612" xr:uid="{00000000-0005-0000-0000-000096000000}"/>
    <cellStyle name="Normal 100 2 4" xfId="707" xr:uid="{00000000-0005-0000-0000-000097000000}"/>
    <cellStyle name="Normal 100 2 4 2" xfId="1877" xr:uid="{00000000-0005-0000-0000-000098000000}"/>
    <cellStyle name="Normal 100 2 4 2 2" xfId="2364" xr:uid="{00000000-0005-0000-0000-000099000000}"/>
    <cellStyle name="Normal 100 2 4 2 2 2" xfId="6881" xr:uid="{00000000-0005-0000-0000-00009A000000}"/>
    <cellStyle name="Normal 100 2 4 2 2 2 2" xfId="15922" xr:uid="{00000000-0005-0000-0000-00009B000000}"/>
    <cellStyle name="Normal 100 2 4 2 2 3" xfId="11409" xr:uid="{00000000-0005-0000-0000-00009C000000}"/>
    <cellStyle name="Normal 100 2 4 2 3" xfId="6400" xr:uid="{00000000-0005-0000-0000-00009D000000}"/>
    <cellStyle name="Normal 100 2 4 2 3 2" xfId="15441" xr:uid="{00000000-0005-0000-0000-00009E000000}"/>
    <cellStyle name="Normal 100 2 4 2 4" xfId="10928" xr:uid="{00000000-0005-0000-0000-00009F000000}"/>
    <cellStyle name="Normal 100 2 4 3" xfId="2363" xr:uid="{00000000-0005-0000-0000-0000A0000000}"/>
    <cellStyle name="Normal 100 2 4 3 2" xfId="6880" xr:uid="{00000000-0005-0000-0000-0000A1000000}"/>
    <cellStyle name="Normal 100 2 4 3 2 2" xfId="15921" xr:uid="{00000000-0005-0000-0000-0000A2000000}"/>
    <cellStyle name="Normal 100 2 4 3 3" xfId="11408" xr:uid="{00000000-0005-0000-0000-0000A3000000}"/>
    <cellStyle name="Normal 100 2 4 4" xfId="5272" xr:uid="{00000000-0005-0000-0000-0000A4000000}"/>
    <cellStyle name="Normal 100 2 4 4 2" xfId="14313" xr:uid="{00000000-0005-0000-0000-0000A5000000}"/>
    <cellStyle name="Normal 100 2 4 5" xfId="9800" xr:uid="{00000000-0005-0000-0000-0000A6000000}"/>
    <cellStyle name="Normal 100 2 5" xfId="1313" xr:uid="{00000000-0005-0000-0000-0000A7000000}"/>
    <cellStyle name="Normal 100 2 5 2" xfId="2365" xr:uid="{00000000-0005-0000-0000-0000A8000000}"/>
    <cellStyle name="Normal 100 2 5 2 2" xfId="6882" xr:uid="{00000000-0005-0000-0000-0000A9000000}"/>
    <cellStyle name="Normal 100 2 5 2 2 2" xfId="15923" xr:uid="{00000000-0005-0000-0000-0000AA000000}"/>
    <cellStyle name="Normal 100 2 5 2 3" xfId="11410" xr:uid="{00000000-0005-0000-0000-0000AB000000}"/>
    <cellStyle name="Normal 100 2 5 3" xfId="5836" xr:uid="{00000000-0005-0000-0000-0000AC000000}"/>
    <cellStyle name="Normal 100 2 5 3 2" xfId="14877" xr:uid="{00000000-0005-0000-0000-0000AD000000}"/>
    <cellStyle name="Normal 100 2 5 4" xfId="10364" xr:uid="{00000000-0005-0000-0000-0000AE000000}"/>
    <cellStyle name="Normal 100 2 6" xfId="2354" xr:uid="{00000000-0005-0000-0000-0000AF000000}"/>
    <cellStyle name="Normal 100 2 6 2" xfId="6871" xr:uid="{00000000-0005-0000-0000-0000B0000000}"/>
    <cellStyle name="Normal 100 2 6 2 2" xfId="15912" xr:uid="{00000000-0005-0000-0000-0000B1000000}"/>
    <cellStyle name="Normal 100 2 6 3" xfId="11399" xr:uid="{00000000-0005-0000-0000-0000B2000000}"/>
    <cellStyle name="Normal 100 2 7" xfId="4708" xr:uid="{00000000-0005-0000-0000-0000B3000000}"/>
    <cellStyle name="Normal 100 2 7 2" xfId="13749" xr:uid="{00000000-0005-0000-0000-0000B4000000}"/>
    <cellStyle name="Normal 100 2 8" xfId="9236" xr:uid="{00000000-0005-0000-0000-0000B5000000}"/>
    <cellStyle name="Normal 100 3" xfId="237" xr:uid="{00000000-0005-0000-0000-0000B6000000}"/>
    <cellStyle name="Normal 100 3 2" xfId="801" xr:uid="{00000000-0005-0000-0000-0000B7000000}"/>
    <cellStyle name="Normal 100 3 2 2" xfId="1971" xr:uid="{00000000-0005-0000-0000-0000B8000000}"/>
    <cellStyle name="Normal 100 3 2 2 2" xfId="2368" xr:uid="{00000000-0005-0000-0000-0000B9000000}"/>
    <cellStyle name="Normal 100 3 2 2 2 2" xfId="6885" xr:uid="{00000000-0005-0000-0000-0000BA000000}"/>
    <cellStyle name="Normal 100 3 2 2 2 2 2" xfId="15926" xr:uid="{00000000-0005-0000-0000-0000BB000000}"/>
    <cellStyle name="Normal 100 3 2 2 2 3" xfId="11413" xr:uid="{00000000-0005-0000-0000-0000BC000000}"/>
    <cellStyle name="Normal 100 3 2 2 3" xfId="6494" xr:uid="{00000000-0005-0000-0000-0000BD000000}"/>
    <cellStyle name="Normal 100 3 2 2 3 2" xfId="15535" xr:uid="{00000000-0005-0000-0000-0000BE000000}"/>
    <cellStyle name="Normal 100 3 2 2 4" xfId="11022" xr:uid="{00000000-0005-0000-0000-0000BF000000}"/>
    <cellStyle name="Normal 100 3 2 3" xfId="2367" xr:uid="{00000000-0005-0000-0000-0000C0000000}"/>
    <cellStyle name="Normal 100 3 2 3 2" xfId="6884" xr:uid="{00000000-0005-0000-0000-0000C1000000}"/>
    <cellStyle name="Normal 100 3 2 3 2 2" xfId="15925" xr:uid="{00000000-0005-0000-0000-0000C2000000}"/>
    <cellStyle name="Normal 100 3 2 3 3" xfId="11412" xr:uid="{00000000-0005-0000-0000-0000C3000000}"/>
    <cellStyle name="Normal 100 3 2 4" xfId="5366" xr:uid="{00000000-0005-0000-0000-0000C4000000}"/>
    <cellStyle name="Normal 100 3 2 4 2" xfId="14407" xr:uid="{00000000-0005-0000-0000-0000C5000000}"/>
    <cellStyle name="Normal 100 3 2 5" xfId="9894" xr:uid="{00000000-0005-0000-0000-0000C6000000}"/>
    <cellStyle name="Normal 100 3 3" xfId="1407" xr:uid="{00000000-0005-0000-0000-0000C7000000}"/>
    <cellStyle name="Normal 100 3 3 2" xfId="2369" xr:uid="{00000000-0005-0000-0000-0000C8000000}"/>
    <cellStyle name="Normal 100 3 3 2 2" xfId="6886" xr:uid="{00000000-0005-0000-0000-0000C9000000}"/>
    <cellStyle name="Normal 100 3 3 2 2 2" xfId="15927" xr:uid="{00000000-0005-0000-0000-0000CA000000}"/>
    <cellStyle name="Normal 100 3 3 2 3" xfId="11414" xr:uid="{00000000-0005-0000-0000-0000CB000000}"/>
    <cellStyle name="Normal 100 3 3 3" xfId="5930" xr:uid="{00000000-0005-0000-0000-0000CC000000}"/>
    <cellStyle name="Normal 100 3 3 3 2" xfId="14971" xr:uid="{00000000-0005-0000-0000-0000CD000000}"/>
    <cellStyle name="Normal 100 3 3 4" xfId="10458" xr:uid="{00000000-0005-0000-0000-0000CE000000}"/>
    <cellStyle name="Normal 100 3 4" xfId="2366" xr:uid="{00000000-0005-0000-0000-0000CF000000}"/>
    <cellStyle name="Normal 100 3 4 2" xfId="6883" xr:uid="{00000000-0005-0000-0000-0000D0000000}"/>
    <cellStyle name="Normal 100 3 4 2 2" xfId="15924" xr:uid="{00000000-0005-0000-0000-0000D1000000}"/>
    <cellStyle name="Normal 100 3 4 3" xfId="11411" xr:uid="{00000000-0005-0000-0000-0000D2000000}"/>
    <cellStyle name="Normal 100 3 5" xfId="4802" xr:uid="{00000000-0005-0000-0000-0000D3000000}"/>
    <cellStyle name="Normal 100 3 5 2" xfId="13843" xr:uid="{00000000-0005-0000-0000-0000D4000000}"/>
    <cellStyle name="Normal 100 3 6" xfId="9330" xr:uid="{00000000-0005-0000-0000-0000D5000000}"/>
    <cellStyle name="Normal 100 4" xfId="425" xr:uid="{00000000-0005-0000-0000-0000D6000000}"/>
    <cellStyle name="Normal 100 4 2" xfId="989" xr:uid="{00000000-0005-0000-0000-0000D7000000}"/>
    <cellStyle name="Normal 100 4 2 2" xfId="2159" xr:uid="{00000000-0005-0000-0000-0000D8000000}"/>
    <cellStyle name="Normal 100 4 2 2 2" xfId="2372" xr:uid="{00000000-0005-0000-0000-0000D9000000}"/>
    <cellStyle name="Normal 100 4 2 2 2 2" xfId="6889" xr:uid="{00000000-0005-0000-0000-0000DA000000}"/>
    <cellStyle name="Normal 100 4 2 2 2 2 2" xfId="15930" xr:uid="{00000000-0005-0000-0000-0000DB000000}"/>
    <cellStyle name="Normal 100 4 2 2 2 3" xfId="11417" xr:uid="{00000000-0005-0000-0000-0000DC000000}"/>
    <cellStyle name="Normal 100 4 2 2 3" xfId="6682" xr:uid="{00000000-0005-0000-0000-0000DD000000}"/>
    <cellStyle name="Normal 100 4 2 2 3 2" xfId="15723" xr:uid="{00000000-0005-0000-0000-0000DE000000}"/>
    <cellStyle name="Normal 100 4 2 2 4" xfId="11210" xr:uid="{00000000-0005-0000-0000-0000DF000000}"/>
    <cellStyle name="Normal 100 4 2 3" xfId="2371" xr:uid="{00000000-0005-0000-0000-0000E0000000}"/>
    <cellStyle name="Normal 100 4 2 3 2" xfId="6888" xr:uid="{00000000-0005-0000-0000-0000E1000000}"/>
    <cellStyle name="Normal 100 4 2 3 2 2" xfId="15929" xr:uid="{00000000-0005-0000-0000-0000E2000000}"/>
    <cellStyle name="Normal 100 4 2 3 3" xfId="11416" xr:uid="{00000000-0005-0000-0000-0000E3000000}"/>
    <cellStyle name="Normal 100 4 2 4" xfId="5554" xr:uid="{00000000-0005-0000-0000-0000E4000000}"/>
    <cellStyle name="Normal 100 4 2 4 2" xfId="14595" xr:uid="{00000000-0005-0000-0000-0000E5000000}"/>
    <cellStyle name="Normal 100 4 2 5" xfId="10082" xr:uid="{00000000-0005-0000-0000-0000E6000000}"/>
    <cellStyle name="Normal 100 4 3" xfId="1595" xr:uid="{00000000-0005-0000-0000-0000E7000000}"/>
    <cellStyle name="Normal 100 4 3 2" xfId="2373" xr:uid="{00000000-0005-0000-0000-0000E8000000}"/>
    <cellStyle name="Normal 100 4 3 2 2" xfId="6890" xr:uid="{00000000-0005-0000-0000-0000E9000000}"/>
    <cellStyle name="Normal 100 4 3 2 2 2" xfId="15931" xr:uid="{00000000-0005-0000-0000-0000EA000000}"/>
    <cellStyle name="Normal 100 4 3 2 3" xfId="11418" xr:uid="{00000000-0005-0000-0000-0000EB000000}"/>
    <cellStyle name="Normal 100 4 3 3" xfId="6118" xr:uid="{00000000-0005-0000-0000-0000EC000000}"/>
    <cellStyle name="Normal 100 4 3 3 2" xfId="15159" xr:uid="{00000000-0005-0000-0000-0000ED000000}"/>
    <cellStyle name="Normal 100 4 3 4" xfId="10646" xr:uid="{00000000-0005-0000-0000-0000EE000000}"/>
    <cellStyle name="Normal 100 4 4" xfId="2370" xr:uid="{00000000-0005-0000-0000-0000EF000000}"/>
    <cellStyle name="Normal 100 4 4 2" xfId="6887" xr:uid="{00000000-0005-0000-0000-0000F0000000}"/>
    <cellStyle name="Normal 100 4 4 2 2" xfId="15928" xr:uid="{00000000-0005-0000-0000-0000F1000000}"/>
    <cellStyle name="Normal 100 4 4 3" xfId="11415" xr:uid="{00000000-0005-0000-0000-0000F2000000}"/>
    <cellStyle name="Normal 100 4 5" xfId="4990" xr:uid="{00000000-0005-0000-0000-0000F3000000}"/>
    <cellStyle name="Normal 100 4 5 2" xfId="14031" xr:uid="{00000000-0005-0000-0000-0000F4000000}"/>
    <cellStyle name="Normal 100 4 6" xfId="9518" xr:uid="{00000000-0005-0000-0000-0000F5000000}"/>
    <cellStyle name="Normal 100 5" xfId="613" xr:uid="{00000000-0005-0000-0000-0000F6000000}"/>
    <cellStyle name="Normal 100 5 2" xfId="1783" xr:uid="{00000000-0005-0000-0000-0000F7000000}"/>
    <cellStyle name="Normal 100 5 2 2" xfId="2375" xr:uid="{00000000-0005-0000-0000-0000F8000000}"/>
    <cellStyle name="Normal 100 5 2 2 2" xfId="6892" xr:uid="{00000000-0005-0000-0000-0000F9000000}"/>
    <cellStyle name="Normal 100 5 2 2 2 2" xfId="15933" xr:uid="{00000000-0005-0000-0000-0000FA000000}"/>
    <cellStyle name="Normal 100 5 2 2 3" xfId="11420" xr:uid="{00000000-0005-0000-0000-0000FB000000}"/>
    <cellStyle name="Normal 100 5 2 3" xfId="6306" xr:uid="{00000000-0005-0000-0000-0000FC000000}"/>
    <cellStyle name="Normal 100 5 2 3 2" xfId="15347" xr:uid="{00000000-0005-0000-0000-0000FD000000}"/>
    <cellStyle name="Normal 100 5 2 4" xfId="10834" xr:uid="{00000000-0005-0000-0000-0000FE000000}"/>
    <cellStyle name="Normal 100 5 3" xfId="2374" xr:uid="{00000000-0005-0000-0000-0000FF000000}"/>
    <cellStyle name="Normal 100 5 3 2" xfId="6891" xr:uid="{00000000-0005-0000-0000-000000010000}"/>
    <cellStyle name="Normal 100 5 3 2 2" xfId="15932" xr:uid="{00000000-0005-0000-0000-000001010000}"/>
    <cellStyle name="Normal 100 5 3 3" xfId="11419" xr:uid="{00000000-0005-0000-0000-000002010000}"/>
    <cellStyle name="Normal 100 5 4" xfId="5178" xr:uid="{00000000-0005-0000-0000-000003010000}"/>
    <cellStyle name="Normal 100 5 4 2" xfId="14219" xr:uid="{00000000-0005-0000-0000-000004010000}"/>
    <cellStyle name="Normal 100 5 5" xfId="9706" xr:uid="{00000000-0005-0000-0000-000005010000}"/>
    <cellStyle name="Normal 100 6" xfId="1219" xr:uid="{00000000-0005-0000-0000-000006010000}"/>
    <cellStyle name="Normal 100 6 2" xfId="2376" xr:uid="{00000000-0005-0000-0000-000007010000}"/>
    <cellStyle name="Normal 100 6 2 2" xfId="6893" xr:uid="{00000000-0005-0000-0000-000008010000}"/>
    <cellStyle name="Normal 100 6 2 2 2" xfId="15934" xr:uid="{00000000-0005-0000-0000-000009010000}"/>
    <cellStyle name="Normal 100 6 2 3" xfId="11421" xr:uid="{00000000-0005-0000-0000-00000A010000}"/>
    <cellStyle name="Normal 100 6 3" xfId="5742" xr:uid="{00000000-0005-0000-0000-00000B010000}"/>
    <cellStyle name="Normal 100 6 3 2" xfId="14783" xr:uid="{00000000-0005-0000-0000-00000C010000}"/>
    <cellStyle name="Normal 100 6 4" xfId="10270" xr:uid="{00000000-0005-0000-0000-00000D010000}"/>
    <cellStyle name="Normal 100 7" xfId="2353" xr:uid="{00000000-0005-0000-0000-00000E010000}"/>
    <cellStyle name="Normal 100 7 2" xfId="6870" xr:uid="{00000000-0005-0000-0000-00000F010000}"/>
    <cellStyle name="Normal 100 7 2 2" xfId="15911" xr:uid="{00000000-0005-0000-0000-000010010000}"/>
    <cellStyle name="Normal 100 7 3" xfId="11398" xr:uid="{00000000-0005-0000-0000-000011010000}"/>
    <cellStyle name="Normal 100 8" xfId="4614" xr:uid="{00000000-0005-0000-0000-000012010000}"/>
    <cellStyle name="Normal 100 8 2" xfId="13655" xr:uid="{00000000-0005-0000-0000-000013010000}"/>
    <cellStyle name="Normal 100 9" xfId="9142" xr:uid="{00000000-0005-0000-0000-000014010000}"/>
    <cellStyle name="Normal 101" xfId="7" xr:uid="{00000000-0005-0000-0000-000015010000}"/>
    <cellStyle name="Normal 101 2" xfId="103" xr:uid="{00000000-0005-0000-0000-000016010000}"/>
    <cellStyle name="Normal 101 2 2" xfId="332" xr:uid="{00000000-0005-0000-0000-000017010000}"/>
    <cellStyle name="Normal 101 2 2 2" xfId="896" xr:uid="{00000000-0005-0000-0000-000018010000}"/>
    <cellStyle name="Normal 101 2 2 2 2" xfId="2066" xr:uid="{00000000-0005-0000-0000-000019010000}"/>
    <cellStyle name="Normal 101 2 2 2 2 2" xfId="2381" xr:uid="{00000000-0005-0000-0000-00001A010000}"/>
    <cellStyle name="Normal 101 2 2 2 2 2 2" xfId="6898" xr:uid="{00000000-0005-0000-0000-00001B010000}"/>
    <cellStyle name="Normal 101 2 2 2 2 2 2 2" xfId="15939" xr:uid="{00000000-0005-0000-0000-00001C010000}"/>
    <cellStyle name="Normal 101 2 2 2 2 2 3" xfId="11426" xr:uid="{00000000-0005-0000-0000-00001D010000}"/>
    <cellStyle name="Normal 101 2 2 2 2 3" xfId="6589" xr:uid="{00000000-0005-0000-0000-00001E010000}"/>
    <cellStyle name="Normal 101 2 2 2 2 3 2" xfId="15630" xr:uid="{00000000-0005-0000-0000-00001F010000}"/>
    <cellStyle name="Normal 101 2 2 2 2 4" xfId="11117" xr:uid="{00000000-0005-0000-0000-000020010000}"/>
    <cellStyle name="Normal 101 2 2 2 3" xfId="2380" xr:uid="{00000000-0005-0000-0000-000021010000}"/>
    <cellStyle name="Normal 101 2 2 2 3 2" xfId="6897" xr:uid="{00000000-0005-0000-0000-000022010000}"/>
    <cellStyle name="Normal 101 2 2 2 3 2 2" xfId="15938" xr:uid="{00000000-0005-0000-0000-000023010000}"/>
    <cellStyle name="Normal 101 2 2 2 3 3" xfId="11425" xr:uid="{00000000-0005-0000-0000-000024010000}"/>
    <cellStyle name="Normal 101 2 2 2 4" xfId="5461" xr:uid="{00000000-0005-0000-0000-000025010000}"/>
    <cellStyle name="Normal 101 2 2 2 4 2" xfId="14502" xr:uid="{00000000-0005-0000-0000-000026010000}"/>
    <cellStyle name="Normal 101 2 2 2 5" xfId="9989" xr:uid="{00000000-0005-0000-0000-000027010000}"/>
    <cellStyle name="Normal 101 2 2 3" xfId="1502" xr:uid="{00000000-0005-0000-0000-000028010000}"/>
    <cellStyle name="Normal 101 2 2 3 2" xfId="2382" xr:uid="{00000000-0005-0000-0000-000029010000}"/>
    <cellStyle name="Normal 101 2 2 3 2 2" xfId="6899" xr:uid="{00000000-0005-0000-0000-00002A010000}"/>
    <cellStyle name="Normal 101 2 2 3 2 2 2" xfId="15940" xr:uid="{00000000-0005-0000-0000-00002B010000}"/>
    <cellStyle name="Normal 101 2 2 3 2 3" xfId="11427" xr:uid="{00000000-0005-0000-0000-00002C010000}"/>
    <cellStyle name="Normal 101 2 2 3 3" xfId="6025" xr:uid="{00000000-0005-0000-0000-00002D010000}"/>
    <cellStyle name="Normal 101 2 2 3 3 2" xfId="15066" xr:uid="{00000000-0005-0000-0000-00002E010000}"/>
    <cellStyle name="Normal 101 2 2 3 4" xfId="10553" xr:uid="{00000000-0005-0000-0000-00002F010000}"/>
    <cellStyle name="Normal 101 2 2 4" xfId="2379" xr:uid="{00000000-0005-0000-0000-000030010000}"/>
    <cellStyle name="Normal 101 2 2 4 2" xfId="6896" xr:uid="{00000000-0005-0000-0000-000031010000}"/>
    <cellStyle name="Normal 101 2 2 4 2 2" xfId="15937" xr:uid="{00000000-0005-0000-0000-000032010000}"/>
    <cellStyle name="Normal 101 2 2 4 3" xfId="11424" xr:uid="{00000000-0005-0000-0000-000033010000}"/>
    <cellStyle name="Normal 101 2 2 5" xfId="4897" xr:uid="{00000000-0005-0000-0000-000034010000}"/>
    <cellStyle name="Normal 101 2 2 5 2" xfId="13938" xr:uid="{00000000-0005-0000-0000-000035010000}"/>
    <cellStyle name="Normal 101 2 2 6" xfId="9425" xr:uid="{00000000-0005-0000-0000-000036010000}"/>
    <cellStyle name="Normal 101 2 3" xfId="520" xr:uid="{00000000-0005-0000-0000-000037010000}"/>
    <cellStyle name="Normal 101 2 3 2" xfId="1084" xr:uid="{00000000-0005-0000-0000-000038010000}"/>
    <cellStyle name="Normal 101 2 3 2 2" xfId="2254" xr:uid="{00000000-0005-0000-0000-000039010000}"/>
    <cellStyle name="Normal 101 2 3 2 2 2" xfId="2385" xr:uid="{00000000-0005-0000-0000-00003A010000}"/>
    <cellStyle name="Normal 101 2 3 2 2 2 2" xfId="6902" xr:uid="{00000000-0005-0000-0000-00003B010000}"/>
    <cellStyle name="Normal 101 2 3 2 2 2 2 2" xfId="15943" xr:uid="{00000000-0005-0000-0000-00003C010000}"/>
    <cellStyle name="Normal 101 2 3 2 2 2 3" xfId="11430" xr:uid="{00000000-0005-0000-0000-00003D010000}"/>
    <cellStyle name="Normal 101 2 3 2 2 3" xfId="6777" xr:uid="{00000000-0005-0000-0000-00003E010000}"/>
    <cellStyle name="Normal 101 2 3 2 2 3 2" xfId="15818" xr:uid="{00000000-0005-0000-0000-00003F010000}"/>
    <cellStyle name="Normal 101 2 3 2 2 4" xfId="11305" xr:uid="{00000000-0005-0000-0000-000040010000}"/>
    <cellStyle name="Normal 101 2 3 2 3" xfId="2384" xr:uid="{00000000-0005-0000-0000-000041010000}"/>
    <cellStyle name="Normal 101 2 3 2 3 2" xfId="6901" xr:uid="{00000000-0005-0000-0000-000042010000}"/>
    <cellStyle name="Normal 101 2 3 2 3 2 2" xfId="15942" xr:uid="{00000000-0005-0000-0000-000043010000}"/>
    <cellStyle name="Normal 101 2 3 2 3 3" xfId="11429" xr:uid="{00000000-0005-0000-0000-000044010000}"/>
    <cellStyle name="Normal 101 2 3 2 4" xfId="5649" xr:uid="{00000000-0005-0000-0000-000045010000}"/>
    <cellStyle name="Normal 101 2 3 2 4 2" xfId="14690" xr:uid="{00000000-0005-0000-0000-000046010000}"/>
    <cellStyle name="Normal 101 2 3 2 5" xfId="10177" xr:uid="{00000000-0005-0000-0000-000047010000}"/>
    <cellStyle name="Normal 101 2 3 3" xfId="1690" xr:uid="{00000000-0005-0000-0000-000048010000}"/>
    <cellStyle name="Normal 101 2 3 3 2" xfId="2386" xr:uid="{00000000-0005-0000-0000-000049010000}"/>
    <cellStyle name="Normal 101 2 3 3 2 2" xfId="6903" xr:uid="{00000000-0005-0000-0000-00004A010000}"/>
    <cellStyle name="Normal 101 2 3 3 2 2 2" xfId="15944" xr:uid="{00000000-0005-0000-0000-00004B010000}"/>
    <cellStyle name="Normal 101 2 3 3 2 3" xfId="11431" xr:uid="{00000000-0005-0000-0000-00004C010000}"/>
    <cellStyle name="Normal 101 2 3 3 3" xfId="6213" xr:uid="{00000000-0005-0000-0000-00004D010000}"/>
    <cellStyle name="Normal 101 2 3 3 3 2" xfId="15254" xr:uid="{00000000-0005-0000-0000-00004E010000}"/>
    <cellStyle name="Normal 101 2 3 3 4" xfId="10741" xr:uid="{00000000-0005-0000-0000-00004F010000}"/>
    <cellStyle name="Normal 101 2 3 4" xfId="2383" xr:uid="{00000000-0005-0000-0000-000050010000}"/>
    <cellStyle name="Normal 101 2 3 4 2" xfId="6900" xr:uid="{00000000-0005-0000-0000-000051010000}"/>
    <cellStyle name="Normal 101 2 3 4 2 2" xfId="15941" xr:uid="{00000000-0005-0000-0000-000052010000}"/>
    <cellStyle name="Normal 101 2 3 4 3" xfId="11428" xr:uid="{00000000-0005-0000-0000-000053010000}"/>
    <cellStyle name="Normal 101 2 3 5" xfId="5085" xr:uid="{00000000-0005-0000-0000-000054010000}"/>
    <cellStyle name="Normal 101 2 3 5 2" xfId="14126" xr:uid="{00000000-0005-0000-0000-000055010000}"/>
    <cellStyle name="Normal 101 2 3 6" xfId="9613" xr:uid="{00000000-0005-0000-0000-000056010000}"/>
    <cellStyle name="Normal 101 2 4" xfId="708" xr:uid="{00000000-0005-0000-0000-000057010000}"/>
    <cellStyle name="Normal 101 2 4 2" xfId="1878" xr:uid="{00000000-0005-0000-0000-000058010000}"/>
    <cellStyle name="Normal 101 2 4 2 2" xfId="2388" xr:uid="{00000000-0005-0000-0000-000059010000}"/>
    <cellStyle name="Normal 101 2 4 2 2 2" xfId="6905" xr:uid="{00000000-0005-0000-0000-00005A010000}"/>
    <cellStyle name="Normal 101 2 4 2 2 2 2" xfId="15946" xr:uid="{00000000-0005-0000-0000-00005B010000}"/>
    <cellStyle name="Normal 101 2 4 2 2 3" xfId="11433" xr:uid="{00000000-0005-0000-0000-00005C010000}"/>
    <cellStyle name="Normal 101 2 4 2 3" xfId="6401" xr:uid="{00000000-0005-0000-0000-00005D010000}"/>
    <cellStyle name="Normal 101 2 4 2 3 2" xfId="15442" xr:uid="{00000000-0005-0000-0000-00005E010000}"/>
    <cellStyle name="Normal 101 2 4 2 4" xfId="10929" xr:uid="{00000000-0005-0000-0000-00005F010000}"/>
    <cellStyle name="Normal 101 2 4 3" xfId="2387" xr:uid="{00000000-0005-0000-0000-000060010000}"/>
    <cellStyle name="Normal 101 2 4 3 2" xfId="6904" xr:uid="{00000000-0005-0000-0000-000061010000}"/>
    <cellStyle name="Normal 101 2 4 3 2 2" xfId="15945" xr:uid="{00000000-0005-0000-0000-000062010000}"/>
    <cellStyle name="Normal 101 2 4 3 3" xfId="11432" xr:uid="{00000000-0005-0000-0000-000063010000}"/>
    <cellStyle name="Normal 101 2 4 4" xfId="5273" xr:uid="{00000000-0005-0000-0000-000064010000}"/>
    <cellStyle name="Normal 101 2 4 4 2" xfId="14314" xr:uid="{00000000-0005-0000-0000-000065010000}"/>
    <cellStyle name="Normal 101 2 4 5" xfId="9801" xr:uid="{00000000-0005-0000-0000-000066010000}"/>
    <cellStyle name="Normal 101 2 5" xfId="1314" xr:uid="{00000000-0005-0000-0000-000067010000}"/>
    <cellStyle name="Normal 101 2 5 2" xfId="2389" xr:uid="{00000000-0005-0000-0000-000068010000}"/>
    <cellStyle name="Normal 101 2 5 2 2" xfId="6906" xr:uid="{00000000-0005-0000-0000-000069010000}"/>
    <cellStyle name="Normal 101 2 5 2 2 2" xfId="15947" xr:uid="{00000000-0005-0000-0000-00006A010000}"/>
    <cellStyle name="Normal 101 2 5 2 3" xfId="11434" xr:uid="{00000000-0005-0000-0000-00006B010000}"/>
    <cellStyle name="Normal 101 2 5 3" xfId="5837" xr:uid="{00000000-0005-0000-0000-00006C010000}"/>
    <cellStyle name="Normal 101 2 5 3 2" xfId="14878" xr:uid="{00000000-0005-0000-0000-00006D010000}"/>
    <cellStyle name="Normal 101 2 5 4" xfId="10365" xr:uid="{00000000-0005-0000-0000-00006E010000}"/>
    <cellStyle name="Normal 101 2 6" xfId="2378" xr:uid="{00000000-0005-0000-0000-00006F010000}"/>
    <cellStyle name="Normal 101 2 6 2" xfId="6895" xr:uid="{00000000-0005-0000-0000-000070010000}"/>
    <cellStyle name="Normal 101 2 6 2 2" xfId="15936" xr:uid="{00000000-0005-0000-0000-000071010000}"/>
    <cellStyle name="Normal 101 2 6 3" xfId="11423" xr:uid="{00000000-0005-0000-0000-000072010000}"/>
    <cellStyle name="Normal 101 2 7" xfId="4709" xr:uid="{00000000-0005-0000-0000-000073010000}"/>
    <cellStyle name="Normal 101 2 7 2" xfId="13750" xr:uid="{00000000-0005-0000-0000-000074010000}"/>
    <cellStyle name="Normal 101 2 8" xfId="9237" xr:uid="{00000000-0005-0000-0000-000075010000}"/>
    <cellStyle name="Normal 101 3" xfId="238" xr:uid="{00000000-0005-0000-0000-000076010000}"/>
    <cellStyle name="Normal 101 3 2" xfId="802" xr:uid="{00000000-0005-0000-0000-000077010000}"/>
    <cellStyle name="Normal 101 3 2 2" xfId="1972" xr:uid="{00000000-0005-0000-0000-000078010000}"/>
    <cellStyle name="Normal 101 3 2 2 2" xfId="2392" xr:uid="{00000000-0005-0000-0000-000079010000}"/>
    <cellStyle name="Normal 101 3 2 2 2 2" xfId="6909" xr:uid="{00000000-0005-0000-0000-00007A010000}"/>
    <cellStyle name="Normal 101 3 2 2 2 2 2" xfId="15950" xr:uid="{00000000-0005-0000-0000-00007B010000}"/>
    <cellStyle name="Normal 101 3 2 2 2 3" xfId="11437" xr:uid="{00000000-0005-0000-0000-00007C010000}"/>
    <cellStyle name="Normal 101 3 2 2 3" xfId="6495" xr:uid="{00000000-0005-0000-0000-00007D010000}"/>
    <cellStyle name="Normal 101 3 2 2 3 2" xfId="15536" xr:uid="{00000000-0005-0000-0000-00007E010000}"/>
    <cellStyle name="Normal 101 3 2 2 4" xfId="11023" xr:uid="{00000000-0005-0000-0000-00007F010000}"/>
    <cellStyle name="Normal 101 3 2 3" xfId="2391" xr:uid="{00000000-0005-0000-0000-000080010000}"/>
    <cellStyle name="Normal 101 3 2 3 2" xfId="6908" xr:uid="{00000000-0005-0000-0000-000081010000}"/>
    <cellStyle name="Normal 101 3 2 3 2 2" xfId="15949" xr:uid="{00000000-0005-0000-0000-000082010000}"/>
    <cellStyle name="Normal 101 3 2 3 3" xfId="11436" xr:uid="{00000000-0005-0000-0000-000083010000}"/>
    <cellStyle name="Normal 101 3 2 4" xfId="5367" xr:uid="{00000000-0005-0000-0000-000084010000}"/>
    <cellStyle name="Normal 101 3 2 4 2" xfId="14408" xr:uid="{00000000-0005-0000-0000-000085010000}"/>
    <cellStyle name="Normal 101 3 2 5" xfId="9895" xr:uid="{00000000-0005-0000-0000-000086010000}"/>
    <cellStyle name="Normal 101 3 3" xfId="1408" xr:uid="{00000000-0005-0000-0000-000087010000}"/>
    <cellStyle name="Normal 101 3 3 2" xfId="2393" xr:uid="{00000000-0005-0000-0000-000088010000}"/>
    <cellStyle name="Normal 101 3 3 2 2" xfId="6910" xr:uid="{00000000-0005-0000-0000-000089010000}"/>
    <cellStyle name="Normal 101 3 3 2 2 2" xfId="15951" xr:uid="{00000000-0005-0000-0000-00008A010000}"/>
    <cellStyle name="Normal 101 3 3 2 3" xfId="11438" xr:uid="{00000000-0005-0000-0000-00008B010000}"/>
    <cellStyle name="Normal 101 3 3 3" xfId="5931" xr:uid="{00000000-0005-0000-0000-00008C010000}"/>
    <cellStyle name="Normal 101 3 3 3 2" xfId="14972" xr:uid="{00000000-0005-0000-0000-00008D010000}"/>
    <cellStyle name="Normal 101 3 3 4" xfId="10459" xr:uid="{00000000-0005-0000-0000-00008E010000}"/>
    <cellStyle name="Normal 101 3 4" xfId="2390" xr:uid="{00000000-0005-0000-0000-00008F010000}"/>
    <cellStyle name="Normal 101 3 4 2" xfId="6907" xr:uid="{00000000-0005-0000-0000-000090010000}"/>
    <cellStyle name="Normal 101 3 4 2 2" xfId="15948" xr:uid="{00000000-0005-0000-0000-000091010000}"/>
    <cellStyle name="Normal 101 3 4 3" xfId="11435" xr:uid="{00000000-0005-0000-0000-000092010000}"/>
    <cellStyle name="Normal 101 3 5" xfId="4803" xr:uid="{00000000-0005-0000-0000-000093010000}"/>
    <cellStyle name="Normal 101 3 5 2" xfId="13844" xr:uid="{00000000-0005-0000-0000-000094010000}"/>
    <cellStyle name="Normal 101 3 6" xfId="9331" xr:uid="{00000000-0005-0000-0000-000095010000}"/>
    <cellStyle name="Normal 101 4" xfId="426" xr:uid="{00000000-0005-0000-0000-000096010000}"/>
    <cellStyle name="Normal 101 4 2" xfId="990" xr:uid="{00000000-0005-0000-0000-000097010000}"/>
    <cellStyle name="Normal 101 4 2 2" xfId="2160" xr:uid="{00000000-0005-0000-0000-000098010000}"/>
    <cellStyle name="Normal 101 4 2 2 2" xfId="2396" xr:uid="{00000000-0005-0000-0000-000099010000}"/>
    <cellStyle name="Normal 101 4 2 2 2 2" xfId="6913" xr:uid="{00000000-0005-0000-0000-00009A010000}"/>
    <cellStyle name="Normal 101 4 2 2 2 2 2" xfId="15954" xr:uid="{00000000-0005-0000-0000-00009B010000}"/>
    <cellStyle name="Normal 101 4 2 2 2 3" xfId="11441" xr:uid="{00000000-0005-0000-0000-00009C010000}"/>
    <cellStyle name="Normal 101 4 2 2 3" xfId="6683" xr:uid="{00000000-0005-0000-0000-00009D010000}"/>
    <cellStyle name="Normal 101 4 2 2 3 2" xfId="15724" xr:uid="{00000000-0005-0000-0000-00009E010000}"/>
    <cellStyle name="Normal 101 4 2 2 4" xfId="11211" xr:uid="{00000000-0005-0000-0000-00009F010000}"/>
    <cellStyle name="Normal 101 4 2 3" xfId="2395" xr:uid="{00000000-0005-0000-0000-0000A0010000}"/>
    <cellStyle name="Normal 101 4 2 3 2" xfId="6912" xr:uid="{00000000-0005-0000-0000-0000A1010000}"/>
    <cellStyle name="Normal 101 4 2 3 2 2" xfId="15953" xr:uid="{00000000-0005-0000-0000-0000A2010000}"/>
    <cellStyle name="Normal 101 4 2 3 3" xfId="11440" xr:uid="{00000000-0005-0000-0000-0000A3010000}"/>
    <cellStyle name="Normal 101 4 2 4" xfId="5555" xr:uid="{00000000-0005-0000-0000-0000A4010000}"/>
    <cellStyle name="Normal 101 4 2 4 2" xfId="14596" xr:uid="{00000000-0005-0000-0000-0000A5010000}"/>
    <cellStyle name="Normal 101 4 2 5" xfId="10083" xr:uid="{00000000-0005-0000-0000-0000A6010000}"/>
    <cellStyle name="Normal 101 4 3" xfId="1596" xr:uid="{00000000-0005-0000-0000-0000A7010000}"/>
    <cellStyle name="Normal 101 4 3 2" xfId="2397" xr:uid="{00000000-0005-0000-0000-0000A8010000}"/>
    <cellStyle name="Normal 101 4 3 2 2" xfId="6914" xr:uid="{00000000-0005-0000-0000-0000A9010000}"/>
    <cellStyle name="Normal 101 4 3 2 2 2" xfId="15955" xr:uid="{00000000-0005-0000-0000-0000AA010000}"/>
    <cellStyle name="Normal 101 4 3 2 3" xfId="11442" xr:uid="{00000000-0005-0000-0000-0000AB010000}"/>
    <cellStyle name="Normal 101 4 3 3" xfId="6119" xr:uid="{00000000-0005-0000-0000-0000AC010000}"/>
    <cellStyle name="Normal 101 4 3 3 2" xfId="15160" xr:uid="{00000000-0005-0000-0000-0000AD010000}"/>
    <cellStyle name="Normal 101 4 3 4" xfId="10647" xr:uid="{00000000-0005-0000-0000-0000AE010000}"/>
    <cellStyle name="Normal 101 4 4" xfId="2394" xr:uid="{00000000-0005-0000-0000-0000AF010000}"/>
    <cellStyle name="Normal 101 4 4 2" xfId="6911" xr:uid="{00000000-0005-0000-0000-0000B0010000}"/>
    <cellStyle name="Normal 101 4 4 2 2" xfId="15952" xr:uid="{00000000-0005-0000-0000-0000B1010000}"/>
    <cellStyle name="Normal 101 4 4 3" xfId="11439" xr:uid="{00000000-0005-0000-0000-0000B2010000}"/>
    <cellStyle name="Normal 101 4 5" xfId="4991" xr:uid="{00000000-0005-0000-0000-0000B3010000}"/>
    <cellStyle name="Normal 101 4 5 2" xfId="14032" xr:uid="{00000000-0005-0000-0000-0000B4010000}"/>
    <cellStyle name="Normal 101 4 6" xfId="9519" xr:uid="{00000000-0005-0000-0000-0000B5010000}"/>
    <cellStyle name="Normal 101 5" xfId="614" xr:uid="{00000000-0005-0000-0000-0000B6010000}"/>
    <cellStyle name="Normal 101 5 2" xfId="1784" xr:uid="{00000000-0005-0000-0000-0000B7010000}"/>
    <cellStyle name="Normal 101 5 2 2" xfId="2399" xr:uid="{00000000-0005-0000-0000-0000B8010000}"/>
    <cellStyle name="Normal 101 5 2 2 2" xfId="6916" xr:uid="{00000000-0005-0000-0000-0000B9010000}"/>
    <cellStyle name="Normal 101 5 2 2 2 2" xfId="15957" xr:uid="{00000000-0005-0000-0000-0000BA010000}"/>
    <cellStyle name="Normal 101 5 2 2 3" xfId="11444" xr:uid="{00000000-0005-0000-0000-0000BB010000}"/>
    <cellStyle name="Normal 101 5 2 3" xfId="6307" xr:uid="{00000000-0005-0000-0000-0000BC010000}"/>
    <cellStyle name="Normal 101 5 2 3 2" xfId="15348" xr:uid="{00000000-0005-0000-0000-0000BD010000}"/>
    <cellStyle name="Normal 101 5 2 4" xfId="10835" xr:uid="{00000000-0005-0000-0000-0000BE010000}"/>
    <cellStyle name="Normal 101 5 3" xfId="2398" xr:uid="{00000000-0005-0000-0000-0000BF010000}"/>
    <cellStyle name="Normal 101 5 3 2" xfId="6915" xr:uid="{00000000-0005-0000-0000-0000C0010000}"/>
    <cellStyle name="Normal 101 5 3 2 2" xfId="15956" xr:uid="{00000000-0005-0000-0000-0000C1010000}"/>
    <cellStyle name="Normal 101 5 3 3" xfId="11443" xr:uid="{00000000-0005-0000-0000-0000C2010000}"/>
    <cellStyle name="Normal 101 5 4" xfId="5179" xr:uid="{00000000-0005-0000-0000-0000C3010000}"/>
    <cellStyle name="Normal 101 5 4 2" xfId="14220" xr:uid="{00000000-0005-0000-0000-0000C4010000}"/>
    <cellStyle name="Normal 101 5 5" xfId="9707" xr:uid="{00000000-0005-0000-0000-0000C5010000}"/>
    <cellStyle name="Normal 101 6" xfId="1220" xr:uid="{00000000-0005-0000-0000-0000C6010000}"/>
    <cellStyle name="Normal 101 6 2" xfId="2400" xr:uid="{00000000-0005-0000-0000-0000C7010000}"/>
    <cellStyle name="Normal 101 6 2 2" xfId="6917" xr:uid="{00000000-0005-0000-0000-0000C8010000}"/>
    <cellStyle name="Normal 101 6 2 2 2" xfId="15958" xr:uid="{00000000-0005-0000-0000-0000C9010000}"/>
    <cellStyle name="Normal 101 6 2 3" xfId="11445" xr:uid="{00000000-0005-0000-0000-0000CA010000}"/>
    <cellStyle name="Normal 101 6 3" xfId="5743" xr:uid="{00000000-0005-0000-0000-0000CB010000}"/>
    <cellStyle name="Normal 101 6 3 2" xfId="14784" xr:uid="{00000000-0005-0000-0000-0000CC010000}"/>
    <cellStyle name="Normal 101 6 4" xfId="10271" xr:uid="{00000000-0005-0000-0000-0000CD010000}"/>
    <cellStyle name="Normal 101 7" xfId="2377" xr:uid="{00000000-0005-0000-0000-0000CE010000}"/>
    <cellStyle name="Normal 101 7 2" xfId="6894" xr:uid="{00000000-0005-0000-0000-0000CF010000}"/>
    <cellStyle name="Normal 101 7 2 2" xfId="15935" xr:uid="{00000000-0005-0000-0000-0000D0010000}"/>
    <cellStyle name="Normal 101 7 3" xfId="11422" xr:uid="{00000000-0005-0000-0000-0000D1010000}"/>
    <cellStyle name="Normal 101 8" xfId="4615" xr:uid="{00000000-0005-0000-0000-0000D2010000}"/>
    <cellStyle name="Normal 101 8 2" xfId="13656" xr:uid="{00000000-0005-0000-0000-0000D3010000}"/>
    <cellStyle name="Normal 101 9" xfId="9143" xr:uid="{00000000-0005-0000-0000-0000D4010000}"/>
    <cellStyle name="Normal 102" xfId="8" xr:uid="{00000000-0005-0000-0000-0000D5010000}"/>
    <cellStyle name="Normal 102 2" xfId="104" xr:uid="{00000000-0005-0000-0000-0000D6010000}"/>
    <cellStyle name="Normal 102 2 2" xfId="333" xr:uid="{00000000-0005-0000-0000-0000D7010000}"/>
    <cellStyle name="Normal 102 2 2 2" xfId="897" xr:uid="{00000000-0005-0000-0000-0000D8010000}"/>
    <cellStyle name="Normal 102 2 2 2 2" xfId="2067" xr:uid="{00000000-0005-0000-0000-0000D9010000}"/>
    <cellStyle name="Normal 102 2 2 2 2 2" xfId="2405" xr:uid="{00000000-0005-0000-0000-0000DA010000}"/>
    <cellStyle name="Normal 102 2 2 2 2 2 2" xfId="6922" xr:uid="{00000000-0005-0000-0000-0000DB010000}"/>
    <cellStyle name="Normal 102 2 2 2 2 2 2 2" xfId="15963" xr:uid="{00000000-0005-0000-0000-0000DC010000}"/>
    <cellStyle name="Normal 102 2 2 2 2 2 3" xfId="11450" xr:uid="{00000000-0005-0000-0000-0000DD010000}"/>
    <cellStyle name="Normal 102 2 2 2 2 3" xfId="6590" xr:uid="{00000000-0005-0000-0000-0000DE010000}"/>
    <cellStyle name="Normal 102 2 2 2 2 3 2" xfId="15631" xr:uid="{00000000-0005-0000-0000-0000DF010000}"/>
    <cellStyle name="Normal 102 2 2 2 2 4" xfId="11118" xr:uid="{00000000-0005-0000-0000-0000E0010000}"/>
    <cellStyle name="Normal 102 2 2 2 3" xfId="2404" xr:uid="{00000000-0005-0000-0000-0000E1010000}"/>
    <cellStyle name="Normal 102 2 2 2 3 2" xfId="6921" xr:uid="{00000000-0005-0000-0000-0000E2010000}"/>
    <cellStyle name="Normal 102 2 2 2 3 2 2" xfId="15962" xr:uid="{00000000-0005-0000-0000-0000E3010000}"/>
    <cellStyle name="Normal 102 2 2 2 3 3" xfId="11449" xr:uid="{00000000-0005-0000-0000-0000E4010000}"/>
    <cellStyle name="Normal 102 2 2 2 4" xfId="5462" xr:uid="{00000000-0005-0000-0000-0000E5010000}"/>
    <cellStyle name="Normal 102 2 2 2 4 2" xfId="14503" xr:uid="{00000000-0005-0000-0000-0000E6010000}"/>
    <cellStyle name="Normal 102 2 2 2 5" xfId="9990" xr:uid="{00000000-0005-0000-0000-0000E7010000}"/>
    <cellStyle name="Normal 102 2 2 3" xfId="1503" xr:uid="{00000000-0005-0000-0000-0000E8010000}"/>
    <cellStyle name="Normal 102 2 2 3 2" xfId="2406" xr:uid="{00000000-0005-0000-0000-0000E9010000}"/>
    <cellStyle name="Normal 102 2 2 3 2 2" xfId="6923" xr:uid="{00000000-0005-0000-0000-0000EA010000}"/>
    <cellStyle name="Normal 102 2 2 3 2 2 2" xfId="15964" xr:uid="{00000000-0005-0000-0000-0000EB010000}"/>
    <cellStyle name="Normal 102 2 2 3 2 3" xfId="11451" xr:uid="{00000000-0005-0000-0000-0000EC010000}"/>
    <cellStyle name="Normal 102 2 2 3 3" xfId="6026" xr:uid="{00000000-0005-0000-0000-0000ED010000}"/>
    <cellStyle name="Normal 102 2 2 3 3 2" xfId="15067" xr:uid="{00000000-0005-0000-0000-0000EE010000}"/>
    <cellStyle name="Normal 102 2 2 3 4" xfId="10554" xr:uid="{00000000-0005-0000-0000-0000EF010000}"/>
    <cellStyle name="Normal 102 2 2 4" xfId="2403" xr:uid="{00000000-0005-0000-0000-0000F0010000}"/>
    <cellStyle name="Normal 102 2 2 4 2" xfId="6920" xr:uid="{00000000-0005-0000-0000-0000F1010000}"/>
    <cellStyle name="Normal 102 2 2 4 2 2" xfId="15961" xr:uid="{00000000-0005-0000-0000-0000F2010000}"/>
    <cellStyle name="Normal 102 2 2 4 3" xfId="11448" xr:uid="{00000000-0005-0000-0000-0000F3010000}"/>
    <cellStyle name="Normal 102 2 2 5" xfId="4898" xr:uid="{00000000-0005-0000-0000-0000F4010000}"/>
    <cellStyle name="Normal 102 2 2 5 2" xfId="13939" xr:uid="{00000000-0005-0000-0000-0000F5010000}"/>
    <cellStyle name="Normal 102 2 2 6" xfId="9426" xr:uid="{00000000-0005-0000-0000-0000F6010000}"/>
    <cellStyle name="Normal 102 2 3" xfId="521" xr:uid="{00000000-0005-0000-0000-0000F7010000}"/>
    <cellStyle name="Normal 102 2 3 2" xfId="1085" xr:uid="{00000000-0005-0000-0000-0000F8010000}"/>
    <cellStyle name="Normal 102 2 3 2 2" xfId="2255" xr:uid="{00000000-0005-0000-0000-0000F9010000}"/>
    <cellStyle name="Normal 102 2 3 2 2 2" xfId="2409" xr:uid="{00000000-0005-0000-0000-0000FA010000}"/>
    <cellStyle name="Normal 102 2 3 2 2 2 2" xfId="6926" xr:uid="{00000000-0005-0000-0000-0000FB010000}"/>
    <cellStyle name="Normal 102 2 3 2 2 2 2 2" xfId="15967" xr:uid="{00000000-0005-0000-0000-0000FC010000}"/>
    <cellStyle name="Normal 102 2 3 2 2 2 3" xfId="11454" xr:uid="{00000000-0005-0000-0000-0000FD010000}"/>
    <cellStyle name="Normal 102 2 3 2 2 3" xfId="6778" xr:uid="{00000000-0005-0000-0000-0000FE010000}"/>
    <cellStyle name="Normal 102 2 3 2 2 3 2" xfId="15819" xr:uid="{00000000-0005-0000-0000-0000FF010000}"/>
    <cellStyle name="Normal 102 2 3 2 2 4" xfId="11306" xr:uid="{00000000-0005-0000-0000-000000020000}"/>
    <cellStyle name="Normal 102 2 3 2 3" xfId="2408" xr:uid="{00000000-0005-0000-0000-000001020000}"/>
    <cellStyle name="Normal 102 2 3 2 3 2" xfId="6925" xr:uid="{00000000-0005-0000-0000-000002020000}"/>
    <cellStyle name="Normal 102 2 3 2 3 2 2" xfId="15966" xr:uid="{00000000-0005-0000-0000-000003020000}"/>
    <cellStyle name="Normal 102 2 3 2 3 3" xfId="11453" xr:uid="{00000000-0005-0000-0000-000004020000}"/>
    <cellStyle name="Normal 102 2 3 2 4" xfId="5650" xr:uid="{00000000-0005-0000-0000-000005020000}"/>
    <cellStyle name="Normal 102 2 3 2 4 2" xfId="14691" xr:uid="{00000000-0005-0000-0000-000006020000}"/>
    <cellStyle name="Normal 102 2 3 2 5" xfId="10178" xr:uid="{00000000-0005-0000-0000-000007020000}"/>
    <cellStyle name="Normal 102 2 3 3" xfId="1691" xr:uid="{00000000-0005-0000-0000-000008020000}"/>
    <cellStyle name="Normal 102 2 3 3 2" xfId="2410" xr:uid="{00000000-0005-0000-0000-000009020000}"/>
    <cellStyle name="Normal 102 2 3 3 2 2" xfId="6927" xr:uid="{00000000-0005-0000-0000-00000A020000}"/>
    <cellStyle name="Normal 102 2 3 3 2 2 2" xfId="15968" xr:uid="{00000000-0005-0000-0000-00000B020000}"/>
    <cellStyle name="Normal 102 2 3 3 2 3" xfId="11455" xr:uid="{00000000-0005-0000-0000-00000C020000}"/>
    <cellStyle name="Normal 102 2 3 3 3" xfId="6214" xr:uid="{00000000-0005-0000-0000-00000D020000}"/>
    <cellStyle name="Normal 102 2 3 3 3 2" xfId="15255" xr:uid="{00000000-0005-0000-0000-00000E020000}"/>
    <cellStyle name="Normal 102 2 3 3 4" xfId="10742" xr:uid="{00000000-0005-0000-0000-00000F020000}"/>
    <cellStyle name="Normal 102 2 3 4" xfId="2407" xr:uid="{00000000-0005-0000-0000-000010020000}"/>
    <cellStyle name="Normal 102 2 3 4 2" xfId="6924" xr:uid="{00000000-0005-0000-0000-000011020000}"/>
    <cellStyle name="Normal 102 2 3 4 2 2" xfId="15965" xr:uid="{00000000-0005-0000-0000-000012020000}"/>
    <cellStyle name="Normal 102 2 3 4 3" xfId="11452" xr:uid="{00000000-0005-0000-0000-000013020000}"/>
    <cellStyle name="Normal 102 2 3 5" xfId="5086" xr:uid="{00000000-0005-0000-0000-000014020000}"/>
    <cellStyle name="Normal 102 2 3 5 2" xfId="14127" xr:uid="{00000000-0005-0000-0000-000015020000}"/>
    <cellStyle name="Normal 102 2 3 6" xfId="9614" xr:uid="{00000000-0005-0000-0000-000016020000}"/>
    <cellStyle name="Normal 102 2 4" xfId="709" xr:uid="{00000000-0005-0000-0000-000017020000}"/>
    <cellStyle name="Normal 102 2 4 2" xfId="1879" xr:uid="{00000000-0005-0000-0000-000018020000}"/>
    <cellStyle name="Normal 102 2 4 2 2" xfId="2412" xr:uid="{00000000-0005-0000-0000-000019020000}"/>
    <cellStyle name="Normal 102 2 4 2 2 2" xfId="6929" xr:uid="{00000000-0005-0000-0000-00001A020000}"/>
    <cellStyle name="Normal 102 2 4 2 2 2 2" xfId="15970" xr:uid="{00000000-0005-0000-0000-00001B020000}"/>
    <cellStyle name="Normal 102 2 4 2 2 3" xfId="11457" xr:uid="{00000000-0005-0000-0000-00001C020000}"/>
    <cellStyle name="Normal 102 2 4 2 3" xfId="6402" xr:uid="{00000000-0005-0000-0000-00001D020000}"/>
    <cellStyle name="Normal 102 2 4 2 3 2" xfId="15443" xr:uid="{00000000-0005-0000-0000-00001E020000}"/>
    <cellStyle name="Normal 102 2 4 2 4" xfId="10930" xr:uid="{00000000-0005-0000-0000-00001F020000}"/>
    <cellStyle name="Normal 102 2 4 3" xfId="2411" xr:uid="{00000000-0005-0000-0000-000020020000}"/>
    <cellStyle name="Normal 102 2 4 3 2" xfId="6928" xr:uid="{00000000-0005-0000-0000-000021020000}"/>
    <cellStyle name="Normal 102 2 4 3 2 2" xfId="15969" xr:uid="{00000000-0005-0000-0000-000022020000}"/>
    <cellStyle name="Normal 102 2 4 3 3" xfId="11456" xr:uid="{00000000-0005-0000-0000-000023020000}"/>
    <cellStyle name="Normal 102 2 4 4" xfId="5274" xr:uid="{00000000-0005-0000-0000-000024020000}"/>
    <cellStyle name="Normal 102 2 4 4 2" xfId="14315" xr:uid="{00000000-0005-0000-0000-000025020000}"/>
    <cellStyle name="Normal 102 2 4 5" xfId="9802" xr:uid="{00000000-0005-0000-0000-000026020000}"/>
    <cellStyle name="Normal 102 2 5" xfId="1315" xr:uid="{00000000-0005-0000-0000-000027020000}"/>
    <cellStyle name="Normal 102 2 5 2" xfId="2413" xr:uid="{00000000-0005-0000-0000-000028020000}"/>
    <cellStyle name="Normal 102 2 5 2 2" xfId="6930" xr:uid="{00000000-0005-0000-0000-000029020000}"/>
    <cellStyle name="Normal 102 2 5 2 2 2" xfId="15971" xr:uid="{00000000-0005-0000-0000-00002A020000}"/>
    <cellStyle name="Normal 102 2 5 2 3" xfId="11458" xr:uid="{00000000-0005-0000-0000-00002B020000}"/>
    <cellStyle name="Normal 102 2 5 3" xfId="5838" xr:uid="{00000000-0005-0000-0000-00002C020000}"/>
    <cellStyle name="Normal 102 2 5 3 2" xfId="14879" xr:uid="{00000000-0005-0000-0000-00002D020000}"/>
    <cellStyle name="Normal 102 2 5 4" xfId="10366" xr:uid="{00000000-0005-0000-0000-00002E020000}"/>
    <cellStyle name="Normal 102 2 6" xfId="2402" xr:uid="{00000000-0005-0000-0000-00002F020000}"/>
    <cellStyle name="Normal 102 2 6 2" xfId="6919" xr:uid="{00000000-0005-0000-0000-000030020000}"/>
    <cellStyle name="Normal 102 2 6 2 2" xfId="15960" xr:uid="{00000000-0005-0000-0000-000031020000}"/>
    <cellStyle name="Normal 102 2 6 3" xfId="11447" xr:uid="{00000000-0005-0000-0000-000032020000}"/>
    <cellStyle name="Normal 102 2 7" xfId="4710" xr:uid="{00000000-0005-0000-0000-000033020000}"/>
    <cellStyle name="Normal 102 2 7 2" xfId="13751" xr:uid="{00000000-0005-0000-0000-000034020000}"/>
    <cellStyle name="Normal 102 2 8" xfId="9238" xr:uid="{00000000-0005-0000-0000-000035020000}"/>
    <cellStyle name="Normal 102 3" xfId="239" xr:uid="{00000000-0005-0000-0000-000036020000}"/>
    <cellStyle name="Normal 102 3 2" xfId="803" xr:uid="{00000000-0005-0000-0000-000037020000}"/>
    <cellStyle name="Normal 102 3 2 2" xfId="1973" xr:uid="{00000000-0005-0000-0000-000038020000}"/>
    <cellStyle name="Normal 102 3 2 2 2" xfId="2416" xr:uid="{00000000-0005-0000-0000-000039020000}"/>
    <cellStyle name="Normal 102 3 2 2 2 2" xfId="6933" xr:uid="{00000000-0005-0000-0000-00003A020000}"/>
    <cellStyle name="Normal 102 3 2 2 2 2 2" xfId="15974" xr:uid="{00000000-0005-0000-0000-00003B020000}"/>
    <cellStyle name="Normal 102 3 2 2 2 3" xfId="11461" xr:uid="{00000000-0005-0000-0000-00003C020000}"/>
    <cellStyle name="Normal 102 3 2 2 3" xfId="6496" xr:uid="{00000000-0005-0000-0000-00003D020000}"/>
    <cellStyle name="Normal 102 3 2 2 3 2" xfId="15537" xr:uid="{00000000-0005-0000-0000-00003E020000}"/>
    <cellStyle name="Normal 102 3 2 2 4" xfId="11024" xr:uid="{00000000-0005-0000-0000-00003F020000}"/>
    <cellStyle name="Normal 102 3 2 3" xfId="2415" xr:uid="{00000000-0005-0000-0000-000040020000}"/>
    <cellStyle name="Normal 102 3 2 3 2" xfId="6932" xr:uid="{00000000-0005-0000-0000-000041020000}"/>
    <cellStyle name="Normal 102 3 2 3 2 2" xfId="15973" xr:uid="{00000000-0005-0000-0000-000042020000}"/>
    <cellStyle name="Normal 102 3 2 3 3" xfId="11460" xr:uid="{00000000-0005-0000-0000-000043020000}"/>
    <cellStyle name="Normal 102 3 2 4" xfId="5368" xr:uid="{00000000-0005-0000-0000-000044020000}"/>
    <cellStyle name="Normal 102 3 2 4 2" xfId="14409" xr:uid="{00000000-0005-0000-0000-000045020000}"/>
    <cellStyle name="Normal 102 3 2 5" xfId="9896" xr:uid="{00000000-0005-0000-0000-000046020000}"/>
    <cellStyle name="Normal 102 3 3" xfId="1409" xr:uid="{00000000-0005-0000-0000-000047020000}"/>
    <cellStyle name="Normal 102 3 3 2" xfId="2417" xr:uid="{00000000-0005-0000-0000-000048020000}"/>
    <cellStyle name="Normal 102 3 3 2 2" xfId="6934" xr:uid="{00000000-0005-0000-0000-000049020000}"/>
    <cellStyle name="Normal 102 3 3 2 2 2" xfId="15975" xr:uid="{00000000-0005-0000-0000-00004A020000}"/>
    <cellStyle name="Normal 102 3 3 2 3" xfId="11462" xr:uid="{00000000-0005-0000-0000-00004B020000}"/>
    <cellStyle name="Normal 102 3 3 3" xfId="5932" xr:uid="{00000000-0005-0000-0000-00004C020000}"/>
    <cellStyle name="Normal 102 3 3 3 2" xfId="14973" xr:uid="{00000000-0005-0000-0000-00004D020000}"/>
    <cellStyle name="Normal 102 3 3 4" xfId="10460" xr:uid="{00000000-0005-0000-0000-00004E020000}"/>
    <cellStyle name="Normal 102 3 4" xfId="2414" xr:uid="{00000000-0005-0000-0000-00004F020000}"/>
    <cellStyle name="Normal 102 3 4 2" xfId="6931" xr:uid="{00000000-0005-0000-0000-000050020000}"/>
    <cellStyle name="Normal 102 3 4 2 2" xfId="15972" xr:uid="{00000000-0005-0000-0000-000051020000}"/>
    <cellStyle name="Normal 102 3 4 3" xfId="11459" xr:uid="{00000000-0005-0000-0000-000052020000}"/>
    <cellStyle name="Normal 102 3 5" xfId="4804" xr:uid="{00000000-0005-0000-0000-000053020000}"/>
    <cellStyle name="Normal 102 3 5 2" xfId="13845" xr:uid="{00000000-0005-0000-0000-000054020000}"/>
    <cellStyle name="Normal 102 3 6" xfId="9332" xr:uid="{00000000-0005-0000-0000-000055020000}"/>
    <cellStyle name="Normal 102 4" xfId="427" xr:uid="{00000000-0005-0000-0000-000056020000}"/>
    <cellStyle name="Normal 102 4 2" xfId="991" xr:uid="{00000000-0005-0000-0000-000057020000}"/>
    <cellStyle name="Normal 102 4 2 2" xfId="2161" xr:uid="{00000000-0005-0000-0000-000058020000}"/>
    <cellStyle name="Normal 102 4 2 2 2" xfId="2420" xr:uid="{00000000-0005-0000-0000-000059020000}"/>
    <cellStyle name="Normal 102 4 2 2 2 2" xfId="6937" xr:uid="{00000000-0005-0000-0000-00005A020000}"/>
    <cellStyle name="Normal 102 4 2 2 2 2 2" xfId="15978" xr:uid="{00000000-0005-0000-0000-00005B020000}"/>
    <cellStyle name="Normal 102 4 2 2 2 3" xfId="11465" xr:uid="{00000000-0005-0000-0000-00005C020000}"/>
    <cellStyle name="Normal 102 4 2 2 3" xfId="6684" xr:uid="{00000000-0005-0000-0000-00005D020000}"/>
    <cellStyle name="Normal 102 4 2 2 3 2" xfId="15725" xr:uid="{00000000-0005-0000-0000-00005E020000}"/>
    <cellStyle name="Normal 102 4 2 2 4" xfId="11212" xr:uid="{00000000-0005-0000-0000-00005F020000}"/>
    <cellStyle name="Normal 102 4 2 3" xfId="2419" xr:uid="{00000000-0005-0000-0000-000060020000}"/>
    <cellStyle name="Normal 102 4 2 3 2" xfId="6936" xr:uid="{00000000-0005-0000-0000-000061020000}"/>
    <cellStyle name="Normal 102 4 2 3 2 2" xfId="15977" xr:uid="{00000000-0005-0000-0000-000062020000}"/>
    <cellStyle name="Normal 102 4 2 3 3" xfId="11464" xr:uid="{00000000-0005-0000-0000-000063020000}"/>
    <cellStyle name="Normal 102 4 2 4" xfId="5556" xr:uid="{00000000-0005-0000-0000-000064020000}"/>
    <cellStyle name="Normal 102 4 2 4 2" xfId="14597" xr:uid="{00000000-0005-0000-0000-000065020000}"/>
    <cellStyle name="Normal 102 4 2 5" xfId="10084" xr:uid="{00000000-0005-0000-0000-000066020000}"/>
    <cellStyle name="Normal 102 4 3" xfId="1597" xr:uid="{00000000-0005-0000-0000-000067020000}"/>
    <cellStyle name="Normal 102 4 3 2" xfId="2421" xr:uid="{00000000-0005-0000-0000-000068020000}"/>
    <cellStyle name="Normal 102 4 3 2 2" xfId="6938" xr:uid="{00000000-0005-0000-0000-000069020000}"/>
    <cellStyle name="Normal 102 4 3 2 2 2" xfId="15979" xr:uid="{00000000-0005-0000-0000-00006A020000}"/>
    <cellStyle name="Normal 102 4 3 2 3" xfId="11466" xr:uid="{00000000-0005-0000-0000-00006B020000}"/>
    <cellStyle name="Normal 102 4 3 3" xfId="6120" xr:uid="{00000000-0005-0000-0000-00006C020000}"/>
    <cellStyle name="Normal 102 4 3 3 2" xfId="15161" xr:uid="{00000000-0005-0000-0000-00006D020000}"/>
    <cellStyle name="Normal 102 4 3 4" xfId="10648" xr:uid="{00000000-0005-0000-0000-00006E020000}"/>
    <cellStyle name="Normal 102 4 4" xfId="2418" xr:uid="{00000000-0005-0000-0000-00006F020000}"/>
    <cellStyle name="Normal 102 4 4 2" xfId="6935" xr:uid="{00000000-0005-0000-0000-000070020000}"/>
    <cellStyle name="Normal 102 4 4 2 2" xfId="15976" xr:uid="{00000000-0005-0000-0000-000071020000}"/>
    <cellStyle name="Normal 102 4 4 3" xfId="11463" xr:uid="{00000000-0005-0000-0000-000072020000}"/>
    <cellStyle name="Normal 102 4 5" xfId="4992" xr:uid="{00000000-0005-0000-0000-000073020000}"/>
    <cellStyle name="Normal 102 4 5 2" xfId="14033" xr:uid="{00000000-0005-0000-0000-000074020000}"/>
    <cellStyle name="Normal 102 4 6" xfId="9520" xr:uid="{00000000-0005-0000-0000-000075020000}"/>
    <cellStyle name="Normal 102 5" xfId="615" xr:uid="{00000000-0005-0000-0000-000076020000}"/>
    <cellStyle name="Normal 102 5 2" xfId="1785" xr:uid="{00000000-0005-0000-0000-000077020000}"/>
    <cellStyle name="Normal 102 5 2 2" xfId="2423" xr:uid="{00000000-0005-0000-0000-000078020000}"/>
    <cellStyle name="Normal 102 5 2 2 2" xfId="6940" xr:uid="{00000000-0005-0000-0000-000079020000}"/>
    <cellStyle name="Normal 102 5 2 2 2 2" xfId="15981" xr:uid="{00000000-0005-0000-0000-00007A020000}"/>
    <cellStyle name="Normal 102 5 2 2 3" xfId="11468" xr:uid="{00000000-0005-0000-0000-00007B020000}"/>
    <cellStyle name="Normal 102 5 2 3" xfId="6308" xr:uid="{00000000-0005-0000-0000-00007C020000}"/>
    <cellStyle name="Normal 102 5 2 3 2" xfId="15349" xr:uid="{00000000-0005-0000-0000-00007D020000}"/>
    <cellStyle name="Normal 102 5 2 4" xfId="10836" xr:uid="{00000000-0005-0000-0000-00007E020000}"/>
    <cellStyle name="Normal 102 5 3" xfId="2422" xr:uid="{00000000-0005-0000-0000-00007F020000}"/>
    <cellStyle name="Normal 102 5 3 2" xfId="6939" xr:uid="{00000000-0005-0000-0000-000080020000}"/>
    <cellStyle name="Normal 102 5 3 2 2" xfId="15980" xr:uid="{00000000-0005-0000-0000-000081020000}"/>
    <cellStyle name="Normal 102 5 3 3" xfId="11467" xr:uid="{00000000-0005-0000-0000-000082020000}"/>
    <cellStyle name="Normal 102 5 4" xfId="5180" xr:uid="{00000000-0005-0000-0000-000083020000}"/>
    <cellStyle name="Normal 102 5 4 2" xfId="14221" xr:uid="{00000000-0005-0000-0000-000084020000}"/>
    <cellStyle name="Normal 102 5 5" xfId="9708" xr:uid="{00000000-0005-0000-0000-000085020000}"/>
    <cellStyle name="Normal 102 6" xfId="1221" xr:uid="{00000000-0005-0000-0000-000086020000}"/>
    <cellStyle name="Normal 102 6 2" xfId="2424" xr:uid="{00000000-0005-0000-0000-000087020000}"/>
    <cellStyle name="Normal 102 6 2 2" xfId="6941" xr:uid="{00000000-0005-0000-0000-000088020000}"/>
    <cellStyle name="Normal 102 6 2 2 2" xfId="15982" xr:uid="{00000000-0005-0000-0000-000089020000}"/>
    <cellStyle name="Normal 102 6 2 3" xfId="11469" xr:uid="{00000000-0005-0000-0000-00008A020000}"/>
    <cellStyle name="Normal 102 6 3" xfId="5744" xr:uid="{00000000-0005-0000-0000-00008B020000}"/>
    <cellStyle name="Normal 102 6 3 2" xfId="14785" xr:uid="{00000000-0005-0000-0000-00008C020000}"/>
    <cellStyle name="Normal 102 6 4" xfId="10272" xr:uid="{00000000-0005-0000-0000-00008D020000}"/>
    <cellStyle name="Normal 102 7" xfId="2401" xr:uid="{00000000-0005-0000-0000-00008E020000}"/>
    <cellStyle name="Normal 102 7 2" xfId="6918" xr:uid="{00000000-0005-0000-0000-00008F020000}"/>
    <cellStyle name="Normal 102 7 2 2" xfId="15959" xr:uid="{00000000-0005-0000-0000-000090020000}"/>
    <cellStyle name="Normal 102 7 3" xfId="11446" xr:uid="{00000000-0005-0000-0000-000091020000}"/>
    <cellStyle name="Normal 102 8" xfId="4616" xr:uid="{00000000-0005-0000-0000-000092020000}"/>
    <cellStyle name="Normal 102 8 2" xfId="13657" xr:uid="{00000000-0005-0000-0000-000093020000}"/>
    <cellStyle name="Normal 102 9" xfId="9144" xr:uid="{00000000-0005-0000-0000-000094020000}"/>
    <cellStyle name="Normal 103" xfId="9" xr:uid="{00000000-0005-0000-0000-000095020000}"/>
    <cellStyle name="Normal 103 2" xfId="105" xr:uid="{00000000-0005-0000-0000-000096020000}"/>
    <cellStyle name="Normal 103 2 2" xfId="334" xr:uid="{00000000-0005-0000-0000-000097020000}"/>
    <cellStyle name="Normal 103 2 2 2" xfId="898" xr:uid="{00000000-0005-0000-0000-000098020000}"/>
    <cellStyle name="Normal 103 2 2 2 2" xfId="2068" xr:uid="{00000000-0005-0000-0000-000099020000}"/>
    <cellStyle name="Normal 103 2 2 2 2 2" xfId="2429" xr:uid="{00000000-0005-0000-0000-00009A020000}"/>
    <cellStyle name="Normal 103 2 2 2 2 2 2" xfId="6946" xr:uid="{00000000-0005-0000-0000-00009B020000}"/>
    <cellStyle name="Normal 103 2 2 2 2 2 2 2" xfId="15987" xr:uid="{00000000-0005-0000-0000-00009C020000}"/>
    <cellStyle name="Normal 103 2 2 2 2 2 3" xfId="11474" xr:uid="{00000000-0005-0000-0000-00009D020000}"/>
    <cellStyle name="Normal 103 2 2 2 2 3" xfId="6591" xr:uid="{00000000-0005-0000-0000-00009E020000}"/>
    <cellStyle name="Normal 103 2 2 2 2 3 2" xfId="15632" xr:uid="{00000000-0005-0000-0000-00009F020000}"/>
    <cellStyle name="Normal 103 2 2 2 2 4" xfId="11119" xr:uid="{00000000-0005-0000-0000-0000A0020000}"/>
    <cellStyle name="Normal 103 2 2 2 3" xfId="2428" xr:uid="{00000000-0005-0000-0000-0000A1020000}"/>
    <cellStyle name="Normal 103 2 2 2 3 2" xfId="6945" xr:uid="{00000000-0005-0000-0000-0000A2020000}"/>
    <cellStyle name="Normal 103 2 2 2 3 2 2" xfId="15986" xr:uid="{00000000-0005-0000-0000-0000A3020000}"/>
    <cellStyle name="Normal 103 2 2 2 3 3" xfId="11473" xr:uid="{00000000-0005-0000-0000-0000A4020000}"/>
    <cellStyle name="Normal 103 2 2 2 4" xfId="5463" xr:uid="{00000000-0005-0000-0000-0000A5020000}"/>
    <cellStyle name="Normal 103 2 2 2 4 2" xfId="14504" xr:uid="{00000000-0005-0000-0000-0000A6020000}"/>
    <cellStyle name="Normal 103 2 2 2 5" xfId="9991" xr:uid="{00000000-0005-0000-0000-0000A7020000}"/>
    <cellStyle name="Normal 103 2 2 3" xfId="1504" xr:uid="{00000000-0005-0000-0000-0000A8020000}"/>
    <cellStyle name="Normal 103 2 2 3 2" xfId="2430" xr:uid="{00000000-0005-0000-0000-0000A9020000}"/>
    <cellStyle name="Normal 103 2 2 3 2 2" xfId="6947" xr:uid="{00000000-0005-0000-0000-0000AA020000}"/>
    <cellStyle name="Normal 103 2 2 3 2 2 2" xfId="15988" xr:uid="{00000000-0005-0000-0000-0000AB020000}"/>
    <cellStyle name="Normal 103 2 2 3 2 3" xfId="11475" xr:uid="{00000000-0005-0000-0000-0000AC020000}"/>
    <cellStyle name="Normal 103 2 2 3 3" xfId="6027" xr:uid="{00000000-0005-0000-0000-0000AD020000}"/>
    <cellStyle name="Normal 103 2 2 3 3 2" xfId="15068" xr:uid="{00000000-0005-0000-0000-0000AE020000}"/>
    <cellStyle name="Normal 103 2 2 3 4" xfId="10555" xr:uid="{00000000-0005-0000-0000-0000AF020000}"/>
    <cellStyle name="Normal 103 2 2 4" xfId="2427" xr:uid="{00000000-0005-0000-0000-0000B0020000}"/>
    <cellStyle name="Normal 103 2 2 4 2" xfId="6944" xr:uid="{00000000-0005-0000-0000-0000B1020000}"/>
    <cellStyle name="Normal 103 2 2 4 2 2" xfId="15985" xr:uid="{00000000-0005-0000-0000-0000B2020000}"/>
    <cellStyle name="Normal 103 2 2 4 3" xfId="11472" xr:uid="{00000000-0005-0000-0000-0000B3020000}"/>
    <cellStyle name="Normal 103 2 2 5" xfId="4899" xr:uid="{00000000-0005-0000-0000-0000B4020000}"/>
    <cellStyle name="Normal 103 2 2 5 2" xfId="13940" xr:uid="{00000000-0005-0000-0000-0000B5020000}"/>
    <cellStyle name="Normal 103 2 2 6" xfId="9427" xr:uid="{00000000-0005-0000-0000-0000B6020000}"/>
    <cellStyle name="Normal 103 2 3" xfId="522" xr:uid="{00000000-0005-0000-0000-0000B7020000}"/>
    <cellStyle name="Normal 103 2 3 2" xfId="1086" xr:uid="{00000000-0005-0000-0000-0000B8020000}"/>
    <cellStyle name="Normal 103 2 3 2 2" xfId="2256" xr:uid="{00000000-0005-0000-0000-0000B9020000}"/>
    <cellStyle name="Normal 103 2 3 2 2 2" xfId="2433" xr:uid="{00000000-0005-0000-0000-0000BA020000}"/>
    <cellStyle name="Normal 103 2 3 2 2 2 2" xfId="6950" xr:uid="{00000000-0005-0000-0000-0000BB020000}"/>
    <cellStyle name="Normal 103 2 3 2 2 2 2 2" xfId="15991" xr:uid="{00000000-0005-0000-0000-0000BC020000}"/>
    <cellStyle name="Normal 103 2 3 2 2 2 3" xfId="11478" xr:uid="{00000000-0005-0000-0000-0000BD020000}"/>
    <cellStyle name="Normal 103 2 3 2 2 3" xfId="6779" xr:uid="{00000000-0005-0000-0000-0000BE020000}"/>
    <cellStyle name="Normal 103 2 3 2 2 3 2" xfId="15820" xr:uid="{00000000-0005-0000-0000-0000BF020000}"/>
    <cellStyle name="Normal 103 2 3 2 2 4" xfId="11307" xr:uid="{00000000-0005-0000-0000-0000C0020000}"/>
    <cellStyle name="Normal 103 2 3 2 3" xfId="2432" xr:uid="{00000000-0005-0000-0000-0000C1020000}"/>
    <cellStyle name="Normal 103 2 3 2 3 2" xfId="6949" xr:uid="{00000000-0005-0000-0000-0000C2020000}"/>
    <cellStyle name="Normal 103 2 3 2 3 2 2" xfId="15990" xr:uid="{00000000-0005-0000-0000-0000C3020000}"/>
    <cellStyle name="Normal 103 2 3 2 3 3" xfId="11477" xr:uid="{00000000-0005-0000-0000-0000C4020000}"/>
    <cellStyle name="Normal 103 2 3 2 4" xfId="5651" xr:uid="{00000000-0005-0000-0000-0000C5020000}"/>
    <cellStyle name="Normal 103 2 3 2 4 2" xfId="14692" xr:uid="{00000000-0005-0000-0000-0000C6020000}"/>
    <cellStyle name="Normal 103 2 3 2 5" xfId="10179" xr:uid="{00000000-0005-0000-0000-0000C7020000}"/>
    <cellStyle name="Normal 103 2 3 3" xfId="1692" xr:uid="{00000000-0005-0000-0000-0000C8020000}"/>
    <cellStyle name="Normal 103 2 3 3 2" xfId="2434" xr:uid="{00000000-0005-0000-0000-0000C9020000}"/>
    <cellStyle name="Normal 103 2 3 3 2 2" xfId="6951" xr:uid="{00000000-0005-0000-0000-0000CA020000}"/>
    <cellStyle name="Normal 103 2 3 3 2 2 2" xfId="15992" xr:uid="{00000000-0005-0000-0000-0000CB020000}"/>
    <cellStyle name="Normal 103 2 3 3 2 3" xfId="11479" xr:uid="{00000000-0005-0000-0000-0000CC020000}"/>
    <cellStyle name="Normal 103 2 3 3 3" xfId="6215" xr:uid="{00000000-0005-0000-0000-0000CD020000}"/>
    <cellStyle name="Normal 103 2 3 3 3 2" xfId="15256" xr:uid="{00000000-0005-0000-0000-0000CE020000}"/>
    <cellStyle name="Normal 103 2 3 3 4" xfId="10743" xr:uid="{00000000-0005-0000-0000-0000CF020000}"/>
    <cellStyle name="Normal 103 2 3 4" xfId="2431" xr:uid="{00000000-0005-0000-0000-0000D0020000}"/>
    <cellStyle name="Normal 103 2 3 4 2" xfId="6948" xr:uid="{00000000-0005-0000-0000-0000D1020000}"/>
    <cellStyle name="Normal 103 2 3 4 2 2" xfId="15989" xr:uid="{00000000-0005-0000-0000-0000D2020000}"/>
    <cellStyle name="Normal 103 2 3 4 3" xfId="11476" xr:uid="{00000000-0005-0000-0000-0000D3020000}"/>
    <cellStyle name="Normal 103 2 3 5" xfId="5087" xr:uid="{00000000-0005-0000-0000-0000D4020000}"/>
    <cellStyle name="Normal 103 2 3 5 2" xfId="14128" xr:uid="{00000000-0005-0000-0000-0000D5020000}"/>
    <cellStyle name="Normal 103 2 3 6" xfId="9615" xr:uid="{00000000-0005-0000-0000-0000D6020000}"/>
    <cellStyle name="Normal 103 2 4" xfId="710" xr:uid="{00000000-0005-0000-0000-0000D7020000}"/>
    <cellStyle name="Normal 103 2 4 2" xfId="1880" xr:uid="{00000000-0005-0000-0000-0000D8020000}"/>
    <cellStyle name="Normal 103 2 4 2 2" xfId="2436" xr:uid="{00000000-0005-0000-0000-0000D9020000}"/>
    <cellStyle name="Normal 103 2 4 2 2 2" xfId="6953" xr:uid="{00000000-0005-0000-0000-0000DA020000}"/>
    <cellStyle name="Normal 103 2 4 2 2 2 2" xfId="15994" xr:uid="{00000000-0005-0000-0000-0000DB020000}"/>
    <cellStyle name="Normal 103 2 4 2 2 3" xfId="11481" xr:uid="{00000000-0005-0000-0000-0000DC020000}"/>
    <cellStyle name="Normal 103 2 4 2 3" xfId="6403" xr:uid="{00000000-0005-0000-0000-0000DD020000}"/>
    <cellStyle name="Normal 103 2 4 2 3 2" xfId="15444" xr:uid="{00000000-0005-0000-0000-0000DE020000}"/>
    <cellStyle name="Normal 103 2 4 2 4" xfId="10931" xr:uid="{00000000-0005-0000-0000-0000DF020000}"/>
    <cellStyle name="Normal 103 2 4 3" xfId="2435" xr:uid="{00000000-0005-0000-0000-0000E0020000}"/>
    <cellStyle name="Normal 103 2 4 3 2" xfId="6952" xr:uid="{00000000-0005-0000-0000-0000E1020000}"/>
    <cellStyle name="Normal 103 2 4 3 2 2" xfId="15993" xr:uid="{00000000-0005-0000-0000-0000E2020000}"/>
    <cellStyle name="Normal 103 2 4 3 3" xfId="11480" xr:uid="{00000000-0005-0000-0000-0000E3020000}"/>
    <cellStyle name="Normal 103 2 4 4" xfId="5275" xr:uid="{00000000-0005-0000-0000-0000E4020000}"/>
    <cellStyle name="Normal 103 2 4 4 2" xfId="14316" xr:uid="{00000000-0005-0000-0000-0000E5020000}"/>
    <cellStyle name="Normal 103 2 4 5" xfId="9803" xr:uid="{00000000-0005-0000-0000-0000E6020000}"/>
    <cellStyle name="Normal 103 2 5" xfId="1316" xr:uid="{00000000-0005-0000-0000-0000E7020000}"/>
    <cellStyle name="Normal 103 2 5 2" xfId="2437" xr:uid="{00000000-0005-0000-0000-0000E8020000}"/>
    <cellStyle name="Normal 103 2 5 2 2" xfId="6954" xr:uid="{00000000-0005-0000-0000-0000E9020000}"/>
    <cellStyle name="Normal 103 2 5 2 2 2" xfId="15995" xr:uid="{00000000-0005-0000-0000-0000EA020000}"/>
    <cellStyle name="Normal 103 2 5 2 3" xfId="11482" xr:uid="{00000000-0005-0000-0000-0000EB020000}"/>
    <cellStyle name="Normal 103 2 5 3" xfId="5839" xr:uid="{00000000-0005-0000-0000-0000EC020000}"/>
    <cellStyle name="Normal 103 2 5 3 2" xfId="14880" xr:uid="{00000000-0005-0000-0000-0000ED020000}"/>
    <cellStyle name="Normal 103 2 5 4" xfId="10367" xr:uid="{00000000-0005-0000-0000-0000EE020000}"/>
    <cellStyle name="Normal 103 2 6" xfId="2426" xr:uid="{00000000-0005-0000-0000-0000EF020000}"/>
    <cellStyle name="Normal 103 2 6 2" xfId="6943" xr:uid="{00000000-0005-0000-0000-0000F0020000}"/>
    <cellStyle name="Normal 103 2 6 2 2" xfId="15984" xr:uid="{00000000-0005-0000-0000-0000F1020000}"/>
    <cellStyle name="Normal 103 2 6 3" xfId="11471" xr:uid="{00000000-0005-0000-0000-0000F2020000}"/>
    <cellStyle name="Normal 103 2 7" xfId="4711" xr:uid="{00000000-0005-0000-0000-0000F3020000}"/>
    <cellStyle name="Normal 103 2 7 2" xfId="13752" xr:uid="{00000000-0005-0000-0000-0000F4020000}"/>
    <cellStyle name="Normal 103 2 8" xfId="9239" xr:uid="{00000000-0005-0000-0000-0000F5020000}"/>
    <cellStyle name="Normal 103 3" xfId="240" xr:uid="{00000000-0005-0000-0000-0000F6020000}"/>
    <cellStyle name="Normal 103 3 2" xfId="804" xr:uid="{00000000-0005-0000-0000-0000F7020000}"/>
    <cellStyle name="Normal 103 3 2 2" xfId="1974" xr:uid="{00000000-0005-0000-0000-0000F8020000}"/>
    <cellStyle name="Normal 103 3 2 2 2" xfId="2440" xr:uid="{00000000-0005-0000-0000-0000F9020000}"/>
    <cellStyle name="Normal 103 3 2 2 2 2" xfId="6957" xr:uid="{00000000-0005-0000-0000-0000FA020000}"/>
    <cellStyle name="Normal 103 3 2 2 2 2 2" xfId="15998" xr:uid="{00000000-0005-0000-0000-0000FB020000}"/>
    <cellStyle name="Normal 103 3 2 2 2 3" xfId="11485" xr:uid="{00000000-0005-0000-0000-0000FC020000}"/>
    <cellStyle name="Normal 103 3 2 2 3" xfId="6497" xr:uid="{00000000-0005-0000-0000-0000FD020000}"/>
    <cellStyle name="Normal 103 3 2 2 3 2" xfId="15538" xr:uid="{00000000-0005-0000-0000-0000FE020000}"/>
    <cellStyle name="Normal 103 3 2 2 4" xfId="11025" xr:uid="{00000000-0005-0000-0000-0000FF020000}"/>
    <cellStyle name="Normal 103 3 2 3" xfId="2439" xr:uid="{00000000-0005-0000-0000-000000030000}"/>
    <cellStyle name="Normal 103 3 2 3 2" xfId="6956" xr:uid="{00000000-0005-0000-0000-000001030000}"/>
    <cellStyle name="Normal 103 3 2 3 2 2" xfId="15997" xr:uid="{00000000-0005-0000-0000-000002030000}"/>
    <cellStyle name="Normal 103 3 2 3 3" xfId="11484" xr:uid="{00000000-0005-0000-0000-000003030000}"/>
    <cellStyle name="Normal 103 3 2 4" xfId="5369" xr:uid="{00000000-0005-0000-0000-000004030000}"/>
    <cellStyle name="Normal 103 3 2 4 2" xfId="14410" xr:uid="{00000000-0005-0000-0000-000005030000}"/>
    <cellStyle name="Normal 103 3 2 5" xfId="9897" xr:uid="{00000000-0005-0000-0000-000006030000}"/>
    <cellStyle name="Normal 103 3 3" xfId="1410" xr:uid="{00000000-0005-0000-0000-000007030000}"/>
    <cellStyle name="Normal 103 3 3 2" xfId="2441" xr:uid="{00000000-0005-0000-0000-000008030000}"/>
    <cellStyle name="Normal 103 3 3 2 2" xfId="6958" xr:uid="{00000000-0005-0000-0000-000009030000}"/>
    <cellStyle name="Normal 103 3 3 2 2 2" xfId="15999" xr:uid="{00000000-0005-0000-0000-00000A030000}"/>
    <cellStyle name="Normal 103 3 3 2 3" xfId="11486" xr:uid="{00000000-0005-0000-0000-00000B030000}"/>
    <cellStyle name="Normal 103 3 3 3" xfId="5933" xr:uid="{00000000-0005-0000-0000-00000C030000}"/>
    <cellStyle name="Normal 103 3 3 3 2" xfId="14974" xr:uid="{00000000-0005-0000-0000-00000D030000}"/>
    <cellStyle name="Normal 103 3 3 4" xfId="10461" xr:uid="{00000000-0005-0000-0000-00000E030000}"/>
    <cellStyle name="Normal 103 3 4" xfId="2438" xr:uid="{00000000-0005-0000-0000-00000F030000}"/>
    <cellStyle name="Normal 103 3 4 2" xfId="6955" xr:uid="{00000000-0005-0000-0000-000010030000}"/>
    <cellStyle name="Normal 103 3 4 2 2" xfId="15996" xr:uid="{00000000-0005-0000-0000-000011030000}"/>
    <cellStyle name="Normal 103 3 4 3" xfId="11483" xr:uid="{00000000-0005-0000-0000-000012030000}"/>
    <cellStyle name="Normal 103 3 5" xfId="4805" xr:uid="{00000000-0005-0000-0000-000013030000}"/>
    <cellStyle name="Normal 103 3 5 2" xfId="13846" xr:uid="{00000000-0005-0000-0000-000014030000}"/>
    <cellStyle name="Normal 103 3 6" xfId="9333" xr:uid="{00000000-0005-0000-0000-000015030000}"/>
    <cellStyle name="Normal 103 4" xfId="428" xr:uid="{00000000-0005-0000-0000-000016030000}"/>
    <cellStyle name="Normal 103 4 2" xfId="992" xr:uid="{00000000-0005-0000-0000-000017030000}"/>
    <cellStyle name="Normal 103 4 2 2" xfId="2162" xr:uid="{00000000-0005-0000-0000-000018030000}"/>
    <cellStyle name="Normal 103 4 2 2 2" xfId="2444" xr:uid="{00000000-0005-0000-0000-000019030000}"/>
    <cellStyle name="Normal 103 4 2 2 2 2" xfId="6961" xr:uid="{00000000-0005-0000-0000-00001A030000}"/>
    <cellStyle name="Normal 103 4 2 2 2 2 2" xfId="16002" xr:uid="{00000000-0005-0000-0000-00001B030000}"/>
    <cellStyle name="Normal 103 4 2 2 2 3" xfId="11489" xr:uid="{00000000-0005-0000-0000-00001C030000}"/>
    <cellStyle name="Normal 103 4 2 2 3" xfId="6685" xr:uid="{00000000-0005-0000-0000-00001D030000}"/>
    <cellStyle name="Normal 103 4 2 2 3 2" xfId="15726" xr:uid="{00000000-0005-0000-0000-00001E030000}"/>
    <cellStyle name="Normal 103 4 2 2 4" xfId="11213" xr:uid="{00000000-0005-0000-0000-00001F030000}"/>
    <cellStyle name="Normal 103 4 2 3" xfId="2443" xr:uid="{00000000-0005-0000-0000-000020030000}"/>
    <cellStyle name="Normal 103 4 2 3 2" xfId="6960" xr:uid="{00000000-0005-0000-0000-000021030000}"/>
    <cellStyle name="Normal 103 4 2 3 2 2" xfId="16001" xr:uid="{00000000-0005-0000-0000-000022030000}"/>
    <cellStyle name="Normal 103 4 2 3 3" xfId="11488" xr:uid="{00000000-0005-0000-0000-000023030000}"/>
    <cellStyle name="Normal 103 4 2 4" xfId="5557" xr:uid="{00000000-0005-0000-0000-000024030000}"/>
    <cellStyle name="Normal 103 4 2 4 2" xfId="14598" xr:uid="{00000000-0005-0000-0000-000025030000}"/>
    <cellStyle name="Normal 103 4 2 5" xfId="10085" xr:uid="{00000000-0005-0000-0000-000026030000}"/>
    <cellStyle name="Normal 103 4 3" xfId="1598" xr:uid="{00000000-0005-0000-0000-000027030000}"/>
    <cellStyle name="Normal 103 4 3 2" xfId="2445" xr:uid="{00000000-0005-0000-0000-000028030000}"/>
    <cellStyle name="Normal 103 4 3 2 2" xfId="6962" xr:uid="{00000000-0005-0000-0000-000029030000}"/>
    <cellStyle name="Normal 103 4 3 2 2 2" xfId="16003" xr:uid="{00000000-0005-0000-0000-00002A030000}"/>
    <cellStyle name="Normal 103 4 3 2 3" xfId="11490" xr:uid="{00000000-0005-0000-0000-00002B030000}"/>
    <cellStyle name="Normal 103 4 3 3" xfId="6121" xr:uid="{00000000-0005-0000-0000-00002C030000}"/>
    <cellStyle name="Normal 103 4 3 3 2" xfId="15162" xr:uid="{00000000-0005-0000-0000-00002D030000}"/>
    <cellStyle name="Normal 103 4 3 4" xfId="10649" xr:uid="{00000000-0005-0000-0000-00002E030000}"/>
    <cellStyle name="Normal 103 4 4" xfId="2442" xr:uid="{00000000-0005-0000-0000-00002F030000}"/>
    <cellStyle name="Normal 103 4 4 2" xfId="6959" xr:uid="{00000000-0005-0000-0000-000030030000}"/>
    <cellStyle name="Normal 103 4 4 2 2" xfId="16000" xr:uid="{00000000-0005-0000-0000-000031030000}"/>
    <cellStyle name="Normal 103 4 4 3" xfId="11487" xr:uid="{00000000-0005-0000-0000-000032030000}"/>
    <cellStyle name="Normal 103 4 5" xfId="4993" xr:uid="{00000000-0005-0000-0000-000033030000}"/>
    <cellStyle name="Normal 103 4 5 2" xfId="14034" xr:uid="{00000000-0005-0000-0000-000034030000}"/>
    <cellStyle name="Normal 103 4 6" xfId="9521" xr:uid="{00000000-0005-0000-0000-000035030000}"/>
    <cellStyle name="Normal 103 5" xfId="616" xr:uid="{00000000-0005-0000-0000-000036030000}"/>
    <cellStyle name="Normal 103 5 2" xfId="1786" xr:uid="{00000000-0005-0000-0000-000037030000}"/>
    <cellStyle name="Normal 103 5 2 2" xfId="2447" xr:uid="{00000000-0005-0000-0000-000038030000}"/>
    <cellStyle name="Normal 103 5 2 2 2" xfId="6964" xr:uid="{00000000-0005-0000-0000-000039030000}"/>
    <cellStyle name="Normal 103 5 2 2 2 2" xfId="16005" xr:uid="{00000000-0005-0000-0000-00003A030000}"/>
    <cellStyle name="Normal 103 5 2 2 3" xfId="11492" xr:uid="{00000000-0005-0000-0000-00003B030000}"/>
    <cellStyle name="Normal 103 5 2 3" xfId="6309" xr:uid="{00000000-0005-0000-0000-00003C030000}"/>
    <cellStyle name="Normal 103 5 2 3 2" xfId="15350" xr:uid="{00000000-0005-0000-0000-00003D030000}"/>
    <cellStyle name="Normal 103 5 2 4" xfId="10837" xr:uid="{00000000-0005-0000-0000-00003E030000}"/>
    <cellStyle name="Normal 103 5 3" xfId="2446" xr:uid="{00000000-0005-0000-0000-00003F030000}"/>
    <cellStyle name="Normal 103 5 3 2" xfId="6963" xr:uid="{00000000-0005-0000-0000-000040030000}"/>
    <cellStyle name="Normal 103 5 3 2 2" xfId="16004" xr:uid="{00000000-0005-0000-0000-000041030000}"/>
    <cellStyle name="Normal 103 5 3 3" xfId="11491" xr:uid="{00000000-0005-0000-0000-000042030000}"/>
    <cellStyle name="Normal 103 5 4" xfId="5181" xr:uid="{00000000-0005-0000-0000-000043030000}"/>
    <cellStyle name="Normal 103 5 4 2" xfId="14222" xr:uid="{00000000-0005-0000-0000-000044030000}"/>
    <cellStyle name="Normal 103 5 5" xfId="9709" xr:uid="{00000000-0005-0000-0000-000045030000}"/>
    <cellStyle name="Normal 103 6" xfId="1222" xr:uid="{00000000-0005-0000-0000-000046030000}"/>
    <cellStyle name="Normal 103 6 2" xfId="2448" xr:uid="{00000000-0005-0000-0000-000047030000}"/>
    <cellStyle name="Normal 103 6 2 2" xfId="6965" xr:uid="{00000000-0005-0000-0000-000048030000}"/>
    <cellStyle name="Normal 103 6 2 2 2" xfId="16006" xr:uid="{00000000-0005-0000-0000-000049030000}"/>
    <cellStyle name="Normal 103 6 2 3" xfId="11493" xr:uid="{00000000-0005-0000-0000-00004A030000}"/>
    <cellStyle name="Normal 103 6 3" xfId="5745" xr:uid="{00000000-0005-0000-0000-00004B030000}"/>
    <cellStyle name="Normal 103 6 3 2" xfId="14786" xr:uid="{00000000-0005-0000-0000-00004C030000}"/>
    <cellStyle name="Normal 103 6 4" xfId="10273" xr:uid="{00000000-0005-0000-0000-00004D030000}"/>
    <cellStyle name="Normal 103 7" xfId="2425" xr:uid="{00000000-0005-0000-0000-00004E030000}"/>
    <cellStyle name="Normal 103 7 2" xfId="6942" xr:uid="{00000000-0005-0000-0000-00004F030000}"/>
    <cellStyle name="Normal 103 7 2 2" xfId="15983" xr:uid="{00000000-0005-0000-0000-000050030000}"/>
    <cellStyle name="Normal 103 7 3" xfId="11470" xr:uid="{00000000-0005-0000-0000-000051030000}"/>
    <cellStyle name="Normal 103 8" xfId="4617" xr:uid="{00000000-0005-0000-0000-000052030000}"/>
    <cellStyle name="Normal 103 8 2" xfId="13658" xr:uid="{00000000-0005-0000-0000-000053030000}"/>
    <cellStyle name="Normal 103 9" xfId="9145" xr:uid="{00000000-0005-0000-0000-000054030000}"/>
    <cellStyle name="Normal 104" xfId="10" xr:uid="{00000000-0005-0000-0000-000055030000}"/>
    <cellStyle name="Normal 104 2" xfId="106" xr:uid="{00000000-0005-0000-0000-000056030000}"/>
    <cellStyle name="Normal 104 2 2" xfId="335" xr:uid="{00000000-0005-0000-0000-000057030000}"/>
    <cellStyle name="Normal 104 2 2 2" xfId="899" xr:uid="{00000000-0005-0000-0000-000058030000}"/>
    <cellStyle name="Normal 104 2 2 2 2" xfId="2069" xr:uid="{00000000-0005-0000-0000-000059030000}"/>
    <cellStyle name="Normal 104 2 2 2 2 2" xfId="2453" xr:uid="{00000000-0005-0000-0000-00005A030000}"/>
    <cellStyle name="Normal 104 2 2 2 2 2 2" xfId="6970" xr:uid="{00000000-0005-0000-0000-00005B030000}"/>
    <cellStyle name="Normal 104 2 2 2 2 2 2 2" xfId="16011" xr:uid="{00000000-0005-0000-0000-00005C030000}"/>
    <cellStyle name="Normal 104 2 2 2 2 2 3" xfId="11498" xr:uid="{00000000-0005-0000-0000-00005D030000}"/>
    <cellStyle name="Normal 104 2 2 2 2 3" xfId="6592" xr:uid="{00000000-0005-0000-0000-00005E030000}"/>
    <cellStyle name="Normal 104 2 2 2 2 3 2" xfId="15633" xr:uid="{00000000-0005-0000-0000-00005F030000}"/>
    <cellStyle name="Normal 104 2 2 2 2 4" xfId="11120" xr:uid="{00000000-0005-0000-0000-000060030000}"/>
    <cellStyle name="Normal 104 2 2 2 3" xfId="2452" xr:uid="{00000000-0005-0000-0000-000061030000}"/>
    <cellStyle name="Normal 104 2 2 2 3 2" xfId="6969" xr:uid="{00000000-0005-0000-0000-000062030000}"/>
    <cellStyle name="Normal 104 2 2 2 3 2 2" xfId="16010" xr:uid="{00000000-0005-0000-0000-000063030000}"/>
    <cellStyle name="Normal 104 2 2 2 3 3" xfId="11497" xr:uid="{00000000-0005-0000-0000-000064030000}"/>
    <cellStyle name="Normal 104 2 2 2 4" xfId="5464" xr:uid="{00000000-0005-0000-0000-000065030000}"/>
    <cellStyle name="Normal 104 2 2 2 4 2" xfId="14505" xr:uid="{00000000-0005-0000-0000-000066030000}"/>
    <cellStyle name="Normal 104 2 2 2 5" xfId="9992" xr:uid="{00000000-0005-0000-0000-000067030000}"/>
    <cellStyle name="Normal 104 2 2 3" xfId="1505" xr:uid="{00000000-0005-0000-0000-000068030000}"/>
    <cellStyle name="Normal 104 2 2 3 2" xfId="2454" xr:uid="{00000000-0005-0000-0000-000069030000}"/>
    <cellStyle name="Normal 104 2 2 3 2 2" xfId="6971" xr:uid="{00000000-0005-0000-0000-00006A030000}"/>
    <cellStyle name="Normal 104 2 2 3 2 2 2" xfId="16012" xr:uid="{00000000-0005-0000-0000-00006B030000}"/>
    <cellStyle name="Normal 104 2 2 3 2 3" xfId="11499" xr:uid="{00000000-0005-0000-0000-00006C030000}"/>
    <cellStyle name="Normal 104 2 2 3 3" xfId="6028" xr:uid="{00000000-0005-0000-0000-00006D030000}"/>
    <cellStyle name="Normal 104 2 2 3 3 2" xfId="15069" xr:uid="{00000000-0005-0000-0000-00006E030000}"/>
    <cellStyle name="Normal 104 2 2 3 4" xfId="10556" xr:uid="{00000000-0005-0000-0000-00006F030000}"/>
    <cellStyle name="Normal 104 2 2 4" xfId="2451" xr:uid="{00000000-0005-0000-0000-000070030000}"/>
    <cellStyle name="Normal 104 2 2 4 2" xfId="6968" xr:uid="{00000000-0005-0000-0000-000071030000}"/>
    <cellStyle name="Normal 104 2 2 4 2 2" xfId="16009" xr:uid="{00000000-0005-0000-0000-000072030000}"/>
    <cellStyle name="Normal 104 2 2 4 3" xfId="11496" xr:uid="{00000000-0005-0000-0000-000073030000}"/>
    <cellStyle name="Normal 104 2 2 5" xfId="4900" xr:uid="{00000000-0005-0000-0000-000074030000}"/>
    <cellStyle name="Normal 104 2 2 5 2" xfId="13941" xr:uid="{00000000-0005-0000-0000-000075030000}"/>
    <cellStyle name="Normal 104 2 2 6" xfId="9428" xr:uid="{00000000-0005-0000-0000-000076030000}"/>
    <cellStyle name="Normal 104 2 3" xfId="523" xr:uid="{00000000-0005-0000-0000-000077030000}"/>
    <cellStyle name="Normal 104 2 3 2" xfId="1087" xr:uid="{00000000-0005-0000-0000-000078030000}"/>
    <cellStyle name="Normal 104 2 3 2 2" xfId="2257" xr:uid="{00000000-0005-0000-0000-000079030000}"/>
    <cellStyle name="Normal 104 2 3 2 2 2" xfId="2457" xr:uid="{00000000-0005-0000-0000-00007A030000}"/>
    <cellStyle name="Normal 104 2 3 2 2 2 2" xfId="6974" xr:uid="{00000000-0005-0000-0000-00007B030000}"/>
    <cellStyle name="Normal 104 2 3 2 2 2 2 2" xfId="16015" xr:uid="{00000000-0005-0000-0000-00007C030000}"/>
    <cellStyle name="Normal 104 2 3 2 2 2 3" xfId="11502" xr:uid="{00000000-0005-0000-0000-00007D030000}"/>
    <cellStyle name="Normal 104 2 3 2 2 3" xfId="6780" xr:uid="{00000000-0005-0000-0000-00007E030000}"/>
    <cellStyle name="Normal 104 2 3 2 2 3 2" xfId="15821" xr:uid="{00000000-0005-0000-0000-00007F030000}"/>
    <cellStyle name="Normal 104 2 3 2 2 4" xfId="11308" xr:uid="{00000000-0005-0000-0000-000080030000}"/>
    <cellStyle name="Normal 104 2 3 2 3" xfId="2456" xr:uid="{00000000-0005-0000-0000-000081030000}"/>
    <cellStyle name="Normal 104 2 3 2 3 2" xfId="6973" xr:uid="{00000000-0005-0000-0000-000082030000}"/>
    <cellStyle name="Normal 104 2 3 2 3 2 2" xfId="16014" xr:uid="{00000000-0005-0000-0000-000083030000}"/>
    <cellStyle name="Normal 104 2 3 2 3 3" xfId="11501" xr:uid="{00000000-0005-0000-0000-000084030000}"/>
    <cellStyle name="Normal 104 2 3 2 4" xfId="5652" xr:uid="{00000000-0005-0000-0000-000085030000}"/>
    <cellStyle name="Normal 104 2 3 2 4 2" xfId="14693" xr:uid="{00000000-0005-0000-0000-000086030000}"/>
    <cellStyle name="Normal 104 2 3 2 5" xfId="10180" xr:uid="{00000000-0005-0000-0000-000087030000}"/>
    <cellStyle name="Normal 104 2 3 3" xfId="1693" xr:uid="{00000000-0005-0000-0000-000088030000}"/>
    <cellStyle name="Normal 104 2 3 3 2" xfId="2458" xr:uid="{00000000-0005-0000-0000-000089030000}"/>
    <cellStyle name="Normal 104 2 3 3 2 2" xfId="6975" xr:uid="{00000000-0005-0000-0000-00008A030000}"/>
    <cellStyle name="Normal 104 2 3 3 2 2 2" xfId="16016" xr:uid="{00000000-0005-0000-0000-00008B030000}"/>
    <cellStyle name="Normal 104 2 3 3 2 3" xfId="11503" xr:uid="{00000000-0005-0000-0000-00008C030000}"/>
    <cellStyle name="Normal 104 2 3 3 3" xfId="6216" xr:uid="{00000000-0005-0000-0000-00008D030000}"/>
    <cellStyle name="Normal 104 2 3 3 3 2" xfId="15257" xr:uid="{00000000-0005-0000-0000-00008E030000}"/>
    <cellStyle name="Normal 104 2 3 3 4" xfId="10744" xr:uid="{00000000-0005-0000-0000-00008F030000}"/>
    <cellStyle name="Normal 104 2 3 4" xfId="2455" xr:uid="{00000000-0005-0000-0000-000090030000}"/>
    <cellStyle name="Normal 104 2 3 4 2" xfId="6972" xr:uid="{00000000-0005-0000-0000-000091030000}"/>
    <cellStyle name="Normal 104 2 3 4 2 2" xfId="16013" xr:uid="{00000000-0005-0000-0000-000092030000}"/>
    <cellStyle name="Normal 104 2 3 4 3" xfId="11500" xr:uid="{00000000-0005-0000-0000-000093030000}"/>
    <cellStyle name="Normal 104 2 3 5" xfId="5088" xr:uid="{00000000-0005-0000-0000-000094030000}"/>
    <cellStyle name="Normal 104 2 3 5 2" xfId="14129" xr:uid="{00000000-0005-0000-0000-000095030000}"/>
    <cellStyle name="Normal 104 2 3 6" xfId="9616" xr:uid="{00000000-0005-0000-0000-000096030000}"/>
    <cellStyle name="Normal 104 2 4" xfId="711" xr:uid="{00000000-0005-0000-0000-000097030000}"/>
    <cellStyle name="Normal 104 2 4 2" xfId="1881" xr:uid="{00000000-0005-0000-0000-000098030000}"/>
    <cellStyle name="Normal 104 2 4 2 2" xfId="2460" xr:uid="{00000000-0005-0000-0000-000099030000}"/>
    <cellStyle name="Normal 104 2 4 2 2 2" xfId="6977" xr:uid="{00000000-0005-0000-0000-00009A030000}"/>
    <cellStyle name="Normal 104 2 4 2 2 2 2" xfId="16018" xr:uid="{00000000-0005-0000-0000-00009B030000}"/>
    <cellStyle name="Normal 104 2 4 2 2 3" xfId="11505" xr:uid="{00000000-0005-0000-0000-00009C030000}"/>
    <cellStyle name="Normal 104 2 4 2 3" xfId="6404" xr:uid="{00000000-0005-0000-0000-00009D030000}"/>
    <cellStyle name="Normal 104 2 4 2 3 2" xfId="15445" xr:uid="{00000000-0005-0000-0000-00009E030000}"/>
    <cellStyle name="Normal 104 2 4 2 4" xfId="10932" xr:uid="{00000000-0005-0000-0000-00009F030000}"/>
    <cellStyle name="Normal 104 2 4 3" xfId="2459" xr:uid="{00000000-0005-0000-0000-0000A0030000}"/>
    <cellStyle name="Normal 104 2 4 3 2" xfId="6976" xr:uid="{00000000-0005-0000-0000-0000A1030000}"/>
    <cellStyle name="Normal 104 2 4 3 2 2" xfId="16017" xr:uid="{00000000-0005-0000-0000-0000A2030000}"/>
    <cellStyle name="Normal 104 2 4 3 3" xfId="11504" xr:uid="{00000000-0005-0000-0000-0000A3030000}"/>
    <cellStyle name="Normal 104 2 4 4" xfId="5276" xr:uid="{00000000-0005-0000-0000-0000A4030000}"/>
    <cellStyle name="Normal 104 2 4 4 2" xfId="14317" xr:uid="{00000000-0005-0000-0000-0000A5030000}"/>
    <cellStyle name="Normal 104 2 4 5" xfId="9804" xr:uid="{00000000-0005-0000-0000-0000A6030000}"/>
    <cellStyle name="Normal 104 2 5" xfId="1317" xr:uid="{00000000-0005-0000-0000-0000A7030000}"/>
    <cellStyle name="Normal 104 2 5 2" xfId="2461" xr:uid="{00000000-0005-0000-0000-0000A8030000}"/>
    <cellStyle name="Normal 104 2 5 2 2" xfId="6978" xr:uid="{00000000-0005-0000-0000-0000A9030000}"/>
    <cellStyle name="Normal 104 2 5 2 2 2" xfId="16019" xr:uid="{00000000-0005-0000-0000-0000AA030000}"/>
    <cellStyle name="Normal 104 2 5 2 3" xfId="11506" xr:uid="{00000000-0005-0000-0000-0000AB030000}"/>
    <cellStyle name="Normal 104 2 5 3" xfId="5840" xr:uid="{00000000-0005-0000-0000-0000AC030000}"/>
    <cellStyle name="Normal 104 2 5 3 2" xfId="14881" xr:uid="{00000000-0005-0000-0000-0000AD030000}"/>
    <cellStyle name="Normal 104 2 5 4" xfId="10368" xr:uid="{00000000-0005-0000-0000-0000AE030000}"/>
    <cellStyle name="Normal 104 2 6" xfId="2450" xr:uid="{00000000-0005-0000-0000-0000AF030000}"/>
    <cellStyle name="Normal 104 2 6 2" xfId="6967" xr:uid="{00000000-0005-0000-0000-0000B0030000}"/>
    <cellStyle name="Normal 104 2 6 2 2" xfId="16008" xr:uid="{00000000-0005-0000-0000-0000B1030000}"/>
    <cellStyle name="Normal 104 2 6 3" xfId="11495" xr:uid="{00000000-0005-0000-0000-0000B2030000}"/>
    <cellStyle name="Normal 104 2 7" xfId="4712" xr:uid="{00000000-0005-0000-0000-0000B3030000}"/>
    <cellStyle name="Normal 104 2 7 2" xfId="13753" xr:uid="{00000000-0005-0000-0000-0000B4030000}"/>
    <cellStyle name="Normal 104 2 8" xfId="9240" xr:uid="{00000000-0005-0000-0000-0000B5030000}"/>
    <cellStyle name="Normal 104 3" xfId="241" xr:uid="{00000000-0005-0000-0000-0000B6030000}"/>
    <cellStyle name="Normal 104 3 2" xfId="805" xr:uid="{00000000-0005-0000-0000-0000B7030000}"/>
    <cellStyle name="Normal 104 3 2 2" xfId="1975" xr:uid="{00000000-0005-0000-0000-0000B8030000}"/>
    <cellStyle name="Normal 104 3 2 2 2" xfId="2464" xr:uid="{00000000-0005-0000-0000-0000B9030000}"/>
    <cellStyle name="Normal 104 3 2 2 2 2" xfId="6981" xr:uid="{00000000-0005-0000-0000-0000BA030000}"/>
    <cellStyle name="Normal 104 3 2 2 2 2 2" xfId="16022" xr:uid="{00000000-0005-0000-0000-0000BB030000}"/>
    <cellStyle name="Normal 104 3 2 2 2 3" xfId="11509" xr:uid="{00000000-0005-0000-0000-0000BC030000}"/>
    <cellStyle name="Normal 104 3 2 2 3" xfId="6498" xr:uid="{00000000-0005-0000-0000-0000BD030000}"/>
    <cellStyle name="Normal 104 3 2 2 3 2" xfId="15539" xr:uid="{00000000-0005-0000-0000-0000BE030000}"/>
    <cellStyle name="Normal 104 3 2 2 4" xfId="11026" xr:uid="{00000000-0005-0000-0000-0000BF030000}"/>
    <cellStyle name="Normal 104 3 2 3" xfId="2463" xr:uid="{00000000-0005-0000-0000-0000C0030000}"/>
    <cellStyle name="Normal 104 3 2 3 2" xfId="6980" xr:uid="{00000000-0005-0000-0000-0000C1030000}"/>
    <cellStyle name="Normal 104 3 2 3 2 2" xfId="16021" xr:uid="{00000000-0005-0000-0000-0000C2030000}"/>
    <cellStyle name="Normal 104 3 2 3 3" xfId="11508" xr:uid="{00000000-0005-0000-0000-0000C3030000}"/>
    <cellStyle name="Normal 104 3 2 4" xfId="5370" xr:uid="{00000000-0005-0000-0000-0000C4030000}"/>
    <cellStyle name="Normal 104 3 2 4 2" xfId="14411" xr:uid="{00000000-0005-0000-0000-0000C5030000}"/>
    <cellStyle name="Normal 104 3 2 5" xfId="9898" xr:uid="{00000000-0005-0000-0000-0000C6030000}"/>
    <cellStyle name="Normal 104 3 3" xfId="1411" xr:uid="{00000000-0005-0000-0000-0000C7030000}"/>
    <cellStyle name="Normal 104 3 3 2" xfId="2465" xr:uid="{00000000-0005-0000-0000-0000C8030000}"/>
    <cellStyle name="Normal 104 3 3 2 2" xfId="6982" xr:uid="{00000000-0005-0000-0000-0000C9030000}"/>
    <cellStyle name="Normal 104 3 3 2 2 2" xfId="16023" xr:uid="{00000000-0005-0000-0000-0000CA030000}"/>
    <cellStyle name="Normal 104 3 3 2 3" xfId="11510" xr:uid="{00000000-0005-0000-0000-0000CB030000}"/>
    <cellStyle name="Normal 104 3 3 3" xfId="5934" xr:uid="{00000000-0005-0000-0000-0000CC030000}"/>
    <cellStyle name="Normal 104 3 3 3 2" xfId="14975" xr:uid="{00000000-0005-0000-0000-0000CD030000}"/>
    <cellStyle name="Normal 104 3 3 4" xfId="10462" xr:uid="{00000000-0005-0000-0000-0000CE030000}"/>
    <cellStyle name="Normal 104 3 4" xfId="2462" xr:uid="{00000000-0005-0000-0000-0000CF030000}"/>
    <cellStyle name="Normal 104 3 4 2" xfId="6979" xr:uid="{00000000-0005-0000-0000-0000D0030000}"/>
    <cellStyle name="Normal 104 3 4 2 2" xfId="16020" xr:uid="{00000000-0005-0000-0000-0000D1030000}"/>
    <cellStyle name="Normal 104 3 4 3" xfId="11507" xr:uid="{00000000-0005-0000-0000-0000D2030000}"/>
    <cellStyle name="Normal 104 3 5" xfId="4806" xr:uid="{00000000-0005-0000-0000-0000D3030000}"/>
    <cellStyle name="Normal 104 3 5 2" xfId="13847" xr:uid="{00000000-0005-0000-0000-0000D4030000}"/>
    <cellStyle name="Normal 104 3 6" xfId="9334" xr:uid="{00000000-0005-0000-0000-0000D5030000}"/>
    <cellStyle name="Normal 104 4" xfId="429" xr:uid="{00000000-0005-0000-0000-0000D6030000}"/>
    <cellStyle name="Normal 104 4 2" xfId="993" xr:uid="{00000000-0005-0000-0000-0000D7030000}"/>
    <cellStyle name="Normal 104 4 2 2" xfId="2163" xr:uid="{00000000-0005-0000-0000-0000D8030000}"/>
    <cellStyle name="Normal 104 4 2 2 2" xfId="2468" xr:uid="{00000000-0005-0000-0000-0000D9030000}"/>
    <cellStyle name="Normal 104 4 2 2 2 2" xfId="6985" xr:uid="{00000000-0005-0000-0000-0000DA030000}"/>
    <cellStyle name="Normal 104 4 2 2 2 2 2" xfId="16026" xr:uid="{00000000-0005-0000-0000-0000DB030000}"/>
    <cellStyle name="Normal 104 4 2 2 2 3" xfId="11513" xr:uid="{00000000-0005-0000-0000-0000DC030000}"/>
    <cellStyle name="Normal 104 4 2 2 3" xfId="6686" xr:uid="{00000000-0005-0000-0000-0000DD030000}"/>
    <cellStyle name="Normal 104 4 2 2 3 2" xfId="15727" xr:uid="{00000000-0005-0000-0000-0000DE030000}"/>
    <cellStyle name="Normal 104 4 2 2 4" xfId="11214" xr:uid="{00000000-0005-0000-0000-0000DF030000}"/>
    <cellStyle name="Normal 104 4 2 3" xfId="2467" xr:uid="{00000000-0005-0000-0000-0000E0030000}"/>
    <cellStyle name="Normal 104 4 2 3 2" xfId="6984" xr:uid="{00000000-0005-0000-0000-0000E1030000}"/>
    <cellStyle name="Normal 104 4 2 3 2 2" xfId="16025" xr:uid="{00000000-0005-0000-0000-0000E2030000}"/>
    <cellStyle name="Normal 104 4 2 3 3" xfId="11512" xr:uid="{00000000-0005-0000-0000-0000E3030000}"/>
    <cellStyle name="Normal 104 4 2 4" xfId="5558" xr:uid="{00000000-0005-0000-0000-0000E4030000}"/>
    <cellStyle name="Normal 104 4 2 4 2" xfId="14599" xr:uid="{00000000-0005-0000-0000-0000E5030000}"/>
    <cellStyle name="Normal 104 4 2 5" xfId="10086" xr:uid="{00000000-0005-0000-0000-0000E6030000}"/>
    <cellStyle name="Normal 104 4 3" xfId="1599" xr:uid="{00000000-0005-0000-0000-0000E7030000}"/>
    <cellStyle name="Normal 104 4 3 2" xfId="2469" xr:uid="{00000000-0005-0000-0000-0000E8030000}"/>
    <cellStyle name="Normal 104 4 3 2 2" xfId="6986" xr:uid="{00000000-0005-0000-0000-0000E9030000}"/>
    <cellStyle name="Normal 104 4 3 2 2 2" xfId="16027" xr:uid="{00000000-0005-0000-0000-0000EA030000}"/>
    <cellStyle name="Normal 104 4 3 2 3" xfId="11514" xr:uid="{00000000-0005-0000-0000-0000EB030000}"/>
    <cellStyle name="Normal 104 4 3 3" xfId="6122" xr:uid="{00000000-0005-0000-0000-0000EC030000}"/>
    <cellStyle name="Normal 104 4 3 3 2" xfId="15163" xr:uid="{00000000-0005-0000-0000-0000ED030000}"/>
    <cellStyle name="Normal 104 4 3 4" xfId="10650" xr:uid="{00000000-0005-0000-0000-0000EE030000}"/>
    <cellStyle name="Normal 104 4 4" xfId="2466" xr:uid="{00000000-0005-0000-0000-0000EF030000}"/>
    <cellStyle name="Normal 104 4 4 2" xfId="6983" xr:uid="{00000000-0005-0000-0000-0000F0030000}"/>
    <cellStyle name="Normal 104 4 4 2 2" xfId="16024" xr:uid="{00000000-0005-0000-0000-0000F1030000}"/>
    <cellStyle name="Normal 104 4 4 3" xfId="11511" xr:uid="{00000000-0005-0000-0000-0000F2030000}"/>
    <cellStyle name="Normal 104 4 5" xfId="4994" xr:uid="{00000000-0005-0000-0000-0000F3030000}"/>
    <cellStyle name="Normal 104 4 5 2" xfId="14035" xr:uid="{00000000-0005-0000-0000-0000F4030000}"/>
    <cellStyle name="Normal 104 4 6" xfId="9522" xr:uid="{00000000-0005-0000-0000-0000F5030000}"/>
    <cellStyle name="Normal 104 5" xfId="617" xr:uid="{00000000-0005-0000-0000-0000F6030000}"/>
    <cellStyle name="Normal 104 5 2" xfId="1787" xr:uid="{00000000-0005-0000-0000-0000F7030000}"/>
    <cellStyle name="Normal 104 5 2 2" xfId="2471" xr:uid="{00000000-0005-0000-0000-0000F8030000}"/>
    <cellStyle name="Normal 104 5 2 2 2" xfId="6988" xr:uid="{00000000-0005-0000-0000-0000F9030000}"/>
    <cellStyle name="Normal 104 5 2 2 2 2" xfId="16029" xr:uid="{00000000-0005-0000-0000-0000FA030000}"/>
    <cellStyle name="Normal 104 5 2 2 3" xfId="11516" xr:uid="{00000000-0005-0000-0000-0000FB030000}"/>
    <cellStyle name="Normal 104 5 2 3" xfId="6310" xr:uid="{00000000-0005-0000-0000-0000FC030000}"/>
    <cellStyle name="Normal 104 5 2 3 2" xfId="15351" xr:uid="{00000000-0005-0000-0000-0000FD030000}"/>
    <cellStyle name="Normal 104 5 2 4" xfId="10838" xr:uid="{00000000-0005-0000-0000-0000FE030000}"/>
    <cellStyle name="Normal 104 5 3" xfId="2470" xr:uid="{00000000-0005-0000-0000-0000FF030000}"/>
    <cellStyle name="Normal 104 5 3 2" xfId="6987" xr:uid="{00000000-0005-0000-0000-000000040000}"/>
    <cellStyle name="Normal 104 5 3 2 2" xfId="16028" xr:uid="{00000000-0005-0000-0000-000001040000}"/>
    <cellStyle name="Normal 104 5 3 3" xfId="11515" xr:uid="{00000000-0005-0000-0000-000002040000}"/>
    <cellStyle name="Normal 104 5 4" xfId="5182" xr:uid="{00000000-0005-0000-0000-000003040000}"/>
    <cellStyle name="Normal 104 5 4 2" xfId="14223" xr:uid="{00000000-0005-0000-0000-000004040000}"/>
    <cellStyle name="Normal 104 5 5" xfId="9710" xr:uid="{00000000-0005-0000-0000-000005040000}"/>
    <cellStyle name="Normal 104 6" xfId="1223" xr:uid="{00000000-0005-0000-0000-000006040000}"/>
    <cellStyle name="Normal 104 6 2" xfId="2472" xr:uid="{00000000-0005-0000-0000-000007040000}"/>
    <cellStyle name="Normal 104 6 2 2" xfId="6989" xr:uid="{00000000-0005-0000-0000-000008040000}"/>
    <cellStyle name="Normal 104 6 2 2 2" xfId="16030" xr:uid="{00000000-0005-0000-0000-000009040000}"/>
    <cellStyle name="Normal 104 6 2 3" xfId="11517" xr:uid="{00000000-0005-0000-0000-00000A040000}"/>
    <cellStyle name="Normal 104 6 3" xfId="5746" xr:uid="{00000000-0005-0000-0000-00000B040000}"/>
    <cellStyle name="Normal 104 6 3 2" xfId="14787" xr:uid="{00000000-0005-0000-0000-00000C040000}"/>
    <cellStyle name="Normal 104 6 4" xfId="10274" xr:uid="{00000000-0005-0000-0000-00000D040000}"/>
    <cellStyle name="Normal 104 7" xfId="2449" xr:uid="{00000000-0005-0000-0000-00000E040000}"/>
    <cellStyle name="Normal 104 7 2" xfId="6966" xr:uid="{00000000-0005-0000-0000-00000F040000}"/>
    <cellStyle name="Normal 104 7 2 2" xfId="16007" xr:uid="{00000000-0005-0000-0000-000010040000}"/>
    <cellStyle name="Normal 104 7 3" xfId="11494" xr:uid="{00000000-0005-0000-0000-000011040000}"/>
    <cellStyle name="Normal 104 8" xfId="4618" xr:uid="{00000000-0005-0000-0000-000012040000}"/>
    <cellStyle name="Normal 104 8 2" xfId="13659" xr:uid="{00000000-0005-0000-0000-000013040000}"/>
    <cellStyle name="Normal 104 9" xfId="9146" xr:uid="{00000000-0005-0000-0000-000014040000}"/>
    <cellStyle name="Normal 105" xfId="11" xr:uid="{00000000-0005-0000-0000-000015040000}"/>
    <cellStyle name="Normal 105 2" xfId="107" xr:uid="{00000000-0005-0000-0000-000016040000}"/>
    <cellStyle name="Normal 105 2 2" xfId="336" xr:uid="{00000000-0005-0000-0000-000017040000}"/>
    <cellStyle name="Normal 105 2 2 2" xfId="900" xr:uid="{00000000-0005-0000-0000-000018040000}"/>
    <cellStyle name="Normal 105 2 2 2 2" xfId="2070" xr:uid="{00000000-0005-0000-0000-000019040000}"/>
    <cellStyle name="Normal 105 2 2 2 2 2" xfId="2477" xr:uid="{00000000-0005-0000-0000-00001A040000}"/>
    <cellStyle name="Normal 105 2 2 2 2 2 2" xfId="6994" xr:uid="{00000000-0005-0000-0000-00001B040000}"/>
    <cellStyle name="Normal 105 2 2 2 2 2 2 2" xfId="16035" xr:uid="{00000000-0005-0000-0000-00001C040000}"/>
    <cellStyle name="Normal 105 2 2 2 2 2 3" xfId="11522" xr:uid="{00000000-0005-0000-0000-00001D040000}"/>
    <cellStyle name="Normal 105 2 2 2 2 3" xfId="6593" xr:uid="{00000000-0005-0000-0000-00001E040000}"/>
    <cellStyle name="Normal 105 2 2 2 2 3 2" xfId="15634" xr:uid="{00000000-0005-0000-0000-00001F040000}"/>
    <cellStyle name="Normal 105 2 2 2 2 4" xfId="11121" xr:uid="{00000000-0005-0000-0000-000020040000}"/>
    <cellStyle name="Normal 105 2 2 2 3" xfId="2476" xr:uid="{00000000-0005-0000-0000-000021040000}"/>
    <cellStyle name="Normal 105 2 2 2 3 2" xfId="6993" xr:uid="{00000000-0005-0000-0000-000022040000}"/>
    <cellStyle name="Normal 105 2 2 2 3 2 2" xfId="16034" xr:uid="{00000000-0005-0000-0000-000023040000}"/>
    <cellStyle name="Normal 105 2 2 2 3 3" xfId="11521" xr:uid="{00000000-0005-0000-0000-000024040000}"/>
    <cellStyle name="Normal 105 2 2 2 4" xfId="5465" xr:uid="{00000000-0005-0000-0000-000025040000}"/>
    <cellStyle name="Normal 105 2 2 2 4 2" xfId="14506" xr:uid="{00000000-0005-0000-0000-000026040000}"/>
    <cellStyle name="Normal 105 2 2 2 5" xfId="9993" xr:uid="{00000000-0005-0000-0000-000027040000}"/>
    <cellStyle name="Normal 105 2 2 3" xfId="1506" xr:uid="{00000000-0005-0000-0000-000028040000}"/>
    <cellStyle name="Normal 105 2 2 3 2" xfId="2478" xr:uid="{00000000-0005-0000-0000-000029040000}"/>
    <cellStyle name="Normal 105 2 2 3 2 2" xfId="6995" xr:uid="{00000000-0005-0000-0000-00002A040000}"/>
    <cellStyle name="Normal 105 2 2 3 2 2 2" xfId="16036" xr:uid="{00000000-0005-0000-0000-00002B040000}"/>
    <cellStyle name="Normal 105 2 2 3 2 3" xfId="11523" xr:uid="{00000000-0005-0000-0000-00002C040000}"/>
    <cellStyle name="Normal 105 2 2 3 3" xfId="6029" xr:uid="{00000000-0005-0000-0000-00002D040000}"/>
    <cellStyle name="Normal 105 2 2 3 3 2" xfId="15070" xr:uid="{00000000-0005-0000-0000-00002E040000}"/>
    <cellStyle name="Normal 105 2 2 3 4" xfId="10557" xr:uid="{00000000-0005-0000-0000-00002F040000}"/>
    <cellStyle name="Normal 105 2 2 4" xfId="2475" xr:uid="{00000000-0005-0000-0000-000030040000}"/>
    <cellStyle name="Normal 105 2 2 4 2" xfId="6992" xr:uid="{00000000-0005-0000-0000-000031040000}"/>
    <cellStyle name="Normal 105 2 2 4 2 2" xfId="16033" xr:uid="{00000000-0005-0000-0000-000032040000}"/>
    <cellStyle name="Normal 105 2 2 4 3" xfId="11520" xr:uid="{00000000-0005-0000-0000-000033040000}"/>
    <cellStyle name="Normal 105 2 2 5" xfId="4901" xr:uid="{00000000-0005-0000-0000-000034040000}"/>
    <cellStyle name="Normal 105 2 2 5 2" xfId="13942" xr:uid="{00000000-0005-0000-0000-000035040000}"/>
    <cellStyle name="Normal 105 2 2 6" xfId="9429" xr:uid="{00000000-0005-0000-0000-000036040000}"/>
    <cellStyle name="Normal 105 2 3" xfId="524" xr:uid="{00000000-0005-0000-0000-000037040000}"/>
    <cellStyle name="Normal 105 2 3 2" xfId="1088" xr:uid="{00000000-0005-0000-0000-000038040000}"/>
    <cellStyle name="Normal 105 2 3 2 2" xfId="2258" xr:uid="{00000000-0005-0000-0000-000039040000}"/>
    <cellStyle name="Normal 105 2 3 2 2 2" xfId="2481" xr:uid="{00000000-0005-0000-0000-00003A040000}"/>
    <cellStyle name="Normal 105 2 3 2 2 2 2" xfId="6998" xr:uid="{00000000-0005-0000-0000-00003B040000}"/>
    <cellStyle name="Normal 105 2 3 2 2 2 2 2" xfId="16039" xr:uid="{00000000-0005-0000-0000-00003C040000}"/>
    <cellStyle name="Normal 105 2 3 2 2 2 3" xfId="11526" xr:uid="{00000000-0005-0000-0000-00003D040000}"/>
    <cellStyle name="Normal 105 2 3 2 2 3" xfId="6781" xr:uid="{00000000-0005-0000-0000-00003E040000}"/>
    <cellStyle name="Normal 105 2 3 2 2 3 2" xfId="15822" xr:uid="{00000000-0005-0000-0000-00003F040000}"/>
    <cellStyle name="Normal 105 2 3 2 2 4" xfId="11309" xr:uid="{00000000-0005-0000-0000-000040040000}"/>
    <cellStyle name="Normal 105 2 3 2 3" xfId="2480" xr:uid="{00000000-0005-0000-0000-000041040000}"/>
    <cellStyle name="Normal 105 2 3 2 3 2" xfId="6997" xr:uid="{00000000-0005-0000-0000-000042040000}"/>
    <cellStyle name="Normal 105 2 3 2 3 2 2" xfId="16038" xr:uid="{00000000-0005-0000-0000-000043040000}"/>
    <cellStyle name="Normal 105 2 3 2 3 3" xfId="11525" xr:uid="{00000000-0005-0000-0000-000044040000}"/>
    <cellStyle name="Normal 105 2 3 2 4" xfId="5653" xr:uid="{00000000-0005-0000-0000-000045040000}"/>
    <cellStyle name="Normal 105 2 3 2 4 2" xfId="14694" xr:uid="{00000000-0005-0000-0000-000046040000}"/>
    <cellStyle name="Normal 105 2 3 2 5" xfId="10181" xr:uid="{00000000-0005-0000-0000-000047040000}"/>
    <cellStyle name="Normal 105 2 3 3" xfId="1694" xr:uid="{00000000-0005-0000-0000-000048040000}"/>
    <cellStyle name="Normal 105 2 3 3 2" xfId="2482" xr:uid="{00000000-0005-0000-0000-000049040000}"/>
    <cellStyle name="Normal 105 2 3 3 2 2" xfId="6999" xr:uid="{00000000-0005-0000-0000-00004A040000}"/>
    <cellStyle name="Normal 105 2 3 3 2 2 2" xfId="16040" xr:uid="{00000000-0005-0000-0000-00004B040000}"/>
    <cellStyle name="Normal 105 2 3 3 2 3" xfId="11527" xr:uid="{00000000-0005-0000-0000-00004C040000}"/>
    <cellStyle name="Normal 105 2 3 3 3" xfId="6217" xr:uid="{00000000-0005-0000-0000-00004D040000}"/>
    <cellStyle name="Normal 105 2 3 3 3 2" xfId="15258" xr:uid="{00000000-0005-0000-0000-00004E040000}"/>
    <cellStyle name="Normal 105 2 3 3 4" xfId="10745" xr:uid="{00000000-0005-0000-0000-00004F040000}"/>
    <cellStyle name="Normal 105 2 3 4" xfId="2479" xr:uid="{00000000-0005-0000-0000-000050040000}"/>
    <cellStyle name="Normal 105 2 3 4 2" xfId="6996" xr:uid="{00000000-0005-0000-0000-000051040000}"/>
    <cellStyle name="Normal 105 2 3 4 2 2" xfId="16037" xr:uid="{00000000-0005-0000-0000-000052040000}"/>
    <cellStyle name="Normal 105 2 3 4 3" xfId="11524" xr:uid="{00000000-0005-0000-0000-000053040000}"/>
    <cellStyle name="Normal 105 2 3 5" xfId="5089" xr:uid="{00000000-0005-0000-0000-000054040000}"/>
    <cellStyle name="Normal 105 2 3 5 2" xfId="14130" xr:uid="{00000000-0005-0000-0000-000055040000}"/>
    <cellStyle name="Normal 105 2 3 6" xfId="9617" xr:uid="{00000000-0005-0000-0000-000056040000}"/>
    <cellStyle name="Normal 105 2 4" xfId="712" xr:uid="{00000000-0005-0000-0000-000057040000}"/>
    <cellStyle name="Normal 105 2 4 2" xfId="1882" xr:uid="{00000000-0005-0000-0000-000058040000}"/>
    <cellStyle name="Normal 105 2 4 2 2" xfId="2484" xr:uid="{00000000-0005-0000-0000-000059040000}"/>
    <cellStyle name="Normal 105 2 4 2 2 2" xfId="7001" xr:uid="{00000000-0005-0000-0000-00005A040000}"/>
    <cellStyle name="Normal 105 2 4 2 2 2 2" xfId="16042" xr:uid="{00000000-0005-0000-0000-00005B040000}"/>
    <cellStyle name="Normal 105 2 4 2 2 3" xfId="11529" xr:uid="{00000000-0005-0000-0000-00005C040000}"/>
    <cellStyle name="Normal 105 2 4 2 3" xfId="6405" xr:uid="{00000000-0005-0000-0000-00005D040000}"/>
    <cellStyle name="Normal 105 2 4 2 3 2" xfId="15446" xr:uid="{00000000-0005-0000-0000-00005E040000}"/>
    <cellStyle name="Normal 105 2 4 2 4" xfId="10933" xr:uid="{00000000-0005-0000-0000-00005F040000}"/>
    <cellStyle name="Normal 105 2 4 3" xfId="2483" xr:uid="{00000000-0005-0000-0000-000060040000}"/>
    <cellStyle name="Normal 105 2 4 3 2" xfId="7000" xr:uid="{00000000-0005-0000-0000-000061040000}"/>
    <cellStyle name="Normal 105 2 4 3 2 2" xfId="16041" xr:uid="{00000000-0005-0000-0000-000062040000}"/>
    <cellStyle name="Normal 105 2 4 3 3" xfId="11528" xr:uid="{00000000-0005-0000-0000-000063040000}"/>
    <cellStyle name="Normal 105 2 4 4" xfId="5277" xr:uid="{00000000-0005-0000-0000-000064040000}"/>
    <cellStyle name="Normal 105 2 4 4 2" xfId="14318" xr:uid="{00000000-0005-0000-0000-000065040000}"/>
    <cellStyle name="Normal 105 2 4 5" xfId="9805" xr:uid="{00000000-0005-0000-0000-000066040000}"/>
    <cellStyle name="Normal 105 2 5" xfId="1318" xr:uid="{00000000-0005-0000-0000-000067040000}"/>
    <cellStyle name="Normal 105 2 5 2" xfId="2485" xr:uid="{00000000-0005-0000-0000-000068040000}"/>
    <cellStyle name="Normal 105 2 5 2 2" xfId="7002" xr:uid="{00000000-0005-0000-0000-000069040000}"/>
    <cellStyle name="Normal 105 2 5 2 2 2" xfId="16043" xr:uid="{00000000-0005-0000-0000-00006A040000}"/>
    <cellStyle name="Normal 105 2 5 2 3" xfId="11530" xr:uid="{00000000-0005-0000-0000-00006B040000}"/>
    <cellStyle name="Normal 105 2 5 3" xfId="5841" xr:uid="{00000000-0005-0000-0000-00006C040000}"/>
    <cellStyle name="Normal 105 2 5 3 2" xfId="14882" xr:uid="{00000000-0005-0000-0000-00006D040000}"/>
    <cellStyle name="Normal 105 2 5 4" xfId="10369" xr:uid="{00000000-0005-0000-0000-00006E040000}"/>
    <cellStyle name="Normal 105 2 6" xfId="2474" xr:uid="{00000000-0005-0000-0000-00006F040000}"/>
    <cellStyle name="Normal 105 2 6 2" xfId="6991" xr:uid="{00000000-0005-0000-0000-000070040000}"/>
    <cellStyle name="Normal 105 2 6 2 2" xfId="16032" xr:uid="{00000000-0005-0000-0000-000071040000}"/>
    <cellStyle name="Normal 105 2 6 3" xfId="11519" xr:uid="{00000000-0005-0000-0000-000072040000}"/>
    <cellStyle name="Normal 105 2 7" xfId="4713" xr:uid="{00000000-0005-0000-0000-000073040000}"/>
    <cellStyle name="Normal 105 2 7 2" xfId="13754" xr:uid="{00000000-0005-0000-0000-000074040000}"/>
    <cellStyle name="Normal 105 2 8" xfId="9241" xr:uid="{00000000-0005-0000-0000-000075040000}"/>
    <cellStyle name="Normal 105 3" xfId="242" xr:uid="{00000000-0005-0000-0000-000076040000}"/>
    <cellStyle name="Normal 105 3 2" xfId="806" xr:uid="{00000000-0005-0000-0000-000077040000}"/>
    <cellStyle name="Normal 105 3 2 2" xfId="1976" xr:uid="{00000000-0005-0000-0000-000078040000}"/>
    <cellStyle name="Normal 105 3 2 2 2" xfId="2488" xr:uid="{00000000-0005-0000-0000-000079040000}"/>
    <cellStyle name="Normal 105 3 2 2 2 2" xfId="7005" xr:uid="{00000000-0005-0000-0000-00007A040000}"/>
    <cellStyle name="Normal 105 3 2 2 2 2 2" xfId="16046" xr:uid="{00000000-0005-0000-0000-00007B040000}"/>
    <cellStyle name="Normal 105 3 2 2 2 3" xfId="11533" xr:uid="{00000000-0005-0000-0000-00007C040000}"/>
    <cellStyle name="Normal 105 3 2 2 3" xfId="6499" xr:uid="{00000000-0005-0000-0000-00007D040000}"/>
    <cellStyle name="Normal 105 3 2 2 3 2" xfId="15540" xr:uid="{00000000-0005-0000-0000-00007E040000}"/>
    <cellStyle name="Normal 105 3 2 2 4" xfId="11027" xr:uid="{00000000-0005-0000-0000-00007F040000}"/>
    <cellStyle name="Normal 105 3 2 3" xfId="2487" xr:uid="{00000000-0005-0000-0000-000080040000}"/>
    <cellStyle name="Normal 105 3 2 3 2" xfId="7004" xr:uid="{00000000-0005-0000-0000-000081040000}"/>
    <cellStyle name="Normal 105 3 2 3 2 2" xfId="16045" xr:uid="{00000000-0005-0000-0000-000082040000}"/>
    <cellStyle name="Normal 105 3 2 3 3" xfId="11532" xr:uid="{00000000-0005-0000-0000-000083040000}"/>
    <cellStyle name="Normal 105 3 2 4" xfId="5371" xr:uid="{00000000-0005-0000-0000-000084040000}"/>
    <cellStyle name="Normal 105 3 2 4 2" xfId="14412" xr:uid="{00000000-0005-0000-0000-000085040000}"/>
    <cellStyle name="Normal 105 3 2 5" xfId="9899" xr:uid="{00000000-0005-0000-0000-000086040000}"/>
    <cellStyle name="Normal 105 3 3" xfId="1412" xr:uid="{00000000-0005-0000-0000-000087040000}"/>
    <cellStyle name="Normal 105 3 3 2" xfId="2489" xr:uid="{00000000-0005-0000-0000-000088040000}"/>
    <cellStyle name="Normal 105 3 3 2 2" xfId="7006" xr:uid="{00000000-0005-0000-0000-000089040000}"/>
    <cellStyle name="Normal 105 3 3 2 2 2" xfId="16047" xr:uid="{00000000-0005-0000-0000-00008A040000}"/>
    <cellStyle name="Normal 105 3 3 2 3" xfId="11534" xr:uid="{00000000-0005-0000-0000-00008B040000}"/>
    <cellStyle name="Normal 105 3 3 3" xfId="5935" xr:uid="{00000000-0005-0000-0000-00008C040000}"/>
    <cellStyle name="Normal 105 3 3 3 2" xfId="14976" xr:uid="{00000000-0005-0000-0000-00008D040000}"/>
    <cellStyle name="Normal 105 3 3 4" xfId="10463" xr:uid="{00000000-0005-0000-0000-00008E040000}"/>
    <cellStyle name="Normal 105 3 4" xfId="2486" xr:uid="{00000000-0005-0000-0000-00008F040000}"/>
    <cellStyle name="Normal 105 3 4 2" xfId="7003" xr:uid="{00000000-0005-0000-0000-000090040000}"/>
    <cellStyle name="Normal 105 3 4 2 2" xfId="16044" xr:uid="{00000000-0005-0000-0000-000091040000}"/>
    <cellStyle name="Normal 105 3 4 3" xfId="11531" xr:uid="{00000000-0005-0000-0000-000092040000}"/>
    <cellStyle name="Normal 105 3 5" xfId="4807" xr:uid="{00000000-0005-0000-0000-000093040000}"/>
    <cellStyle name="Normal 105 3 5 2" xfId="13848" xr:uid="{00000000-0005-0000-0000-000094040000}"/>
    <cellStyle name="Normal 105 3 6" xfId="9335" xr:uid="{00000000-0005-0000-0000-000095040000}"/>
    <cellStyle name="Normal 105 4" xfId="430" xr:uid="{00000000-0005-0000-0000-000096040000}"/>
    <cellStyle name="Normal 105 4 2" xfId="994" xr:uid="{00000000-0005-0000-0000-000097040000}"/>
    <cellStyle name="Normal 105 4 2 2" xfId="2164" xr:uid="{00000000-0005-0000-0000-000098040000}"/>
    <cellStyle name="Normal 105 4 2 2 2" xfId="2492" xr:uid="{00000000-0005-0000-0000-000099040000}"/>
    <cellStyle name="Normal 105 4 2 2 2 2" xfId="7009" xr:uid="{00000000-0005-0000-0000-00009A040000}"/>
    <cellStyle name="Normal 105 4 2 2 2 2 2" xfId="16050" xr:uid="{00000000-0005-0000-0000-00009B040000}"/>
    <cellStyle name="Normal 105 4 2 2 2 3" xfId="11537" xr:uid="{00000000-0005-0000-0000-00009C040000}"/>
    <cellStyle name="Normal 105 4 2 2 3" xfId="6687" xr:uid="{00000000-0005-0000-0000-00009D040000}"/>
    <cellStyle name="Normal 105 4 2 2 3 2" xfId="15728" xr:uid="{00000000-0005-0000-0000-00009E040000}"/>
    <cellStyle name="Normal 105 4 2 2 4" xfId="11215" xr:uid="{00000000-0005-0000-0000-00009F040000}"/>
    <cellStyle name="Normal 105 4 2 3" xfId="2491" xr:uid="{00000000-0005-0000-0000-0000A0040000}"/>
    <cellStyle name="Normal 105 4 2 3 2" xfId="7008" xr:uid="{00000000-0005-0000-0000-0000A1040000}"/>
    <cellStyle name="Normal 105 4 2 3 2 2" xfId="16049" xr:uid="{00000000-0005-0000-0000-0000A2040000}"/>
    <cellStyle name="Normal 105 4 2 3 3" xfId="11536" xr:uid="{00000000-0005-0000-0000-0000A3040000}"/>
    <cellStyle name="Normal 105 4 2 4" xfId="5559" xr:uid="{00000000-0005-0000-0000-0000A4040000}"/>
    <cellStyle name="Normal 105 4 2 4 2" xfId="14600" xr:uid="{00000000-0005-0000-0000-0000A5040000}"/>
    <cellStyle name="Normal 105 4 2 5" xfId="10087" xr:uid="{00000000-0005-0000-0000-0000A6040000}"/>
    <cellStyle name="Normal 105 4 3" xfId="1600" xr:uid="{00000000-0005-0000-0000-0000A7040000}"/>
    <cellStyle name="Normal 105 4 3 2" xfId="2493" xr:uid="{00000000-0005-0000-0000-0000A8040000}"/>
    <cellStyle name="Normal 105 4 3 2 2" xfId="7010" xr:uid="{00000000-0005-0000-0000-0000A9040000}"/>
    <cellStyle name="Normal 105 4 3 2 2 2" xfId="16051" xr:uid="{00000000-0005-0000-0000-0000AA040000}"/>
    <cellStyle name="Normal 105 4 3 2 3" xfId="11538" xr:uid="{00000000-0005-0000-0000-0000AB040000}"/>
    <cellStyle name="Normal 105 4 3 3" xfId="6123" xr:uid="{00000000-0005-0000-0000-0000AC040000}"/>
    <cellStyle name="Normal 105 4 3 3 2" xfId="15164" xr:uid="{00000000-0005-0000-0000-0000AD040000}"/>
    <cellStyle name="Normal 105 4 3 4" xfId="10651" xr:uid="{00000000-0005-0000-0000-0000AE040000}"/>
    <cellStyle name="Normal 105 4 4" xfId="2490" xr:uid="{00000000-0005-0000-0000-0000AF040000}"/>
    <cellStyle name="Normal 105 4 4 2" xfId="7007" xr:uid="{00000000-0005-0000-0000-0000B0040000}"/>
    <cellStyle name="Normal 105 4 4 2 2" xfId="16048" xr:uid="{00000000-0005-0000-0000-0000B1040000}"/>
    <cellStyle name="Normal 105 4 4 3" xfId="11535" xr:uid="{00000000-0005-0000-0000-0000B2040000}"/>
    <cellStyle name="Normal 105 4 5" xfId="4995" xr:uid="{00000000-0005-0000-0000-0000B3040000}"/>
    <cellStyle name="Normal 105 4 5 2" xfId="14036" xr:uid="{00000000-0005-0000-0000-0000B4040000}"/>
    <cellStyle name="Normal 105 4 6" xfId="9523" xr:uid="{00000000-0005-0000-0000-0000B5040000}"/>
    <cellStyle name="Normal 105 5" xfId="618" xr:uid="{00000000-0005-0000-0000-0000B6040000}"/>
    <cellStyle name="Normal 105 5 2" xfId="1788" xr:uid="{00000000-0005-0000-0000-0000B7040000}"/>
    <cellStyle name="Normal 105 5 2 2" xfId="2495" xr:uid="{00000000-0005-0000-0000-0000B8040000}"/>
    <cellStyle name="Normal 105 5 2 2 2" xfId="7012" xr:uid="{00000000-0005-0000-0000-0000B9040000}"/>
    <cellStyle name="Normal 105 5 2 2 2 2" xfId="16053" xr:uid="{00000000-0005-0000-0000-0000BA040000}"/>
    <cellStyle name="Normal 105 5 2 2 3" xfId="11540" xr:uid="{00000000-0005-0000-0000-0000BB040000}"/>
    <cellStyle name="Normal 105 5 2 3" xfId="6311" xr:uid="{00000000-0005-0000-0000-0000BC040000}"/>
    <cellStyle name="Normal 105 5 2 3 2" xfId="15352" xr:uid="{00000000-0005-0000-0000-0000BD040000}"/>
    <cellStyle name="Normal 105 5 2 4" xfId="10839" xr:uid="{00000000-0005-0000-0000-0000BE040000}"/>
    <cellStyle name="Normal 105 5 3" xfId="2494" xr:uid="{00000000-0005-0000-0000-0000BF040000}"/>
    <cellStyle name="Normal 105 5 3 2" xfId="7011" xr:uid="{00000000-0005-0000-0000-0000C0040000}"/>
    <cellStyle name="Normal 105 5 3 2 2" xfId="16052" xr:uid="{00000000-0005-0000-0000-0000C1040000}"/>
    <cellStyle name="Normal 105 5 3 3" xfId="11539" xr:uid="{00000000-0005-0000-0000-0000C2040000}"/>
    <cellStyle name="Normal 105 5 4" xfId="5183" xr:uid="{00000000-0005-0000-0000-0000C3040000}"/>
    <cellStyle name="Normal 105 5 4 2" xfId="14224" xr:uid="{00000000-0005-0000-0000-0000C4040000}"/>
    <cellStyle name="Normal 105 5 5" xfId="9711" xr:uid="{00000000-0005-0000-0000-0000C5040000}"/>
    <cellStyle name="Normal 105 6" xfId="1224" xr:uid="{00000000-0005-0000-0000-0000C6040000}"/>
    <cellStyle name="Normal 105 6 2" xfId="2496" xr:uid="{00000000-0005-0000-0000-0000C7040000}"/>
    <cellStyle name="Normal 105 6 2 2" xfId="7013" xr:uid="{00000000-0005-0000-0000-0000C8040000}"/>
    <cellStyle name="Normal 105 6 2 2 2" xfId="16054" xr:uid="{00000000-0005-0000-0000-0000C9040000}"/>
    <cellStyle name="Normal 105 6 2 3" xfId="11541" xr:uid="{00000000-0005-0000-0000-0000CA040000}"/>
    <cellStyle name="Normal 105 6 3" xfId="5747" xr:uid="{00000000-0005-0000-0000-0000CB040000}"/>
    <cellStyle name="Normal 105 6 3 2" xfId="14788" xr:uid="{00000000-0005-0000-0000-0000CC040000}"/>
    <cellStyle name="Normal 105 6 4" xfId="10275" xr:uid="{00000000-0005-0000-0000-0000CD040000}"/>
    <cellStyle name="Normal 105 7" xfId="2473" xr:uid="{00000000-0005-0000-0000-0000CE040000}"/>
    <cellStyle name="Normal 105 7 2" xfId="6990" xr:uid="{00000000-0005-0000-0000-0000CF040000}"/>
    <cellStyle name="Normal 105 7 2 2" xfId="16031" xr:uid="{00000000-0005-0000-0000-0000D0040000}"/>
    <cellStyle name="Normal 105 7 3" xfId="11518" xr:uid="{00000000-0005-0000-0000-0000D1040000}"/>
    <cellStyle name="Normal 105 8" xfId="4619" xr:uid="{00000000-0005-0000-0000-0000D2040000}"/>
    <cellStyle name="Normal 105 8 2" xfId="13660" xr:uid="{00000000-0005-0000-0000-0000D3040000}"/>
    <cellStyle name="Normal 105 9" xfId="9147" xr:uid="{00000000-0005-0000-0000-0000D4040000}"/>
    <cellStyle name="Normal 106" xfId="12" xr:uid="{00000000-0005-0000-0000-0000D5040000}"/>
    <cellStyle name="Normal 106 2" xfId="108" xr:uid="{00000000-0005-0000-0000-0000D6040000}"/>
    <cellStyle name="Normal 106 2 2" xfId="337" xr:uid="{00000000-0005-0000-0000-0000D7040000}"/>
    <cellStyle name="Normal 106 2 2 2" xfId="901" xr:uid="{00000000-0005-0000-0000-0000D8040000}"/>
    <cellStyle name="Normal 106 2 2 2 2" xfId="2071" xr:uid="{00000000-0005-0000-0000-0000D9040000}"/>
    <cellStyle name="Normal 106 2 2 2 2 2" xfId="2501" xr:uid="{00000000-0005-0000-0000-0000DA040000}"/>
    <cellStyle name="Normal 106 2 2 2 2 2 2" xfId="7018" xr:uid="{00000000-0005-0000-0000-0000DB040000}"/>
    <cellStyle name="Normal 106 2 2 2 2 2 2 2" xfId="16059" xr:uid="{00000000-0005-0000-0000-0000DC040000}"/>
    <cellStyle name="Normal 106 2 2 2 2 2 3" xfId="11546" xr:uid="{00000000-0005-0000-0000-0000DD040000}"/>
    <cellStyle name="Normal 106 2 2 2 2 3" xfId="6594" xr:uid="{00000000-0005-0000-0000-0000DE040000}"/>
    <cellStyle name="Normal 106 2 2 2 2 3 2" xfId="15635" xr:uid="{00000000-0005-0000-0000-0000DF040000}"/>
    <cellStyle name="Normal 106 2 2 2 2 4" xfId="11122" xr:uid="{00000000-0005-0000-0000-0000E0040000}"/>
    <cellStyle name="Normal 106 2 2 2 3" xfId="2500" xr:uid="{00000000-0005-0000-0000-0000E1040000}"/>
    <cellStyle name="Normal 106 2 2 2 3 2" xfId="7017" xr:uid="{00000000-0005-0000-0000-0000E2040000}"/>
    <cellStyle name="Normal 106 2 2 2 3 2 2" xfId="16058" xr:uid="{00000000-0005-0000-0000-0000E3040000}"/>
    <cellStyle name="Normal 106 2 2 2 3 3" xfId="11545" xr:uid="{00000000-0005-0000-0000-0000E4040000}"/>
    <cellStyle name="Normal 106 2 2 2 4" xfId="5466" xr:uid="{00000000-0005-0000-0000-0000E5040000}"/>
    <cellStyle name="Normal 106 2 2 2 4 2" xfId="14507" xr:uid="{00000000-0005-0000-0000-0000E6040000}"/>
    <cellStyle name="Normal 106 2 2 2 5" xfId="9994" xr:uid="{00000000-0005-0000-0000-0000E7040000}"/>
    <cellStyle name="Normal 106 2 2 3" xfId="1507" xr:uid="{00000000-0005-0000-0000-0000E8040000}"/>
    <cellStyle name="Normal 106 2 2 3 2" xfId="2502" xr:uid="{00000000-0005-0000-0000-0000E9040000}"/>
    <cellStyle name="Normal 106 2 2 3 2 2" xfId="7019" xr:uid="{00000000-0005-0000-0000-0000EA040000}"/>
    <cellStyle name="Normal 106 2 2 3 2 2 2" xfId="16060" xr:uid="{00000000-0005-0000-0000-0000EB040000}"/>
    <cellStyle name="Normal 106 2 2 3 2 3" xfId="11547" xr:uid="{00000000-0005-0000-0000-0000EC040000}"/>
    <cellStyle name="Normal 106 2 2 3 3" xfId="6030" xr:uid="{00000000-0005-0000-0000-0000ED040000}"/>
    <cellStyle name="Normal 106 2 2 3 3 2" xfId="15071" xr:uid="{00000000-0005-0000-0000-0000EE040000}"/>
    <cellStyle name="Normal 106 2 2 3 4" xfId="10558" xr:uid="{00000000-0005-0000-0000-0000EF040000}"/>
    <cellStyle name="Normal 106 2 2 4" xfId="2499" xr:uid="{00000000-0005-0000-0000-0000F0040000}"/>
    <cellStyle name="Normal 106 2 2 4 2" xfId="7016" xr:uid="{00000000-0005-0000-0000-0000F1040000}"/>
    <cellStyle name="Normal 106 2 2 4 2 2" xfId="16057" xr:uid="{00000000-0005-0000-0000-0000F2040000}"/>
    <cellStyle name="Normal 106 2 2 4 3" xfId="11544" xr:uid="{00000000-0005-0000-0000-0000F3040000}"/>
    <cellStyle name="Normal 106 2 2 5" xfId="4902" xr:uid="{00000000-0005-0000-0000-0000F4040000}"/>
    <cellStyle name="Normal 106 2 2 5 2" xfId="13943" xr:uid="{00000000-0005-0000-0000-0000F5040000}"/>
    <cellStyle name="Normal 106 2 2 6" xfId="9430" xr:uid="{00000000-0005-0000-0000-0000F6040000}"/>
    <cellStyle name="Normal 106 2 3" xfId="525" xr:uid="{00000000-0005-0000-0000-0000F7040000}"/>
    <cellStyle name="Normal 106 2 3 2" xfId="1089" xr:uid="{00000000-0005-0000-0000-0000F8040000}"/>
    <cellStyle name="Normal 106 2 3 2 2" xfId="2259" xr:uid="{00000000-0005-0000-0000-0000F9040000}"/>
    <cellStyle name="Normal 106 2 3 2 2 2" xfId="2505" xr:uid="{00000000-0005-0000-0000-0000FA040000}"/>
    <cellStyle name="Normal 106 2 3 2 2 2 2" xfId="7022" xr:uid="{00000000-0005-0000-0000-0000FB040000}"/>
    <cellStyle name="Normal 106 2 3 2 2 2 2 2" xfId="16063" xr:uid="{00000000-0005-0000-0000-0000FC040000}"/>
    <cellStyle name="Normal 106 2 3 2 2 2 3" xfId="11550" xr:uid="{00000000-0005-0000-0000-0000FD040000}"/>
    <cellStyle name="Normal 106 2 3 2 2 3" xfId="6782" xr:uid="{00000000-0005-0000-0000-0000FE040000}"/>
    <cellStyle name="Normal 106 2 3 2 2 3 2" xfId="15823" xr:uid="{00000000-0005-0000-0000-0000FF040000}"/>
    <cellStyle name="Normal 106 2 3 2 2 4" xfId="11310" xr:uid="{00000000-0005-0000-0000-000000050000}"/>
    <cellStyle name="Normal 106 2 3 2 3" xfId="2504" xr:uid="{00000000-0005-0000-0000-000001050000}"/>
    <cellStyle name="Normal 106 2 3 2 3 2" xfId="7021" xr:uid="{00000000-0005-0000-0000-000002050000}"/>
    <cellStyle name="Normal 106 2 3 2 3 2 2" xfId="16062" xr:uid="{00000000-0005-0000-0000-000003050000}"/>
    <cellStyle name="Normal 106 2 3 2 3 3" xfId="11549" xr:uid="{00000000-0005-0000-0000-000004050000}"/>
    <cellStyle name="Normal 106 2 3 2 4" xfId="5654" xr:uid="{00000000-0005-0000-0000-000005050000}"/>
    <cellStyle name="Normal 106 2 3 2 4 2" xfId="14695" xr:uid="{00000000-0005-0000-0000-000006050000}"/>
    <cellStyle name="Normal 106 2 3 2 5" xfId="10182" xr:uid="{00000000-0005-0000-0000-000007050000}"/>
    <cellStyle name="Normal 106 2 3 3" xfId="1695" xr:uid="{00000000-0005-0000-0000-000008050000}"/>
    <cellStyle name="Normal 106 2 3 3 2" xfId="2506" xr:uid="{00000000-0005-0000-0000-000009050000}"/>
    <cellStyle name="Normal 106 2 3 3 2 2" xfId="7023" xr:uid="{00000000-0005-0000-0000-00000A050000}"/>
    <cellStyle name="Normal 106 2 3 3 2 2 2" xfId="16064" xr:uid="{00000000-0005-0000-0000-00000B050000}"/>
    <cellStyle name="Normal 106 2 3 3 2 3" xfId="11551" xr:uid="{00000000-0005-0000-0000-00000C050000}"/>
    <cellStyle name="Normal 106 2 3 3 3" xfId="6218" xr:uid="{00000000-0005-0000-0000-00000D050000}"/>
    <cellStyle name="Normal 106 2 3 3 3 2" xfId="15259" xr:uid="{00000000-0005-0000-0000-00000E050000}"/>
    <cellStyle name="Normal 106 2 3 3 4" xfId="10746" xr:uid="{00000000-0005-0000-0000-00000F050000}"/>
    <cellStyle name="Normal 106 2 3 4" xfId="2503" xr:uid="{00000000-0005-0000-0000-000010050000}"/>
    <cellStyle name="Normal 106 2 3 4 2" xfId="7020" xr:uid="{00000000-0005-0000-0000-000011050000}"/>
    <cellStyle name="Normal 106 2 3 4 2 2" xfId="16061" xr:uid="{00000000-0005-0000-0000-000012050000}"/>
    <cellStyle name="Normal 106 2 3 4 3" xfId="11548" xr:uid="{00000000-0005-0000-0000-000013050000}"/>
    <cellStyle name="Normal 106 2 3 5" xfId="5090" xr:uid="{00000000-0005-0000-0000-000014050000}"/>
    <cellStyle name="Normal 106 2 3 5 2" xfId="14131" xr:uid="{00000000-0005-0000-0000-000015050000}"/>
    <cellStyle name="Normal 106 2 3 6" xfId="9618" xr:uid="{00000000-0005-0000-0000-000016050000}"/>
    <cellStyle name="Normal 106 2 4" xfId="713" xr:uid="{00000000-0005-0000-0000-000017050000}"/>
    <cellStyle name="Normal 106 2 4 2" xfId="1883" xr:uid="{00000000-0005-0000-0000-000018050000}"/>
    <cellStyle name="Normal 106 2 4 2 2" xfId="2508" xr:uid="{00000000-0005-0000-0000-000019050000}"/>
    <cellStyle name="Normal 106 2 4 2 2 2" xfId="7025" xr:uid="{00000000-0005-0000-0000-00001A050000}"/>
    <cellStyle name="Normal 106 2 4 2 2 2 2" xfId="16066" xr:uid="{00000000-0005-0000-0000-00001B050000}"/>
    <cellStyle name="Normal 106 2 4 2 2 3" xfId="11553" xr:uid="{00000000-0005-0000-0000-00001C050000}"/>
    <cellStyle name="Normal 106 2 4 2 3" xfId="6406" xr:uid="{00000000-0005-0000-0000-00001D050000}"/>
    <cellStyle name="Normal 106 2 4 2 3 2" xfId="15447" xr:uid="{00000000-0005-0000-0000-00001E050000}"/>
    <cellStyle name="Normal 106 2 4 2 4" xfId="10934" xr:uid="{00000000-0005-0000-0000-00001F050000}"/>
    <cellStyle name="Normal 106 2 4 3" xfId="2507" xr:uid="{00000000-0005-0000-0000-000020050000}"/>
    <cellStyle name="Normal 106 2 4 3 2" xfId="7024" xr:uid="{00000000-0005-0000-0000-000021050000}"/>
    <cellStyle name="Normal 106 2 4 3 2 2" xfId="16065" xr:uid="{00000000-0005-0000-0000-000022050000}"/>
    <cellStyle name="Normal 106 2 4 3 3" xfId="11552" xr:uid="{00000000-0005-0000-0000-000023050000}"/>
    <cellStyle name="Normal 106 2 4 4" xfId="5278" xr:uid="{00000000-0005-0000-0000-000024050000}"/>
    <cellStyle name="Normal 106 2 4 4 2" xfId="14319" xr:uid="{00000000-0005-0000-0000-000025050000}"/>
    <cellStyle name="Normal 106 2 4 5" xfId="9806" xr:uid="{00000000-0005-0000-0000-000026050000}"/>
    <cellStyle name="Normal 106 2 5" xfId="1319" xr:uid="{00000000-0005-0000-0000-000027050000}"/>
    <cellStyle name="Normal 106 2 5 2" xfId="2509" xr:uid="{00000000-0005-0000-0000-000028050000}"/>
    <cellStyle name="Normal 106 2 5 2 2" xfId="7026" xr:uid="{00000000-0005-0000-0000-000029050000}"/>
    <cellStyle name="Normal 106 2 5 2 2 2" xfId="16067" xr:uid="{00000000-0005-0000-0000-00002A050000}"/>
    <cellStyle name="Normal 106 2 5 2 3" xfId="11554" xr:uid="{00000000-0005-0000-0000-00002B050000}"/>
    <cellStyle name="Normal 106 2 5 3" xfId="5842" xr:uid="{00000000-0005-0000-0000-00002C050000}"/>
    <cellStyle name="Normal 106 2 5 3 2" xfId="14883" xr:uid="{00000000-0005-0000-0000-00002D050000}"/>
    <cellStyle name="Normal 106 2 5 4" xfId="10370" xr:uid="{00000000-0005-0000-0000-00002E050000}"/>
    <cellStyle name="Normal 106 2 6" xfId="2498" xr:uid="{00000000-0005-0000-0000-00002F050000}"/>
    <cellStyle name="Normal 106 2 6 2" xfId="7015" xr:uid="{00000000-0005-0000-0000-000030050000}"/>
    <cellStyle name="Normal 106 2 6 2 2" xfId="16056" xr:uid="{00000000-0005-0000-0000-000031050000}"/>
    <cellStyle name="Normal 106 2 6 3" xfId="11543" xr:uid="{00000000-0005-0000-0000-000032050000}"/>
    <cellStyle name="Normal 106 2 7" xfId="4714" xr:uid="{00000000-0005-0000-0000-000033050000}"/>
    <cellStyle name="Normal 106 2 7 2" xfId="13755" xr:uid="{00000000-0005-0000-0000-000034050000}"/>
    <cellStyle name="Normal 106 2 8" xfId="9242" xr:uid="{00000000-0005-0000-0000-000035050000}"/>
    <cellStyle name="Normal 106 3" xfId="243" xr:uid="{00000000-0005-0000-0000-000036050000}"/>
    <cellStyle name="Normal 106 3 2" xfId="807" xr:uid="{00000000-0005-0000-0000-000037050000}"/>
    <cellStyle name="Normal 106 3 2 2" xfId="1977" xr:uid="{00000000-0005-0000-0000-000038050000}"/>
    <cellStyle name="Normal 106 3 2 2 2" xfId="2512" xr:uid="{00000000-0005-0000-0000-000039050000}"/>
    <cellStyle name="Normal 106 3 2 2 2 2" xfId="7029" xr:uid="{00000000-0005-0000-0000-00003A050000}"/>
    <cellStyle name="Normal 106 3 2 2 2 2 2" xfId="16070" xr:uid="{00000000-0005-0000-0000-00003B050000}"/>
    <cellStyle name="Normal 106 3 2 2 2 3" xfId="11557" xr:uid="{00000000-0005-0000-0000-00003C050000}"/>
    <cellStyle name="Normal 106 3 2 2 3" xfId="6500" xr:uid="{00000000-0005-0000-0000-00003D050000}"/>
    <cellStyle name="Normal 106 3 2 2 3 2" xfId="15541" xr:uid="{00000000-0005-0000-0000-00003E050000}"/>
    <cellStyle name="Normal 106 3 2 2 4" xfId="11028" xr:uid="{00000000-0005-0000-0000-00003F050000}"/>
    <cellStyle name="Normal 106 3 2 3" xfId="2511" xr:uid="{00000000-0005-0000-0000-000040050000}"/>
    <cellStyle name="Normal 106 3 2 3 2" xfId="7028" xr:uid="{00000000-0005-0000-0000-000041050000}"/>
    <cellStyle name="Normal 106 3 2 3 2 2" xfId="16069" xr:uid="{00000000-0005-0000-0000-000042050000}"/>
    <cellStyle name="Normal 106 3 2 3 3" xfId="11556" xr:uid="{00000000-0005-0000-0000-000043050000}"/>
    <cellStyle name="Normal 106 3 2 4" xfId="5372" xr:uid="{00000000-0005-0000-0000-000044050000}"/>
    <cellStyle name="Normal 106 3 2 4 2" xfId="14413" xr:uid="{00000000-0005-0000-0000-000045050000}"/>
    <cellStyle name="Normal 106 3 2 5" xfId="9900" xr:uid="{00000000-0005-0000-0000-000046050000}"/>
    <cellStyle name="Normal 106 3 3" xfId="1413" xr:uid="{00000000-0005-0000-0000-000047050000}"/>
    <cellStyle name="Normal 106 3 3 2" xfId="2513" xr:uid="{00000000-0005-0000-0000-000048050000}"/>
    <cellStyle name="Normal 106 3 3 2 2" xfId="7030" xr:uid="{00000000-0005-0000-0000-000049050000}"/>
    <cellStyle name="Normal 106 3 3 2 2 2" xfId="16071" xr:uid="{00000000-0005-0000-0000-00004A050000}"/>
    <cellStyle name="Normal 106 3 3 2 3" xfId="11558" xr:uid="{00000000-0005-0000-0000-00004B050000}"/>
    <cellStyle name="Normal 106 3 3 3" xfId="5936" xr:uid="{00000000-0005-0000-0000-00004C050000}"/>
    <cellStyle name="Normal 106 3 3 3 2" xfId="14977" xr:uid="{00000000-0005-0000-0000-00004D050000}"/>
    <cellStyle name="Normal 106 3 3 4" xfId="10464" xr:uid="{00000000-0005-0000-0000-00004E050000}"/>
    <cellStyle name="Normal 106 3 4" xfId="2510" xr:uid="{00000000-0005-0000-0000-00004F050000}"/>
    <cellStyle name="Normal 106 3 4 2" xfId="7027" xr:uid="{00000000-0005-0000-0000-000050050000}"/>
    <cellStyle name="Normal 106 3 4 2 2" xfId="16068" xr:uid="{00000000-0005-0000-0000-000051050000}"/>
    <cellStyle name="Normal 106 3 4 3" xfId="11555" xr:uid="{00000000-0005-0000-0000-000052050000}"/>
    <cellStyle name="Normal 106 3 5" xfId="4808" xr:uid="{00000000-0005-0000-0000-000053050000}"/>
    <cellStyle name="Normal 106 3 5 2" xfId="13849" xr:uid="{00000000-0005-0000-0000-000054050000}"/>
    <cellStyle name="Normal 106 3 6" xfId="9336" xr:uid="{00000000-0005-0000-0000-000055050000}"/>
    <cellStyle name="Normal 106 4" xfId="431" xr:uid="{00000000-0005-0000-0000-000056050000}"/>
    <cellStyle name="Normal 106 4 2" xfId="995" xr:uid="{00000000-0005-0000-0000-000057050000}"/>
    <cellStyle name="Normal 106 4 2 2" xfId="2165" xr:uid="{00000000-0005-0000-0000-000058050000}"/>
    <cellStyle name="Normal 106 4 2 2 2" xfId="2516" xr:uid="{00000000-0005-0000-0000-000059050000}"/>
    <cellStyle name="Normal 106 4 2 2 2 2" xfId="7033" xr:uid="{00000000-0005-0000-0000-00005A050000}"/>
    <cellStyle name="Normal 106 4 2 2 2 2 2" xfId="16074" xr:uid="{00000000-0005-0000-0000-00005B050000}"/>
    <cellStyle name="Normal 106 4 2 2 2 3" xfId="11561" xr:uid="{00000000-0005-0000-0000-00005C050000}"/>
    <cellStyle name="Normal 106 4 2 2 3" xfId="6688" xr:uid="{00000000-0005-0000-0000-00005D050000}"/>
    <cellStyle name="Normal 106 4 2 2 3 2" xfId="15729" xr:uid="{00000000-0005-0000-0000-00005E050000}"/>
    <cellStyle name="Normal 106 4 2 2 4" xfId="11216" xr:uid="{00000000-0005-0000-0000-00005F050000}"/>
    <cellStyle name="Normal 106 4 2 3" xfId="2515" xr:uid="{00000000-0005-0000-0000-000060050000}"/>
    <cellStyle name="Normal 106 4 2 3 2" xfId="7032" xr:uid="{00000000-0005-0000-0000-000061050000}"/>
    <cellStyle name="Normal 106 4 2 3 2 2" xfId="16073" xr:uid="{00000000-0005-0000-0000-000062050000}"/>
    <cellStyle name="Normal 106 4 2 3 3" xfId="11560" xr:uid="{00000000-0005-0000-0000-000063050000}"/>
    <cellStyle name="Normal 106 4 2 4" xfId="5560" xr:uid="{00000000-0005-0000-0000-000064050000}"/>
    <cellStyle name="Normal 106 4 2 4 2" xfId="14601" xr:uid="{00000000-0005-0000-0000-000065050000}"/>
    <cellStyle name="Normal 106 4 2 5" xfId="10088" xr:uid="{00000000-0005-0000-0000-000066050000}"/>
    <cellStyle name="Normal 106 4 3" xfId="1601" xr:uid="{00000000-0005-0000-0000-000067050000}"/>
    <cellStyle name="Normal 106 4 3 2" xfId="2517" xr:uid="{00000000-0005-0000-0000-000068050000}"/>
    <cellStyle name="Normal 106 4 3 2 2" xfId="7034" xr:uid="{00000000-0005-0000-0000-000069050000}"/>
    <cellStyle name="Normal 106 4 3 2 2 2" xfId="16075" xr:uid="{00000000-0005-0000-0000-00006A050000}"/>
    <cellStyle name="Normal 106 4 3 2 3" xfId="11562" xr:uid="{00000000-0005-0000-0000-00006B050000}"/>
    <cellStyle name="Normal 106 4 3 3" xfId="6124" xr:uid="{00000000-0005-0000-0000-00006C050000}"/>
    <cellStyle name="Normal 106 4 3 3 2" xfId="15165" xr:uid="{00000000-0005-0000-0000-00006D050000}"/>
    <cellStyle name="Normal 106 4 3 4" xfId="10652" xr:uid="{00000000-0005-0000-0000-00006E050000}"/>
    <cellStyle name="Normal 106 4 4" xfId="2514" xr:uid="{00000000-0005-0000-0000-00006F050000}"/>
    <cellStyle name="Normal 106 4 4 2" xfId="7031" xr:uid="{00000000-0005-0000-0000-000070050000}"/>
    <cellStyle name="Normal 106 4 4 2 2" xfId="16072" xr:uid="{00000000-0005-0000-0000-000071050000}"/>
    <cellStyle name="Normal 106 4 4 3" xfId="11559" xr:uid="{00000000-0005-0000-0000-000072050000}"/>
    <cellStyle name="Normal 106 4 5" xfId="4996" xr:uid="{00000000-0005-0000-0000-000073050000}"/>
    <cellStyle name="Normal 106 4 5 2" xfId="14037" xr:uid="{00000000-0005-0000-0000-000074050000}"/>
    <cellStyle name="Normal 106 4 6" xfId="9524" xr:uid="{00000000-0005-0000-0000-000075050000}"/>
    <cellStyle name="Normal 106 5" xfId="619" xr:uid="{00000000-0005-0000-0000-000076050000}"/>
    <cellStyle name="Normal 106 5 2" xfId="1789" xr:uid="{00000000-0005-0000-0000-000077050000}"/>
    <cellStyle name="Normal 106 5 2 2" xfId="2519" xr:uid="{00000000-0005-0000-0000-000078050000}"/>
    <cellStyle name="Normal 106 5 2 2 2" xfId="7036" xr:uid="{00000000-0005-0000-0000-000079050000}"/>
    <cellStyle name="Normal 106 5 2 2 2 2" xfId="16077" xr:uid="{00000000-0005-0000-0000-00007A050000}"/>
    <cellStyle name="Normal 106 5 2 2 3" xfId="11564" xr:uid="{00000000-0005-0000-0000-00007B050000}"/>
    <cellStyle name="Normal 106 5 2 3" xfId="6312" xr:uid="{00000000-0005-0000-0000-00007C050000}"/>
    <cellStyle name="Normal 106 5 2 3 2" xfId="15353" xr:uid="{00000000-0005-0000-0000-00007D050000}"/>
    <cellStyle name="Normal 106 5 2 4" xfId="10840" xr:uid="{00000000-0005-0000-0000-00007E050000}"/>
    <cellStyle name="Normal 106 5 3" xfId="2518" xr:uid="{00000000-0005-0000-0000-00007F050000}"/>
    <cellStyle name="Normal 106 5 3 2" xfId="7035" xr:uid="{00000000-0005-0000-0000-000080050000}"/>
    <cellStyle name="Normal 106 5 3 2 2" xfId="16076" xr:uid="{00000000-0005-0000-0000-000081050000}"/>
    <cellStyle name="Normal 106 5 3 3" xfId="11563" xr:uid="{00000000-0005-0000-0000-000082050000}"/>
    <cellStyle name="Normal 106 5 4" xfId="5184" xr:uid="{00000000-0005-0000-0000-000083050000}"/>
    <cellStyle name="Normal 106 5 4 2" xfId="14225" xr:uid="{00000000-0005-0000-0000-000084050000}"/>
    <cellStyle name="Normal 106 5 5" xfId="9712" xr:uid="{00000000-0005-0000-0000-000085050000}"/>
    <cellStyle name="Normal 106 6" xfId="1225" xr:uid="{00000000-0005-0000-0000-000086050000}"/>
    <cellStyle name="Normal 106 6 2" xfId="2520" xr:uid="{00000000-0005-0000-0000-000087050000}"/>
    <cellStyle name="Normal 106 6 2 2" xfId="7037" xr:uid="{00000000-0005-0000-0000-000088050000}"/>
    <cellStyle name="Normal 106 6 2 2 2" xfId="16078" xr:uid="{00000000-0005-0000-0000-000089050000}"/>
    <cellStyle name="Normal 106 6 2 3" xfId="11565" xr:uid="{00000000-0005-0000-0000-00008A050000}"/>
    <cellStyle name="Normal 106 6 3" xfId="5748" xr:uid="{00000000-0005-0000-0000-00008B050000}"/>
    <cellStyle name="Normal 106 6 3 2" xfId="14789" xr:uid="{00000000-0005-0000-0000-00008C050000}"/>
    <cellStyle name="Normal 106 6 4" xfId="10276" xr:uid="{00000000-0005-0000-0000-00008D050000}"/>
    <cellStyle name="Normal 106 7" xfId="2497" xr:uid="{00000000-0005-0000-0000-00008E050000}"/>
    <cellStyle name="Normal 106 7 2" xfId="7014" xr:uid="{00000000-0005-0000-0000-00008F050000}"/>
    <cellStyle name="Normal 106 7 2 2" xfId="16055" xr:uid="{00000000-0005-0000-0000-000090050000}"/>
    <cellStyle name="Normal 106 7 3" xfId="11542" xr:uid="{00000000-0005-0000-0000-000091050000}"/>
    <cellStyle name="Normal 106 8" xfId="4620" xr:uid="{00000000-0005-0000-0000-000092050000}"/>
    <cellStyle name="Normal 106 8 2" xfId="13661" xr:uid="{00000000-0005-0000-0000-000093050000}"/>
    <cellStyle name="Normal 106 9" xfId="9148" xr:uid="{00000000-0005-0000-0000-000094050000}"/>
    <cellStyle name="Normal 107" xfId="13" xr:uid="{00000000-0005-0000-0000-000095050000}"/>
    <cellStyle name="Normal 107 2" xfId="109" xr:uid="{00000000-0005-0000-0000-000096050000}"/>
    <cellStyle name="Normal 107 2 2" xfId="338" xr:uid="{00000000-0005-0000-0000-000097050000}"/>
    <cellStyle name="Normal 107 2 2 2" xfId="902" xr:uid="{00000000-0005-0000-0000-000098050000}"/>
    <cellStyle name="Normal 107 2 2 2 2" xfId="2072" xr:uid="{00000000-0005-0000-0000-000099050000}"/>
    <cellStyle name="Normal 107 2 2 2 2 2" xfId="2525" xr:uid="{00000000-0005-0000-0000-00009A050000}"/>
    <cellStyle name="Normal 107 2 2 2 2 2 2" xfId="7042" xr:uid="{00000000-0005-0000-0000-00009B050000}"/>
    <cellStyle name="Normal 107 2 2 2 2 2 2 2" xfId="16083" xr:uid="{00000000-0005-0000-0000-00009C050000}"/>
    <cellStyle name="Normal 107 2 2 2 2 2 3" xfId="11570" xr:uid="{00000000-0005-0000-0000-00009D050000}"/>
    <cellStyle name="Normal 107 2 2 2 2 3" xfId="6595" xr:uid="{00000000-0005-0000-0000-00009E050000}"/>
    <cellStyle name="Normal 107 2 2 2 2 3 2" xfId="15636" xr:uid="{00000000-0005-0000-0000-00009F050000}"/>
    <cellStyle name="Normal 107 2 2 2 2 4" xfId="11123" xr:uid="{00000000-0005-0000-0000-0000A0050000}"/>
    <cellStyle name="Normal 107 2 2 2 3" xfId="2524" xr:uid="{00000000-0005-0000-0000-0000A1050000}"/>
    <cellStyle name="Normal 107 2 2 2 3 2" xfId="7041" xr:uid="{00000000-0005-0000-0000-0000A2050000}"/>
    <cellStyle name="Normal 107 2 2 2 3 2 2" xfId="16082" xr:uid="{00000000-0005-0000-0000-0000A3050000}"/>
    <cellStyle name="Normal 107 2 2 2 3 3" xfId="11569" xr:uid="{00000000-0005-0000-0000-0000A4050000}"/>
    <cellStyle name="Normal 107 2 2 2 4" xfId="5467" xr:uid="{00000000-0005-0000-0000-0000A5050000}"/>
    <cellStyle name="Normal 107 2 2 2 4 2" xfId="14508" xr:uid="{00000000-0005-0000-0000-0000A6050000}"/>
    <cellStyle name="Normal 107 2 2 2 5" xfId="9995" xr:uid="{00000000-0005-0000-0000-0000A7050000}"/>
    <cellStyle name="Normal 107 2 2 3" xfId="1508" xr:uid="{00000000-0005-0000-0000-0000A8050000}"/>
    <cellStyle name="Normal 107 2 2 3 2" xfId="2526" xr:uid="{00000000-0005-0000-0000-0000A9050000}"/>
    <cellStyle name="Normal 107 2 2 3 2 2" xfId="7043" xr:uid="{00000000-0005-0000-0000-0000AA050000}"/>
    <cellStyle name="Normal 107 2 2 3 2 2 2" xfId="16084" xr:uid="{00000000-0005-0000-0000-0000AB050000}"/>
    <cellStyle name="Normal 107 2 2 3 2 3" xfId="11571" xr:uid="{00000000-0005-0000-0000-0000AC050000}"/>
    <cellStyle name="Normal 107 2 2 3 3" xfId="6031" xr:uid="{00000000-0005-0000-0000-0000AD050000}"/>
    <cellStyle name="Normal 107 2 2 3 3 2" xfId="15072" xr:uid="{00000000-0005-0000-0000-0000AE050000}"/>
    <cellStyle name="Normal 107 2 2 3 4" xfId="10559" xr:uid="{00000000-0005-0000-0000-0000AF050000}"/>
    <cellStyle name="Normal 107 2 2 4" xfId="2523" xr:uid="{00000000-0005-0000-0000-0000B0050000}"/>
    <cellStyle name="Normal 107 2 2 4 2" xfId="7040" xr:uid="{00000000-0005-0000-0000-0000B1050000}"/>
    <cellStyle name="Normal 107 2 2 4 2 2" xfId="16081" xr:uid="{00000000-0005-0000-0000-0000B2050000}"/>
    <cellStyle name="Normal 107 2 2 4 3" xfId="11568" xr:uid="{00000000-0005-0000-0000-0000B3050000}"/>
    <cellStyle name="Normal 107 2 2 5" xfId="4903" xr:uid="{00000000-0005-0000-0000-0000B4050000}"/>
    <cellStyle name="Normal 107 2 2 5 2" xfId="13944" xr:uid="{00000000-0005-0000-0000-0000B5050000}"/>
    <cellStyle name="Normal 107 2 2 6" xfId="9431" xr:uid="{00000000-0005-0000-0000-0000B6050000}"/>
    <cellStyle name="Normal 107 2 3" xfId="526" xr:uid="{00000000-0005-0000-0000-0000B7050000}"/>
    <cellStyle name="Normal 107 2 3 2" xfId="1090" xr:uid="{00000000-0005-0000-0000-0000B8050000}"/>
    <cellStyle name="Normal 107 2 3 2 2" xfId="2260" xr:uid="{00000000-0005-0000-0000-0000B9050000}"/>
    <cellStyle name="Normal 107 2 3 2 2 2" xfId="2529" xr:uid="{00000000-0005-0000-0000-0000BA050000}"/>
    <cellStyle name="Normal 107 2 3 2 2 2 2" xfId="7046" xr:uid="{00000000-0005-0000-0000-0000BB050000}"/>
    <cellStyle name="Normal 107 2 3 2 2 2 2 2" xfId="16087" xr:uid="{00000000-0005-0000-0000-0000BC050000}"/>
    <cellStyle name="Normal 107 2 3 2 2 2 3" xfId="11574" xr:uid="{00000000-0005-0000-0000-0000BD050000}"/>
    <cellStyle name="Normal 107 2 3 2 2 3" xfId="6783" xr:uid="{00000000-0005-0000-0000-0000BE050000}"/>
    <cellStyle name="Normal 107 2 3 2 2 3 2" xfId="15824" xr:uid="{00000000-0005-0000-0000-0000BF050000}"/>
    <cellStyle name="Normal 107 2 3 2 2 4" xfId="11311" xr:uid="{00000000-0005-0000-0000-0000C0050000}"/>
    <cellStyle name="Normal 107 2 3 2 3" xfId="2528" xr:uid="{00000000-0005-0000-0000-0000C1050000}"/>
    <cellStyle name="Normal 107 2 3 2 3 2" xfId="7045" xr:uid="{00000000-0005-0000-0000-0000C2050000}"/>
    <cellStyle name="Normal 107 2 3 2 3 2 2" xfId="16086" xr:uid="{00000000-0005-0000-0000-0000C3050000}"/>
    <cellStyle name="Normal 107 2 3 2 3 3" xfId="11573" xr:uid="{00000000-0005-0000-0000-0000C4050000}"/>
    <cellStyle name="Normal 107 2 3 2 4" xfId="5655" xr:uid="{00000000-0005-0000-0000-0000C5050000}"/>
    <cellStyle name="Normal 107 2 3 2 4 2" xfId="14696" xr:uid="{00000000-0005-0000-0000-0000C6050000}"/>
    <cellStyle name="Normal 107 2 3 2 5" xfId="10183" xr:uid="{00000000-0005-0000-0000-0000C7050000}"/>
    <cellStyle name="Normal 107 2 3 3" xfId="1696" xr:uid="{00000000-0005-0000-0000-0000C8050000}"/>
    <cellStyle name="Normal 107 2 3 3 2" xfId="2530" xr:uid="{00000000-0005-0000-0000-0000C9050000}"/>
    <cellStyle name="Normal 107 2 3 3 2 2" xfId="7047" xr:uid="{00000000-0005-0000-0000-0000CA050000}"/>
    <cellStyle name="Normal 107 2 3 3 2 2 2" xfId="16088" xr:uid="{00000000-0005-0000-0000-0000CB050000}"/>
    <cellStyle name="Normal 107 2 3 3 2 3" xfId="11575" xr:uid="{00000000-0005-0000-0000-0000CC050000}"/>
    <cellStyle name="Normal 107 2 3 3 3" xfId="6219" xr:uid="{00000000-0005-0000-0000-0000CD050000}"/>
    <cellStyle name="Normal 107 2 3 3 3 2" xfId="15260" xr:uid="{00000000-0005-0000-0000-0000CE050000}"/>
    <cellStyle name="Normal 107 2 3 3 4" xfId="10747" xr:uid="{00000000-0005-0000-0000-0000CF050000}"/>
    <cellStyle name="Normal 107 2 3 4" xfId="2527" xr:uid="{00000000-0005-0000-0000-0000D0050000}"/>
    <cellStyle name="Normal 107 2 3 4 2" xfId="7044" xr:uid="{00000000-0005-0000-0000-0000D1050000}"/>
    <cellStyle name="Normal 107 2 3 4 2 2" xfId="16085" xr:uid="{00000000-0005-0000-0000-0000D2050000}"/>
    <cellStyle name="Normal 107 2 3 4 3" xfId="11572" xr:uid="{00000000-0005-0000-0000-0000D3050000}"/>
    <cellStyle name="Normal 107 2 3 5" xfId="5091" xr:uid="{00000000-0005-0000-0000-0000D4050000}"/>
    <cellStyle name="Normal 107 2 3 5 2" xfId="14132" xr:uid="{00000000-0005-0000-0000-0000D5050000}"/>
    <cellStyle name="Normal 107 2 3 6" xfId="9619" xr:uid="{00000000-0005-0000-0000-0000D6050000}"/>
    <cellStyle name="Normal 107 2 4" xfId="714" xr:uid="{00000000-0005-0000-0000-0000D7050000}"/>
    <cellStyle name="Normal 107 2 4 2" xfId="1884" xr:uid="{00000000-0005-0000-0000-0000D8050000}"/>
    <cellStyle name="Normal 107 2 4 2 2" xfId="2532" xr:uid="{00000000-0005-0000-0000-0000D9050000}"/>
    <cellStyle name="Normal 107 2 4 2 2 2" xfId="7049" xr:uid="{00000000-0005-0000-0000-0000DA050000}"/>
    <cellStyle name="Normal 107 2 4 2 2 2 2" xfId="16090" xr:uid="{00000000-0005-0000-0000-0000DB050000}"/>
    <cellStyle name="Normal 107 2 4 2 2 3" xfId="11577" xr:uid="{00000000-0005-0000-0000-0000DC050000}"/>
    <cellStyle name="Normal 107 2 4 2 3" xfId="6407" xr:uid="{00000000-0005-0000-0000-0000DD050000}"/>
    <cellStyle name="Normal 107 2 4 2 3 2" xfId="15448" xr:uid="{00000000-0005-0000-0000-0000DE050000}"/>
    <cellStyle name="Normal 107 2 4 2 4" xfId="10935" xr:uid="{00000000-0005-0000-0000-0000DF050000}"/>
    <cellStyle name="Normal 107 2 4 3" xfId="2531" xr:uid="{00000000-0005-0000-0000-0000E0050000}"/>
    <cellStyle name="Normal 107 2 4 3 2" xfId="7048" xr:uid="{00000000-0005-0000-0000-0000E1050000}"/>
    <cellStyle name="Normal 107 2 4 3 2 2" xfId="16089" xr:uid="{00000000-0005-0000-0000-0000E2050000}"/>
    <cellStyle name="Normal 107 2 4 3 3" xfId="11576" xr:uid="{00000000-0005-0000-0000-0000E3050000}"/>
    <cellStyle name="Normal 107 2 4 4" xfId="5279" xr:uid="{00000000-0005-0000-0000-0000E4050000}"/>
    <cellStyle name="Normal 107 2 4 4 2" xfId="14320" xr:uid="{00000000-0005-0000-0000-0000E5050000}"/>
    <cellStyle name="Normal 107 2 4 5" xfId="9807" xr:uid="{00000000-0005-0000-0000-0000E6050000}"/>
    <cellStyle name="Normal 107 2 5" xfId="1320" xr:uid="{00000000-0005-0000-0000-0000E7050000}"/>
    <cellStyle name="Normal 107 2 5 2" xfId="2533" xr:uid="{00000000-0005-0000-0000-0000E8050000}"/>
    <cellStyle name="Normal 107 2 5 2 2" xfId="7050" xr:uid="{00000000-0005-0000-0000-0000E9050000}"/>
    <cellStyle name="Normal 107 2 5 2 2 2" xfId="16091" xr:uid="{00000000-0005-0000-0000-0000EA050000}"/>
    <cellStyle name="Normal 107 2 5 2 3" xfId="11578" xr:uid="{00000000-0005-0000-0000-0000EB050000}"/>
    <cellStyle name="Normal 107 2 5 3" xfId="5843" xr:uid="{00000000-0005-0000-0000-0000EC050000}"/>
    <cellStyle name="Normal 107 2 5 3 2" xfId="14884" xr:uid="{00000000-0005-0000-0000-0000ED050000}"/>
    <cellStyle name="Normal 107 2 5 4" xfId="10371" xr:uid="{00000000-0005-0000-0000-0000EE050000}"/>
    <cellStyle name="Normal 107 2 6" xfId="2522" xr:uid="{00000000-0005-0000-0000-0000EF050000}"/>
    <cellStyle name="Normal 107 2 6 2" xfId="7039" xr:uid="{00000000-0005-0000-0000-0000F0050000}"/>
    <cellStyle name="Normal 107 2 6 2 2" xfId="16080" xr:uid="{00000000-0005-0000-0000-0000F1050000}"/>
    <cellStyle name="Normal 107 2 6 3" xfId="11567" xr:uid="{00000000-0005-0000-0000-0000F2050000}"/>
    <cellStyle name="Normal 107 2 7" xfId="4715" xr:uid="{00000000-0005-0000-0000-0000F3050000}"/>
    <cellStyle name="Normal 107 2 7 2" xfId="13756" xr:uid="{00000000-0005-0000-0000-0000F4050000}"/>
    <cellStyle name="Normal 107 2 8" xfId="9243" xr:uid="{00000000-0005-0000-0000-0000F5050000}"/>
    <cellStyle name="Normal 107 3" xfId="244" xr:uid="{00000000-0005-0000-0000-0000F6050000}"/>
    <cellStyle name="Normal 107 3 2" xfId="808" xr:uid="{00000000-0005-0000-0000-0000F7050000}"/>
    <cellStyle name="Normal 107 3 2 2" xfId="1978" xr:uid="{00000000-0005-0000-0000-0000F8050000}"/>
    <cellStyle name="Normal 107 3 2 2 2" xfId="2536" xr:uid="{00000000-0005-0000-0000-0000F9050000}"/>
    <cellStyle name="Normal 107 3 2 2 2 2" xfId="7053" xr:uid="{00000000-0005-0000-0000-0000FA050000}"/>
    <cellStyle name="Normal 107 3 2 2 2 2 2" xfId="16094" xr:uid="{00000000-0005-0000-0000-0000FB050000}"/>
    <cellStyle name="Normal 107 3 2 2 2 3" xfId="11581" xr:uid="{00000000-0005-0000-0000-0000FC050000}"/>
    <cellStyle name="Normal 107 3 2 2 3" xfId="6501" xr:uid="{00000000-0005-0000-0000-0000FD050000}"/>
    <cellStyle name="Normal 107 3 2 2 3 2" xfId="15542" xr:uid="{00000000-0005-0000-0000-0000FE050000}"/>
    <cellStyle name="Normal 107 3 2 2 4" xfId="11029" xr:uid="{00000000-0005-0000-0000-0000FF050000}"/>
    <cellStyle name="Normal 107 3 2 3" xfId="2535" xr:uid="{00000000-0005-0000-0000-000000060000}"/>
    <cellStyle name="Normal 107 3 2 3 2" xfId="7052" xr:uid="{00000000-0005-0000-0000-000001060000}"/>
    <cellStyle name="Normal 107 3 2 3 2 2" xfId="16093" xr:uid="{00000000-0005-0000-0000-000002060000}"/>
    <cellStyle name="Normal 107 3 2 3 3" xfId="11580" xr:uid="{00000000-0005-0000-0000-000003060000}"/>
    <cellStyle name="Normal 107 3 2 4" xfId="5373" xr:uid="{00000000-0005-0000-0000-000004060000}"/>
    <cellStyle name="Normal 107 3 2 4 2" xfId="14414" xr:uid="{00000000-0005-0000-0000-000005060000}"/>
    <cellStyle name="Normal 107 3 2 5" xfId="9901" xr:uid="{00000000-0005-0000-0000-000006060000}"/>
    <cellStyle name="Normal 107 3 3" xfId="1414" xr:uid="{00000000-0005-0000-0000-000007060000}"/>
    <cellStyle name="Normal 107 3 3 2" xfId="2537" xr:uid="{00000000-0005-0000-0000-000008060000}"/>
    <cellStyle name="Normal 107 3 3 2 2" xfId="7054" xr:uid="{00000000-0005-0000-0000-000009060000}"/>
    <cellStyle name="Normal 107 3 3 2 2 2" xfId="16095" xr:uid="{00000000-0005-0000-0000-00000A060000}"/>
    <cellStyle name="Normal 107 3 3 2 3" xfId="11582" xr:uid="{00000000-0005-0000-0000-00000B060000}"/>
    <cellStyle name="Normal 107 3 3 3" xfId="5937" xr:uid="{00000000-0005-0000-0000-00000C060000}"/>
    <cellStyle name="Normal 107 3 3 3 2" xfId="14978" xr:uid="{00000000-0005-0000-0000-00000D060000}"/>
    <cellStyle name="Normal 107 3 3 4" xfId="10465" xr:uid="{00000000-0005-0000-0000-00000E060000}"/>
    <cellStyle name="Normal 107 3 4" xfId="2534" xr:uid="{00000000-0005-0000-0000-00000F060000}"/>
    <cellStyle name="Normal 107 3 4 2" xfId="7051" xr:uid="{00000000-0005-0000-0000-000010060000}"/>
    <cellStyle name="Normal 107 3 4 2 2" xfId="16092" xr:uid="{00000000-0005-0000-0000-000011060000}"/>
    <cellStyle name="Normal 107 3 4 3" xfId="11579" xr:uid="{00000000-0005-0000-0000-000012060000}"/>
    <cellStyle name="Normal 107 3 5" xfId="4809" xr:uid="{00000000-0005-0000-0000-000013060000}"/>
    <cellStyle name="Normal 107 3 5 2" xfId="13850" xr:uid="{00000000-0005-0000-0000-000014060000}"/>
    <cellStyle name="Normal 107 3 6" xfId="9337" xr:uid="{00000000-0005-0000-0000-000015060000}"/>
    <cellStyle name="Normal 107 4" xfId="432" xr:uid="{00000000-0005-0000-0000-000016060000}"/>
    <cellStyle name="Normal 107 4 2" xfId="996" xr:uid="{00000000-0005-0000-0000-000017060000}"/>
    <cellStyle name="Normal 107 4 2 2" xfId="2166" xr:uid="{00000000-0005-0000-0000-000018060000}"/>
    <cellStyle name="Normal 107 4 2 2 2" xfId="2540" xr:uid="{00000000-0005-0000-0000-000019060000}"/>
    <cellStyle name="Normal 107 4 2 2 2 2" xfId="7057" xr:uid="{00000000-0005-0000-0000-00001A060000}"/>
    <cellStyle name="Normal 107 4 2 2 2 2 2" xfId="16098" xr:uid="{00000000-0005-0000-0000-00001B060000}"/>
    <cellStyle name="Normal 107 4 2 2 2 3" xfId="11585" xr:uid="{00000000-0005-0000-0000-00001C060000}"/>
    <cellStyle name="Normal 107 4 2 2 3" xfId="6689" xr:uid="{00000000-0005-0000-0000-00001D060000}"/>
    <cellStyle name="Normal 107 4 2 2 3 2" xfId="15730" xr:uid="{00000000-0005-0000-0000-00001E060000}"/>
    <cellStyle name="Normal 107 4 2 2 4" xfId="11217" xr:uid="{00000000-0005-0000-0000-00001F060000}"/>
    <cellStyle name="Normal 107 4 2 3" xfId="2539" xr:uid="{00000000-0005-0000-0000-000020060000}"/>
    <cellStyle name="Normal 107 4 2 3 2" xfId="7056" xr:uid="{00000000-0005-0000-0000-000021060000}"/>
    <cellStyle name="Normal 107 4 2 3 2 2" xfId="16097" xr:uid="{00000000-0005-0000-0000-000022060000}"/>
    <cellStyle name="Normal 107 4 2 3 3" xfId="11584" xr:uid="{00000000-0005-0000-0000-000023060000}"/>
    <cellStyle name="Normal 107 4 2 4" xfId="5561" xr:uid="{00000000-0005-0000-0000-000024060000}"/>
    <cellStyle name="Normal 107 4 2 4 2" xfId="14602" xr:uid="{00000000-0005-0000-0000-000025060000}"/>
    <cellStyle name="Normal 107 4 2 5" xfId="10089" xr:uid="{00000000-0005-0000-0000-000026060000}"/>
    <cellStyle name="Normal 107 4 3" xfId="1602" xr:uid="{00000000-0005-0000-0000-000027060000}"/>
    <cellStyle name="Normal 107 4 3 2" xfId="2541" xr:uid="{00000000-0005-0000-0000-000028060000}"/>
    <cellStyle name="Normal 107 4 3 2 2" xfId="7058" xr:uid="{00000000-0005-0000-0000-000029060000}"/>
    <cellStyle name="Normal 107 4 3 2 2 2" xfId="16099" xr:uid="{00000000-0005-0000-0000-00002A060000}"/>
    <cellStyle name="Normal 107 4 3 2 3" xfId="11586" xr:uid="{00000000-0005-0000-0000-00002B060000}"/>
    <cellStyle name="Normal 107 4 3 3" xfId="6125" xr:uid="{00000000-0005-0000-0000-00002C060000}"/>
    <cellStyle name="Normal 107 4 3 3 2" xfId="15166" xr:uid="{00000000-0005-0000-0000-00002D060000}"/>
    <cellStyle name="Normal 107 4 3 4" xfId="10653" xr:uid="{00000000-0005-0000-0000-00002E060000}"/>
    <cellStyle name="Normal 107 4 4" xfId="2538" xr:uid="{00000000-0005-0000-0000-00002F060000}"/>
    <cellStyle name="Normal 107 4 4 2" xfId="7055" xr:uid="{00000000-0005-0000-0000-000030060000}"/>
    <cellStyle name="Normal 107 4 4 2 2" xfId="16096" xr:uid="{00000000-0005-0000-0000-000031060000}"/>
    <cellStyle name="Normal 107 4 4 3" xfId="11583" xr:uid="{00000000-0005-0000-0000-000032060000}"/>
    <cellStyle name="Normal 107 4 5" xfId="4997" xr:uid="{00000000-0005-0000-0000-000033060000}"/>
    <cellStyle name="Normal 107 4 5 2" xfId="14038" xr:uid="{00000000-0005-0000-0000-000034060000}"/>
    <cellStyle name="Normal 107 4 6" xfId="9525" xr:uid="{00000000-0005-0000-0000-000035060000}"/>
    <cellStyle name="Normal 107 5" xfId="620" xr:uid="{00000000-0005-0000-0000-000036060000}"/>
    <cellStyle name="Normal 107 5 2" xfId="1790" xr:uid="{00000000-0005-0000-0000-000037060000}"/>
    <cellStyle name="Normal 107 5 2 2" xfId="2543" xr:uid="{00000000-0005-0000-0000-000038060000}"/>
    <cellStyle name="Normal 107 5 2 2 2" xfId="7060" xr:uid="{00000000-0005-0000-0000-000039060000}"/>
    <cellStyle name="Normal 107 5 2 2 2 2" xfId="16101" xr:uid="{00000000-0005-0000-0000-00003A060000}"/>
    <cellStyle name="Normal 107 5 2 2 3" xfId="11588" xr:uid="{00000000-0005-0000-0000-00003B060000}"/>
    <cellStyle name="Normal 107 5 2 3" xfId="6313" xr:uid="{00000000-0005-0000-0000-00003C060000}"/>
    <cellStyle name="Normal 107 5 2 3 2" xfId="15354" xr:uid="{00000000-0005-0000-0000-00003D060000}"/>
    <cellStyle name="Normal 107 5 2 4" xfId="10841" xr:uid="{00000000-0005-0000-0000-00003E060000}"/>
    <cellStyle name="Normal 107 5 3" xfId="2542" xr:uid="{00000000-0005-0000-0000-00003F060000}"/>
    <cellStyle name="Normal 107 5 3 2" xfId="7059" xr:uid="{00000000-0005-0000-0000-000040060000}"/>
    <cellStyle name="Normal 107 5 3 2 2" xfId="16100" xr:uid="{00000000-0005-0000-0000-000041060000}"/>
    <cellStyle name="Normal 107 5 3 3" xfId="11587" xr:uid="{00000000-0005-0000-0000-000042060000}"/>
    <cellStyle name="Normal 107 5 4" xfId="5185" xr:uid="{00000000-0005-0000-0000-000043060000}"/>
    <cellStyle name="Normal 107 5 4 2" xfId="14226" xr:uid="{00000000-0005-0000-0000-000044060000}"/>
    <cellStyle name="Normal 107 5 5" xfId="9713" xr:uid="{00000000-0005-0000-0000-000045060000}"/>
    <cellStyle name="Normal 107 6" xfId="1226" xr:uid="{00000000-0005-0000-0000-000046060000}"/>
    <cellStyle name="Normal 107 6 2" xfId="2544" xr:uid="{00000000-0005-0000-0000-000047060000}"/>
    <cellStyle name="Normal 107 6 2 2" xfId="7061" xr:uid="{00000000-0005-0000-0000-000048060000}"/>
    <cellStyle name="Normal 107 6 2 2 2" xfId="16102" xr:uid="{00000000-0005-0000-0000-000049060000}"/>
    <cellStyle name="Normal 107 6 2 3" xfId="11589" xr:uid="{00000000-0005-0000-0000-00004A060000}"/>
    <cellStyle name="Normal 107 6 3" xfId="5749" xr:uid="{00000000-0005-0000-0000-00004B060000}"/>
    <cellStyle name="Normal 107 6 3 2" xfId="14790" xr:uid="{00000000-0005-0000-0000-00004C060000}"/>
    <cellStyle name="Normal 107 6 4" xfId="10277" xr:uid="{00000000-0005-0000-0000-00004D060000}"/>
    <cellStyle name="Normal 107 7" xfId="2521" xr:uid="{00000000-0005-0000-0000-00004E060000}"/>
    <cellStyle name="Normal 107 7 2" xfId="7038" xr:uid="{00000000-0005-0000-0000-00004F060000}"/>
    <cellStyle name="Normal 107 7 2 2" xfId="16079" xr:uid="{00000000-0005-0000-0000-000050060000}"/>
    <cellStyle name="Normal 107 7 3" xfId="11566" xr:uid="{00000000-0005-0000-0000-000051060000}"/>
    <cellStyle name="Normal 107 8" xfId="4621" xr:uid="{00000000-0005-0000-0000-000052060000}"/>
    <cellStyle name="Normal 107 8 2" xfId="13662" xr:uid="{00000000-0005-0000-0000-000053060000}"/>
    <cellStyle name="Normal 107 9" xfId="9149" xr:uid="{00000000-0005-0000-0000-000054060000}"/>
    <cellStyle name="Normal 108" xfId="14" xr:uid="{00000000-0005-0000-0000-000055060000}"/>
    <cellStyle name="Normal 108 2" xfId="110" xr:uid="{00000000-0005-0000-0000-000056060000}"/>
    <cellStyle name="Normal 108 2 2" xfId="339" xr:uid="{00000000-0005-0000-0000-000057060000}"/>
    <cellStyle name="Normal 108 2 2 2" xfId="903" xr:uid="{00000000-0005-0000-0000-000058060000}"/>
    <cellStyle name="Normal 108 2 2 2 2" xfId="2073" xr:uid="{00000000-0005-0000-0000-000059060000}"/>
    <cellStyle name="Normal 108 2 2 2 2 2" xfId="2549" xr:uid="{00000000-0005-0000-0000-00005A060000}"/>
    <cellStyle name="Normal 108 2 2 2 2 2 2" xfId="7066" xr:uid="{00000000-0005-0000-0000-00005B060000}"/>
    <cellStyle name="Normal 108 2 2 2 2 2 2 2" xfId="16107" xr:uid="{00000000-0005-0000-0000-00005C060000}"/>
    <cellStyle name="Normal 108 2 2 2 2 2 3" xfId="11594" xr:uid="{00000000-0005-0000-0000-00005D060000}"/>
    <cellStyle name="Normal 108 2 2 2 2 3" xfId="6596" xr:uid="{00000000-0005-0000-0000-00005E060000}"/>
    <cellStyle name="Normal 108 2 2 2 2 3 2" xfId="15637" xr:uid="{00000000-0005-0000-0000-00005F060000}"/>
    <cellStyle name="Normal 108 2 2 2 2 4" xfId="11124" xr:uid="{00000000-0005-0000-0000-000060060000}"/>
    <cellStyle name="Normal 108 2 2 2 3" xfId="2548" xr:uid="{00000000-0005-0000-0000-000061060000}"/>
    <cellStyle name="Normal 108 2 2 2 3 2" xfId="7065" xr:uid="{00000000-0005-0000-0000-000062060000}"/>
    <cellStyle name="Normal 108 2 2 2 3 2 2" xfId="16106" xr:uid="{00000000-0005-0000-0000-000063060000}"/>
    <cellStyle name="Normal 108 2 2 2 3 3" xfId="11593" xr:uid="{00000000-0005-0000-0000-000064060000}"/>
    <cellStyle name="Normal 108 2 2 2 4" xfId="5468" xr:uid="{00000000-0005-0000-0000-000065060000}"/>
    <cellStyle name="Normal 108 2 2 2 4 2" xfId="14509" xr:uid="{00000000-0005-0000-0000-000066060000}"/>
    <cellStyle name="Normal 108 2 2 2 5" xfId="9996" xr:uid="{00000000-0005-0000-0000-000067060000}"/>
    <cellStyle name="Normal 108 2 2 3" xfId="1509" xr:uid="{00000000-0005-0000-0000-000068060000}"/>
    <cellStyle name="Normal 108 2 2 3 2" xfId="2550" xr:uid="{00000000-0005-0000-0000-000069060000}"/>
    <cellStyle name="Normal 108 2 2 3 2 2" xfId="7067" xr:uid="{00000000-0005-0000-0000-00006A060000}"/>
    <cellStyle name="Normal 108 2 2 3 2 2 2" xfId="16108" xr:uid="{00000000-0005-0000-0000-00006B060000}"/>
    <cellStyle name="Normal 108 2 2 3 2 3" xfId="11595" xr:uid="{00000000-0005-0000-0000-00006C060000}"/>
    <cellStyle name="Normal 108 2 2 3 3" xfId="6032" xr:uid="{00000000-0005-0000-0000-00006D060000}"/>
    <cellStyle name="Normal 108 2 2 3 3 2" xfId="15073" xr:uid="{00000000-0005-0000-0000-00006E060000}"/>
    <cellStyle name="Normal 108 2 2 3 4" xfId="10560" xr:uid="{00000000-0005-0000-0000-00006F060000}"/>
    <cellStyle name="Normal 108 2 2 4" xfId="2547" xr:uid="{00000000-0005-0000-0000-000070060000}"/>
    <cellStyle name="Normal 108 2 2 4 2" xfId="7064" xr:uid="{00000000-0005-0000-0000-000071060000}"/>
    <cellStyle name="Normal 108 2 2 4 2 2" xfId="16105" xr:uid="{00000000-0005-0000-0000-000072060000}"/>
    <cellStyle name="Normal 108 2 2 4 3" xfId="11592" xr:uid="{00000000-0005-0000-0000-000073060000}"/>
    <cellStyle name="Normal 108 2 2 5" xfId="4904" xr:uid="{00000000-0005-0000-0000-000074060000}"/>
    <cellStyle name="Normal 108 2 2 5 2" xfId="13945" xr:uid="{00000000-0005-0000-0000-000075060000}"/>
    <cellStyle name="Normal 108 2 2 6" xfId="9432" xr:uid="{00000000-0005-0000-0000-000076060000}"/>
    <cellStyle name="Normal 108 2 3" xfId="527" xr:uid="{00000000-0005-0000-0000-000077060000}"/>
    <cellStyle name="Normal 108 2 3 2" xfId="1091" xr:uid="{00000000-0005-0000-0000-000078060000}"/>
    <cellStyle name="Normal 108 2 3 2 2" xfId="2261" xr:uid="{00000000-0005-0000-0000-000079060000}"/>
    <cellStyle name="Normal 108 2 3 2 2 2" xfId="2553" xr:uid="{00000000-0005-0000-0000-00007A060000}"/>
    <cellStyle name="Normal 108 2 3 2 2 2 2" xfId="7070" xr:uid="{00000000-0005-0000-0000-00007B060000}"/>
    <cellStyle name="Normal 108 2 3 2 2 2 2 2" xfId="16111" xr:uid="{00000000-0005-0000-0000-00007C060000}"/>
    <cellStyle name="Normal 108 2 3 2 2 2 3" xfId="11598" xr:uid="{00000000-0005-0000-0000-00007D060000}"/>
    <cellStyle name="Normal 108 2 3 2 2 3" xfId="6784" xr:uid="{00000000-0005-0000-0000-00007E060000}"/>
    <cellStyle name="Normal 108 2 3 2 2 3 2" xfId="15825" xr:uid="{00000000-0005-0000-0000-00007F060000}"/>
    <cellStyle name="Normal 108 2 3 2 2 4" xfId="11312" xr:uid="{00000000-0005-0000-0000-000080060000}"/>
    <cellStyle name="Normal 108 2 3 2 3" xfId="2552" xr:uid="{00000000-0005-0000-0000-000081060000}"/>
    <cellStyle name="Normal 108 2 3 2 3 2" xfId="7069" xr:uid="{00000000-0005-0000-0000-000082060000}"/>
    <cellStyle name="Normal 108 2 3 2 3 2 2" xfId="16110" xr:uid="{00000000-0005-0000-0000-000083060000}"/>
    <cellStyle name="Normal 108 2 3 2 3 3" xfId="11597" xr:uid="{00000000-0005-0000-0000-000084060000}"/>
    <cellStyle name="Normal 108 2 3 2 4" xfId="5656" xr:uid="{00000000-0005-0000-0000-000085060000}"/>
    <cellStyle name="Normal 108 2 3 2 4 2" xfId="14697" xr:uid="{00000000-0005-0000-0000-000086060000}"/>
    <cellStyle name="Normal 108 2 3 2 5" xfId="10184" xr:uid="{00000000-0005-0000-0000-000087060000}"/>
    <cellStyle name="Normal 108 2 3 3" xfId="1697" xr:uid="{00000000-0005-0000-0000-000088060000}"/>
    <cellStyle name="Normal 108 2 3 3 2" xfId="2554" xr:uid="{00000000-0005-0000-0000-000089060000}"/>
    <cellStyle name="Normal 108 2 3 3 2 2" xfId="7071" xr:uid="{00000000-0005-0000-0000-00008A060000}"/>
    <cellStyle name="Normal 108 2 3 3 2 2 2" xfId="16112" xr:uid="{00000000-0005-0000-0000-00008B060000}"/>
    <cellStyle name="Normal 108 2 3 3 2 3" xfId="11599" xr:uid="{00000000-0005-0000-0000-00008C060000}"/>
    <cellStyle name="Normal 108 2 3 3 3" xfId="6220" xr:uid="{00000000-0005-0000-0000-00008D060000}"/>
    <cellStyle name="Normal 108 2 3 3 3 2" xfId="15261" xr:uid="{00000000-0005-0000-0000-00008E060000}"/>
    <cellStyle name="Normal 108 2 3 3 4" xfId="10748" xr:uid="{00000000-0005-0000-0000-00008F060000}"/>
    <cellStyle name="Normal 108 2 3 4" xfId="2551" xr:uid="{00000000-0005-0000-0000-000090060000}"/>
    <cellStyle name="Normal 108 2 3 4 2" xfId="7068" xr:uid="{00000000-0005-0000-0000-000091060000}"/>
    <cellStyle name="Normal 108 2 3 4 2 2" xfId="16109" xr:uid="{00000000-0005-0000-0000-000092060000}"/>
    <cellStyle name="Normal 108 2 3 4 3" xfId="11596" xr:uid="{00000000-0005-0000-0000-000093060000}"/>
    <cellStyle name="Normal 108 2 3 5" xfId="5092" xr:uid="{00000000-0005-0000-0000-000094060000}"/>
    <cellStyle name="Normal 108 2 3 5 2" xfId="14133" xr:uid="{00000000-0005-0000-0000-000095060000}"/>
    <cellStyle name="Normal 108 2 3 6" xfId="9620" xr:uid="{00000000-0005-0000-0000-000096060000}"/>
    <cellStyle name="Normal 108 2 4" xfId="715" xr:uid="{00000000-0005-0000-0000-000097060000}"/>
    <cellStyle name="Normal 108 2 4 2" xfId="1885" xr:uid="{00000000-0005-0000-0000-000098060000}"/>
    <cellStyle name="Normal 108 2 4 2 2" xfId="2556" xr:uid="{00000000-0005-0000-0000-000099060000}"/>
    <cellStyle name="Normal 108 2 4 2 2 2" xfId="7073" xr:uid="{00000000-0005-0000-0000-00009A060000}"/>
    <cellStyle name="Normal 108 2 4 2 2 2 2" xfId="16114" xr:uid="{00000000-0005-0000-0000-00009B060000}"/>
    <cellStyle name="Normal 108 2 4 2 2 3" xfId="11601" xr:uid="{00000000-0005-0000-0000-00009C060000}"/>
    <cellStyle name="Normal 108 2 4 2 3" xfId="6408" xr:uid="{00000000-0005-0000-0000-00009D060000}"/>
    <cellStyle name="Normal 108 2 4 2 3 2" xfId="15449" xr:uid="{00000000-0005-0000-0000-00009E060000}"/>
    <cellStyle name="Normal 108 2 4 2 4" xfId="10936" xr:uid="{00000000-0005-0000-0000-00009F060000}"/>
    <cellStyle name="Normal 108 2 4 3" xfId="2555" xr:uid="{00000000-0005-0000-0000-0000A0060000}"/>
    <cellStyle name="Normal 108 2 4 3 2" xfId="7072" xr:uid="{00000000-0005-0000-0000-0000A1060000}"/>
    <cellStyle name="Normal 108 2 4 3 2 2" xfId="16113" xr:uid="{00000000-0005-0000-0000-0000A2060000}"/>
    <cellStyle name="Normal 108 2 4 3 3" xfId="11600" xr:uid="{00000000-0005-0000-0000-0000A3060000}"/>
    <cellStyle name="Normal 108 2 4 4" xfId="5280" xr:uid="{00000000-0005-0000-0000-0000A4060000}"/>
    <cellStyle name="Normal 108 2 4 4 2" xfId="14321" xr:uid="{00000000-0005-0000-0000-0000A5060000}"/>
    <cellStyle name="Normal 108 2 4 5" xfId="9808" xr:uid="{00000000-0005-0000-0000-0000A6060000}"/>
    <cellStyle name="Normal 108 2 5" xfId="1321" xr:uid="{00000000-0005-0000-0000-0000A7060000}"/>
    <cellStyle name="Normal 108 2 5 2" xfId="2557" xr:uid="{00000000-0005-0000-0000-0000A8060000}"/>
    <cellStyle name="Normal 108 2 5 2 2" xfId="7074" xr:uid="{00000000-0005-0000-0000-0000A9060000}"/>
    <cellStyle name="Normal 108 2 5 2 2 2" xfId="16115" xr:uid="{00000000-0005-0000-0000-0000AA060000}"/>
    <cellStyle name="Normal 108 2 5 2 3" xfId="11602" xr:uid="{00000000-0005-0000-0000-0000AB060000}"/>
    <cellStyle name="Normal 108 2 5 3" xfId="5844" xr:uid="{00000000-0005-0000-0000-0000AC060000}"/>
    <cellStyle name="Normal 108 2 5 3 2" xfId="14885" xr:uid="{00000000-0005-0000-0000-0000AD060000}"/>
    <cellStyle name="Normal 108 2 5 4" xfId="10372" xr:uid="{00000000-0005-0000-0000-0000AE060000}"/>
    <cellStyle name="Normal 108 2 6" xfId="2546" xr:uid="{00000000-0005-0000-0000-0000AF060000}"/>
    <cellStyle name="Normal 108 2 6 2" xfId="7063" xr:uid="{00000000-0005-0000-0000-0000B0060000}"/>
    <cellStyle name="Normal 108 2 6 2 2" xfId="16104" xr:uid="{00000000-0005-0000-0000-0000B1060000}"/>
    <cellStyle name="Normal 108 2 6 3" xfId="11591" xr:uid="{00000000-0005-0000-0000-0000B2060000}"/>
    <cellStyle name="Normal 108 2 7" xfId="4716" xr:uid="{00000000-0005-0000-0000-0000B3060000}"/>
    <cellStyle name="Normal 108 2 7 2" xfId="13757" xr:uid="{00000000-0005-0000-0000-0000B4060000}"/>
    <cellStyle name="Normal 108 2 8" xfId="9244" xr:uid="{00000000-0005-0000-0000-0000B5060000}"/>
    <cellStyle name="Normal 108 3" xfId="245" xr:uid="{00000000-0005-0000-0000-0000B6060000}"/>
    <cellStyle name="Normal 108 3 2" xfId="809" xr:uid="{00000000-0005-0000-0000-0000B7060000}"/>
    <cellStyle name="Normal 108 3 2 2" xfId="1979" xr:uid="{00000000-0005-0000-0000-0000B8060000}"/>
    <cellStyle name="Normal 108 3 2 2 2" xfId="2560" xr:uid="{00000000-0005-0000-0000-0000B9060000}"/>
    <cellStyle name="Normal 108 3 2 2 2 2" xfId="7077" xr:uid="{00000000-0005-0000-0000-0000BA060000}"/>
    <cellStyle name="Normal 108 3 2 2 2 2 2" xfId="16118" xr:uid="{00000000-0005-0000-0000-0000BB060000}"/>
    <cellStyle name="Normal 108 3 2 2 2 3" xfId="11605" xr:uid="{00000000-0005-0000-0000-0000BC060000}"/>
    <cellStyle name="Normal 108 3 2 2 3" xfId="6502" xr:uid="{00000000-0005-0000-0000-0000BD060000}"/>
    <cellStyle name="Normal 108 3 2 2 3 2" xfId="15543" xr:uid="{00000000-0005-0000-0000-0000BE060000}"/>
    <cellStyle name="Normal 108 3 2 2 4" xfId="11030" xr:uid="{00000000-0005-0000-0000-0000BF060000}"/>
    <cellStyle name="Normal 108 3 2 3" xfId="2559" xr:uid="{00000000-0005-0000-0000-0000C0060000}"/>
    <cellStyle name="Normal 108 3 2 3 2" xfId="7076" xr:uid="{00000000-0005-0000-0000-0000C1060000}"/>
    <cellStyle name="Normal 108 3 2 3 2 2" xfId="16117" xr:uid="{00000000-0005-0000-0000-0000C2060000}"/>
    <cellStyle name="Normal 108 3 2 3 3" xfId="11604" xr:uid="{00000000-0005-0000-0000-0000C3060000}"/>
    <cellStyle name="Normal 108 3 2 4" xfId="5374" xr:uid="{00000000-0005-0000-0000-0000C4060000}"/>
    <cellStyle name="Normal 108 3 2 4 2" xfId="14415" xr:uid="{00000000-0005-0000-0000-0000C5060000}"/>
    <cellStyle name="Normal 108 3 2 5" xfId="9902" xr:uid="{00000000-0005-0000-0000-0000C6060000}"/>
    <cellStyle name="Normal 108 3 3" xfId="1415" xr:uid="{00000000-0005-0000-0000-0000C7060000}"/>
    <cellStyle name="Normal 108 3 3 2" xfId="2561" xr:uid="{00000000-0005-0000-0000-0000C8060000}"/>
    <cellStyle name="Normal 108 3 3 2 2" xfId="7078" xr:uid="{00000000-0005-0000-0000-0000C9060000}"/>
    <cellStyle name="Normal 108 3 3 2 2 2" xfId="16119" xr:uid="{00000000-0005-0000-0000-0000CA060000}"/>
    <cellStyle name="Normal 108 3 3 2 3" xfId="11606" xr:uid="{00000000-0005-0000-0000-0000CB060000}"/>
    <cellStyle name="Normal 108 3 3 3" xfId="5938" xr:uid="{00000000-0005-0000-0000-0000CC060000}"/>
    <cellStyle name="Normal 108 3 3 3 2" xfId="14979" xr:uid="{00000000-0005-0000-0000-0000CD060000}"/>
    <cellStyle name="Normal 108 3 3 4" xfId="10466" xr:uid="{00000000-0005-0000-0000-0000CE060000}"/>
    <cellStyle name="Normal 108 3 4" xfId="2558" xr:uid="{00000000-0005-0000-0000-0000CF060000}"/>
    <cellStyle name="Normal 108 3 4 2" xfId="7075" xr:uid="{00000000-0005-0000-0000-0000D0060000}"/>
    <cellStyle name="Normal 108 3 4 2 2" xfId="16116" xr:uid="{00000000-0005-0000-0000-0000D1060000}"/>
    <cellStyle name="Normal 108 3 4 3" xfId="11603" xr:uid="{00000000-0005-0000-0000-0000D2060000}"/>
    <cellStyle name="Normal 108 3 5" xfId="4810" xr:uid="{00000000-0005-0000-0000-0000D3060000}"/>
    <cellStyle name="Normal 108 3 5 2" xfId="13851" xr:uid="{00000000-0005-0000-0000-0000D4060000}"/>
    <cellStyle name="Normal 108 3 6" xfId="9338" xr:uid="{00000000-0005-0000-0000-0000D5060000}"/>
    <cellStyle name="Normal 108 4" xfId="433" xr:uid="{00000000-0005-0000-0000-0000D6060000}"/>
    <cellStyle name="Normal 108 4 2" xfId="997" xr:uid="{00000000-0005-0000-0000-0000D7060000}"/>
    <cellStyle name="Normal 108 4 2 2" xfId="2167" xr:uid="{00000000-0005-0000-0000-0000D8060000}"/>
    <cellStyle name="Normal 108 4 2 2 2" xfId="2564" xr:uid="{00000000-0005-0000-0000-0000D9060000}"/>
    <cellStyle name="Normal 108 4 2 2 2 2" xfId="7081" xr:uid="{00000000-0005-0000-0000-0000DA060000}"/>
    <cellStyle name="Normal 108 4 2 2 2 2 2" xfId="16122" xr:uid="{00000000-0005-0000-0000-0000DB060000}"/>
    <cellStyle name="Normal 108 4 2 2 2 3" xfId="11609" xr:uid="{00000000-0005-0000-0000-0000DC060000}"/>
    <cellStyle name="Normal 108 4 2 2 3" xfId="6690" xr:uid="{00000000-0005-0000-0000-0000DD060000}"/>
    <cellStyle name="Normal 108 4 2 2 3 2" xfId="15731" xr:uid="{00000000-0005-0000-0000-0000DE060000}"/>
    <cellStyle name="Normal 108 4 2 2 4" xfId="11218" xr:uid="{00000000-0005-0000-0000-0000DF060000}"/>
    <cellStyle name="Normal 108 4 2 3" xfId="2563" xr:uid="{00000000-0005-0000-0000-0000E0060000}"/>
    <cellStyle name="Normal 108 4 2 3 2" xfId="7080" xr:uid="{00000000-0005-0000-0000-0000E1060000}"/>
    <cellStyle name="Normal 108 4 2 3 2 2" xfId="16121" xr:uid="{00000000-0005-0000-0000-0000E2060000}"/>
    <cellStyle name="Normal 108 4 2 3 3" xfId="11608" xr:uid="{00000000-0005-0000-0000-0000E3060000}"/>
    <cellStyle name="Normal 108 4 2 4" xfId="5562" xr:uid="{00000000-0005-0000-0000-0000E4060000}"/>
    <cellStyle name="Normal 108 4 2 4 2" xfId="14603" xr:uid="{00000000-0005-0000-0000-0000E5060000}"/>
    <cellStyle name="Normal 108 4 2 5" xfId="10090" xr:uid="{00000000-0005-0000-0000-0000E6060000}"/>
    <cellStyle name="Normal 108 4 3" xfId="1603" xr:uid="{00000000-0005-0000-0000-0000E7060000}"/>
    <cellStyle name="Normal 108 4 3 2" xfId="2565" xr:uid="{00000000-0005-0000-0000-0000E8060000}"/>
    <cellStyle name="Normal 108 4 3 2 2" xfId="7082" xr:uid="{00000000-0005-0000-0000-0000E9060000}"/>
    <cellStyle name="Normal 108 4 3 2 2 2" xfId="16123" xr:uid="{00000000-0005-0000-0000-0000EA060000}"/>
    <cellStyle name="Normal 108 4 3 2 3" xfId="11610" xr:uid="{00000000-0005-0000-0000-0000EB060000}"/>
    <cellStyle name="Normal 108 4 3 3" xfId="6126" xr:uid="{00000000-0005-0000-0000-0000EC060000}"/>
    <cellStyle name="Normal 108 4 3 3 2" xfId="15167" xr:uid="{00000000-0005-0000-0000-0000ED060000}"/>
    <cellStyle name="Normal 108 4 3 4" xfId="10654" xr:uid="{00000000-0005-0000-0000-0000EE060000}"/>
    <cellStyle name="Normal 108 4 4" xfId="2562" xr:uid="{00000000-0005-0000-0000-0000EF060000}"/>
    <cellStyle name="Normal 108 4 4 2" xfId="7079" xr:uid="{00000000-0005-0000-0000-0000F0060000}"/>
    <cellStyle name="Normal 108 4 4 2 2" xfId="16120" xr:uid="{00000000-0005-0000-0000-0000F1060000}"/>
    <cellStyle name="Normal 108 4 4 3" xfId="11607" xr:uid="{00000000-0005-0000-0000-0000F2060000}"/>
    <cellStyle name="Normal 108 4 5" xfId="4998" xr:uid="{00000000-0005-0000-0000-0000F3060000}"/>
    <cellStyle name="Normal 108 4 5 2" xfId="14039" xr:uid="{00000000-0005-0000-0000-0000F4060000}"/>
    <cellStyle name="Normal 108 4 6" xfId="9526" xr:uid="{00000000-0005-0000-0000-0000F5060000}"/>
    <cellStyle name="Normal 108 5" xfId="621" xr:uid="{00000000-0005-0000-0000-0000F6060000}"/>
    <cellStyle name="Normal 108 5 2" xfId="1791" xr:uid="{00000000-0005-0000-0000-0000F7060000}"/>
    <cellStyle name="Normal 108 5 2 2" xfId="2567" xr:uid="{00000000-0005-0000-0000-0000F8060000}"/>
    <cellStyle name="Normal 108 5 2 2 2" xfId="7084" xr:uid="{00000000-0005-0000-0000-0000F9060000}"/>
    <cellStyle name="Normal 108 5 2 2 2 2" xfId="16125" xr:uid="{00000000-0005-0000-0000-0000FA060000}"/>
    <cellStyle name="Normal 108 5 2 2 3" xfId="11612" xr:uid="{00000000-0005-0000-0000-0000FB060000}"/>
    <cellStyle name="Normal 108 5 2 3" xfId="6314" xr:uid="{00000000-0005-0000-0000-0000FC060000}"/>
    <cellStyle name="Normal 108 5 2 3 2" xfId="15355" xr:uid="{00000000-0005-0000-0000-0000FD060000}"/>
    <cellStyle name="Normal 108 5 2 4" xfId="10842" xr:uid="{00000000-0005-0000-0000-0000FE060000}"/>
    <cellStyle name="Normal 108 5 3" xfId="2566" xr:uid="{00000000-0005-0000-0000-0000FF060000}"/>
    <cellStyle name="Normal 108 5 3 2" xfId="7083" xr:uid="{00000000-0005-0000-0000-000000070000}"/>
    <cellStyle name="Normal 108 5 3 2 2" xfId="16124" xr:uid="{00000000-0005-0000-0000-000001070000}"/>
    <cellStyle name="Normal 108 5 3 3" xfId="11611" xr:uid="{00000000-0005-0000-0000-000002070000}"/>
    <cellStyle name="Normal 108 5 4" xfId="5186" xr:uid="{00000000-0005-0000-0000-000003070000}"/>
    <cellStyle name="Normal 108 5 4 2" xfId="14227" xr:uid="{00000000-0005-0000-0000-000004070000}"/>
    <cellStyle name="Normal 108 5 5" xfId="9714" xr:uid="{00000000-0005-0000-0000-000005070000}"/>
    <cellStyle name="Normal 108 6" xfId="1227" xr:uid="{00000000-0005-0000-0000-000006070000}"/>
    <cellStyle name="Normal 108 6 2" xfId="2568" xr:uid="{00000000-0005-0000-0000-000007070000}"/>
    <cellStyle name="Normal 108 6 2 2" xfId="7085" xr:uid="{00000000-0005-0000-0000-000008070000}"/>
    <cellStyle name="Normal 108 6 2 2 2" xfId="16126" xr:uid="{00000000-0005-0000-0000-000009070000}"/>
    <cellStyle name="Normal 108 6 2 3" xfId="11613" xr:uid="{00000000-0005-0000-0000-00000A070000}"/>
    <cellStyle name="Normal 108 6 3" xfId="5750" xr:uid="{00000000-0005-0000-0000-00000B070000}"/>
    <cellStyle name="Normal 108 6 3 2" xfId="14791" xr:uid="{00000000-0005-0000-0000-00000C070000}"/>
    <cellStyle name="Normal 108 6 4" xfId="10278" xr:uid="{00000000-0005-0000-0000-00000D070000}"/>
    <cellStyle name="Normal 108 7" xfId="2545" xr:uid="{00000000-0005-0000-0000-00000E070000}"/>
    <cellStyle name="Normal 108 7 2" xfId="7062" xr:uid="{00000000-0005-0000-0000-00000F070000}"/>
    <cellStyle name="Normal 108 7 2 2" xfId="16103" xr:uid="{00000000-0005-0000-0000-000010070000}"/>
    <cellStyle name="Normal 108 7 3" xfId="11590" xr:uid="{00000000-0005-0000-0000-000011070000}"/>
    <cellStyle name="Normal 108 8" xfId="4622" xr:uid="{00000000-0005-0000-0000-000012070000}"/>
    <cellStyle name="Normal 108 8 2" xfId="13663" xr:uid="{00000000-0005-0000-0000-000013070000}"/>
    <cellStyle name="Normal 108 9" xfId="9150" xr:uid="{00000000-0005-0000-0000-000014070000}"/>
    <cellStyle name="Normal 109" xfId="15" xr:uid="{00000000-0005-0000-0000-000015070000}"/>
    <cellStyle name="Normal 109 2" xfId="111" xr:uid="{00000000-0005-0000-0000-000016070000}"/>
    <cellStyle name="Normal 109 2 2" xfId="340" xr:uid="{00000000-0005-0000-0000-000017070000}"/>
    <cellStyle name="Normal 109 2 2 2" xfId="904" xr:uid="{00000000-0005-0000-0000-000018070000}"/>
    <cellStyle name="Normal 109 2 2 2 2" xfId="2074" xr:uid="{00000000-0005-0000-0000-000019070000}"/>
    <cellStyle name="Normal 109 2 2 2 2 2" xfId="2573" xr:uid="{00000000-0005-0000-0000-00001A070000}"/>
    <cellStyle name="Normal 109 2 2 2 2 2 2" xfId="7090" xr:uid="{00000000-0005-0000-0000-00001B070000}"/>
    <cellStyle name="Normal 109 2 2 2 2 2 2 2" xfId="16131" xr:uid="{00000000-0005-0000-0000-00001C070000}"/>
    <cellStyle name="Normal 109 2 2 2 2 2 3" xfId="11618" xr:uid="{00000000-0005-0000-0000-00001D070000}"/>
    <cellStyle name="Normal 109 2 2 2 2 3" xfId="6597" xr:uid="{00000000-0005-0000-0000-00001E070000}"/>
    <cellStyle name="Normal 109 2 2 2 2 3 2" xfId="15638" xr:uid="{00000000-0005-0000-0000-00001F070000}"/>
    <cellStyle name="Normal 109 2 2 2 2 4" xfId="11125" xr:uid="{00000000-0005-0000-0000-000020070000}"/>
    <cellStyle name="Normal 109 2 2 2 3" xfId="2572" xr:uid="{00000000-0005-0000-0000-000021070000}"/>
    <cellStyle name="Normal 109 2 2 2 3 2" xfId="7089" xr:uid="{00000000-0005-0000-0000-000022070000}"/>
    <cellStyle name="Normal 109 2 2 2 3 2 2" xfId="16130" xr:uid="{00000000-0005-0000-0000-000023070000}"/>
    <cellStyle name="Normal 109 2 2 2 3 3" xfId="11617" xr:uid="{00000000-0005-0000-0000-000024070000}"/>
    <cellStyle name="Normal 109 2 2 2 4" xfId="5469" xr:uid="{00000000-0005-0000-0000-000025070000}"/>
    <cellStyle name="Normal 109 2 2 2 4 2" xfId="14510" xr:uid="{00000000-0005-0000-0000-000026070000}"/>
    <cellStyle name="Normal 109 2 2 2 5" xfId="9997" xr:uid="{00000000-0005-0000-0000-000027070000}"/>
    <cellStyle name="Normal 109 2 2 3" xfId="1510" xr:uid="{00000000-0005-0000-0000-000028070000}"/>
    <cellStyle name="Normal 109 2 2 3 2" xfId="2574" xr:uid="{00000000-0005-0000-0000-000029070000}"/>
    <cellStyle name="Normal 109 2 2 3 2 2" xfId="7091" xr:uid="{00000000-0005-0000-0000-00002A070000}"/>
    <cellStyle name="Normal 109 2 2 3 2 2 2" xfId="16132" xr:uid="{00000000-0005-0000-0000-00002B070000}"/>
    <cellStyle name="Normal 109 2 2 3 2 3" xfId="11619" xr:uid="{00000000-0005-0000-0000-00002C070000}"/>
    <cellStyle name="Normal 109 2 2 3 3" xfId="6033" xr:uid="{00000000-0005-0000-0000-00002D070000}"/>
    <cellStyle name="Normal 109 2 2 3 3 2" xfId="15074" xr:uid="{00000000-0005-0000-0000-00002E070000}"/>
    <cellStyle name="Normal 109 2 2 3 4" xfId="10561" xr:uid="{00000000-0005-0000-0000-00002F070000}"/>
    <cellStyle name="Normal 109 2 2 4" xfId="2571" xr:uid="{00000000-0005-0000-0000-000030070000}"/>
    <cellStyle name="Normal 109 2 2 4 2" xfId="7088" xr:uid="{00000000-0005-0000-0000-000031070000}"/>
    <cellStyle name="Normal 109 2 2 4 2 2" xfId="16129" xr:uid="{00000000-0005-0000-0000-000032070000}"/>
    <cellStyle name="Normal 109 2 2 4 3" xfId="11616" xr:uid="{00000000-0005-0000-0000-000033070000}"/>
    <cellStyle name="Normal 109 2 2 5" xfId="4905" xr:uid="{00000000-0005-0000-0000-000034070000}"/>
    <cellStyle name="Normal 109 2 2 5 2" xfId="13946" xr:uid="{00000000-0005-0000-0000-000035070000}"/>
    <cellStyle name="Normal 109 2 2 6" xfId="9433" xr:uid="{00000000-0005-0000-0000-000036070000}"/>
    <cellStyle name="Normal 109 2 3" xfId="528" xr:uid="{00000000-0005-0000-0000-000037070000}"/>
    <cellStyle name="Normal 109 2 3 2" xfId="1092" xr:uid="{00000000-0005-0000-0000-000038070000}"/>
    <cellStyle name="Normal 109 2 3 2 2" xfId="2262" xr:uid="{00000000-0005-0000-0000-000039070000}"/>
    <cellStyle name="Normal 109 2 3 2 2 2" xfId="2577" xr:uid="{00000000-0005-0000-0000-00003A070000}"/>
    <cellStyle name="Normal 109 2 3 2 2 2 2" xfId="7094" xr:uid="{00000000-0005-0000-0000-00003B070000}"/>
    <cellStyle name="Normal 109 2 3 2 2 2 2 2" xfId="16135" xr:uid="{00000000-0005-0000-0000-00003C070000}"/>
    <cellStyle name="Normal 109 2 3 2 2 2 3" xfId="11622" xr:uid="{00000000-0005-0000-0000-00003D070000}"/>
    <cellStyle name="Normal 109 2 3 2 2 3" xfId="6785" xr:uid="{00000000-0005-0000-0000-00003E070000}"/>
    <cellStyle name="Normal 109 2 3 2 2 3 2" xfId="15826" xr:uid="{00000000-0005-0000-0000-00003F070000}"/>
    <cellStyle name="Normal 109 2 3 2 2 4" xfId="11313" xr:uid="{00000000-0005-0000-0000-000040070000}"/>
    <cellStyle name="Normal 109 2 3 2 3" xfId="2576" xr:uid="{00000000-0005-0000-0000-000041070000}"/>
    <cellStyle name="Normal 109 2 3 2 3 2" xfId="7093" xr:uid="{00000000-0005-0000-0000-000042070000}"/>
    <cellStyle name="Normal 109 2 3 2 3 2 2" xfId="16134" xr:uid="{00000000-0005-0000-0000-000043070000}"/>
    <cellStyle name="Normal 109 2 3 2 3 3" xfId="11621" xr:uid="{00000000-0005-0000-0000-000044070000}"/>
    <cellStyle name="Normal 109 2 3 2 4" xfId="5657" xr:uid="{00000000-0005-0000-0000-000045070000}"/>
    <cellStyle name="Normal 109 2 3 2 4 2" xfId="14698" xr:uid="{00000000-0005-0000-0000-000046070000}"/>
    <cellStyle name="Normal 109 2 3 2 5" xfId="10185" xr:uid="{00000000-0005-0000-0000-000047070000}"/>
    <cellStyle name="Normal 109 2 3 3" xfId="1698" xr:uid="{00000000-0005-0000-0000-000048070000}"/>
    <cellStyle name="Normal 109 2 3 3 2" xfId="2578" xr:uid="{00000000-0005-0000-0000-000049070000}"/>
    <cellStyle name="Normal 109 2 3 3 2 2" xfId="7095" xr:uid="{00000000-0005-0000-0000-00004A070000}"/>
    <cellStyle name="Normal 109 2 3 3 2 2 2" xfId="16136" xr:uid="{00000000-0005-0000-0000-00004B070000}"/>
    <cellStyle name="Normal 109 2 3 3 2 3" xfId="11623" xr:uid="{00000000-0005-0000-0000-00004C070000}"/>
    <cellStyle name="Normal 109 2 3 3 3" xfId="6221" xr:uid="{00000000-0005-0000-0000-00004D070000}"/>
    <cellStyle name="Normal 109 2 3 3 3 2" xfId="15262" xr:uid="{00000000-0005-0000-0000-00004E070000}"/>
    <cellStyle name="Normal 109 2 3 3 4" xfId="10749" xr:uid="{00000000-0005-0000-0000-00004F070000}"/>
    <cellStyle name="Normal 109 2 3 4" xfId="2575" xr:uid="{00000000-0005-0000-0000-000050070000}"/>
    <cellStyle name="Normal 109 2 3 4 2" xfId="7092" xr:uid="{00000000-0005-0000-0000-000051070000}"/>
    <cellStyle name="Normal 109 2 3 4 2 2" xfId="16133" xr:uid="{00000000-0005-0000-0000-000052070000}"/>
    <cellStyle name="Normal 109 2 3 4 3" xfId="11620" xr:uid="{00000000-0005-0000-0000-000053070000}"/>
    <cellStyle name="Normal 109 2 3 5" xfId="5093" xr:uid="{00000000-0005-0000-0000-000054070000}"/>
    <cellStyle name="Normal 109 2 3 5 2" xfId="14134" xr:uid="{00000000-0005-0000-0000-000055070000}"/>
    <cellStyle name="Normal 109 2 3 6" xfId="9621" xr:uid="{00000000-0005-0000-0000-000056070000}"/>
    <cellStyle name="Normal 109 2 4" xfId="716" xr:uid="{00000000-0005-0000-0000-000057070000}"/>
    <cellStyle name="Normal 109 2 4 2" xfId="1886" xr:uid="{00000000-0005-0000-0000-000058070000}"/>
    <cellStyle name="Normal 109 2 4 2 2" xfId="2580" xr:uid="{00000000-0005-0000-0000-000059070000}"/>
    <cellStyle name="Normal 109 2 4 2 2 2" xfId="7097" xr:uid="{00000000-0005-0000-0000-00005A070000}"/>
    <cellStyle name="Normal 109 2 4 2 2 2 2" xfId="16138" xr:uid="{00000000-0005-0000-0000-00005B070000}"/>
    <cellStyle name="Normal 109 2 4 2 2 3" xfId="11625" xr:uid="{00000000-0005-0000-0000-00005C070000}"/>
    <cellStyle name="Normal 109 2 4 2 3" xfId="6409" xr:uid="{00000000-0005-0000-0000-00005D070000}"/>
    <cellStyle name="Normal 109 2 4 2 3 2" xfId="15450" xr:uid="{00000000-0005-0000-0000-00005E070000}"/>
    <cellStyle name="Normal 109 2 4 2 4" xfId="10937" xr:uid="{00000000-0005-0000-0000-00005F070000}"/>
    <cellStyle name="Normal 109 2 4 3" xfId="2579" xr:uid="{00000000-0005-0000-0000-000060070000}"/>
    <cellStyle name="Normal 109 2 4 3 2" xfId="7096" xr:uid="{00000000-0005-0000-0000-000061070000}"/>
    <cellStyle name="Normal 109 2 4 3 2 2" xfId="16137" xr:uid="{00000000-0005-0000-0000-000062070000}"/>
    <cellStyle name="Normal 109 2 4 3 3" xfId="11624" xr:uid="{00000000-0005-0000-0000-000063070000}"/>
    <cellStyle name="Normal 109 2 4 4" xfId="5281" xr:uid="{00000000-0005-0000-0000-000064070000}"/>
    <cellStyle name="Normal 109 2 4 4 2" xfId="14322" xr:uid="{00000000-0005-0000-0000-000065070000}"/>
    <cellStyle name="Normal 109 2 4 5" xfId="9809" xr:uid="{00000000-0005-0000-0000-000066070000}"/>
    <cellStyle name="Normal 109 2 5" xfId="1322" xr:uid="{00000000-0005-0000-0000-000067070000}"/>
    <cellStyle name="Normal 109 2 5 2" xfId="2581" xr:uid="{00000000-0005-0000-0000-000068070000}"/>
    <cellStyle name="Normal 109 2 5 2 2" xfId="7098" xr:uid="{00000000-0005-0000-0000-000069070000}"/>
    <cellStyle name="Normal 109 2 5 2 2 2" xfId="16139" xr:uid="{00000000-0005-0000-0000-00006A070000}"/>
    <cellStyle name="Normal 109 2 5 2 3" xfId="11626" xr:uid="{00000000-0005-0000-0000-00006B070000}"/>
    <cellStyle name="Normal 109 2 5 3" xfId="5845" xr:uid="{00000000-0005-0000-0000-00006C070000}"/>
    <cellStyle name="Normal 109 2 5 3 2" xfId="14886" xr:uid="{00000000-0005-0000-0000-00006D070000}"/>
    <cellStyle name="Normal 109 2 5 4" xfId="10373" xr:uid="{00000000-0005-0000-0000-00006E070000}"/>
    <cellStyle name="Normal 109 2 6" xfId="2570" xr:uid="{00000000-0005-0000-0000-00006F070000}"/>
    <cellStyle name="Normal 109 2 6 2" xfId="7087" xr:uid="{00000000-0005-0000-0000-000070070000}"/>
    <cellStyle name="Normal 109 2 6 2 2" xfId="16128" xr:uid="{00000000-0005-0000-0000-000071070000}"/>
    <cellStyle name="Normal 109 2 6 3" xfId="11615" xr:uid="{00000000-0005-0000-0000-000072070000}"/>
    <cellStyle name="Normal 109 2 7" xfId="4717" xr:uid="{00000000-0005-0000-0000-000073070000}"/>
    <cellStyle name="Normal 109 2 7 2" xfId="13758" xr:uid="{00000000-0005-0000-0000-000074070000}"/>
    <cellStyle name="Normal 109 2 8" xfId="9245" xr:uid="{00000000-0005-0000-0000-000075070000}"/>
    <cellStyle name="Normal 109 3" xfId="246" xr:uid="{00000000-0005-0000-0000-000076070000}"/>
    <cellStyle name="Normal 109 3 2" xfId="810" xr:uid="{00000000-0005-0000-0000-000077070000}"/>
    <cellStyle name="Normal 109 3 2 2" xfId="1980" xr:uid="{00000000-0005-0000-0000-000078070000}"/>
    <cellStyle name="Normal 109 3 2 2 2" xfId="2584" xr:uid="{00000000-0005-0000-0000-000079070000}"/>
    <cellStyle name="Normal 109 3 2 2 2 2" xfId="7101" xr:uid="{00000000-0005-0000-0000-00007A070000}"/>
    <cellStyle name="Normal 109 3 2 2 2 2 2" xfId="16142" xr:uid="{00000000-0005-0000-0000-00007B070000}"/>
    <cellStyle name="Normal 109 3 2 2 2 3" xfId="11629" xr:uid="{00000000-0005-0000-0000-00007C070000}"/>
    <cellStyle name="Normal 109 3 2 2 3" xfId="6503" xr:uid="{00000000-0005-0000-0000-00007D070000}"/>
    <cellStyle name="Normal 109 3 2 2 3 2" xfId="15544" xr:uid="{00000000-0005-0000-0000-00007E070000}"/>
    <cellStyle name="Normal 109 3 2 2 4" xfId="11031" xr:uid="{00000000-0005-0000-0000-00007F070000}"/>
    <cellStyle name="Normal 109 3 2 3" xfId="2583" xr:uid="{00000000-0005-0000-0000-000080070000}"/>
    <cellStyle name="Normal 109 3 2 3 2" xfId="7100" xr:uid="{00000000-0005-0000-0000-000081070000}"/>
    <cellStyle name="Normal 109 3 2 3 2 2" xfId="16141" xr:uid="{00000000-0005-0000-0000-000082070000}"/>
    <cellStyle name="Normal 109 3 2 3 3" xfId="11628" xr:uid="{00000000-0005-0000-0000-000083070000}"/>
    <cellStyle name="Normal 109 3 2 4" xfId="5375" xr:uid="{00000000-0005-0000-0000-000084070000}"/>
    <cellStyle name="Normal 109 3 2 4 2" xfId="14416" xr:uid="{00000000-0005-0000-0000-000085070000}"/>
    <cellStyle name="Normal 109 3 2 5" xfId="9903" xr:uid="{00000000-0005-0000-0000-000086070000}"/>
    <cellStyle name="Normal 109 3 3" xfId="1416" xr:uid="{00000000-0005-0000-0000-000087070000}"/>
    <cellStyle name="Normal 109 3 3 2" xfId="2585" xr:uid="{00000000-0005-0000-0000-000088070000}"/>
    <cellStyle name="Normal 109 3 3 2 2" xfId="7102" xr:uid="{00000000-0005-0000-0000-000089070000}"/>
    <cellStyle name="Normal 109 3 3 2 2 2" xfId="16143" xr:uid="{00000000-0005-0000-0000-00008A070000}"/>
    <cellStyle name="Normal 109 3 3 2 3" xfId="11630" xr:uid="{00000000-0005-0000-0000-00008B070000}"/>
    <cellStyle name="Normal 109 3 3 3" xfId="5939" xr:uid="{00000000-0005-0000-0000-00008C070000}"/>
    <cellStyle name="Normal 109 3 3 3 2" xfId="14980" xr:uid="{00000000-0005-0000-0000-00008D070000}"/>
    <cellStyle name="Normal 109 3 3 4" xfId="10467" xr:uid="{00000000-0005-0000-0000-00008E070000}"/>
    <cellStyle name="Normal 109 3 4" xfId="2582" xr:uid="{00000000-0005-0000-0000-00008F070000}"/>
    <cellStyle name="Normal 109 3 4 2" xfId="7099" xr:uid="{00000000-0005-0000-0000-000090070000}"/>
    <cellStyle name="Normal 109 3 4 2 2" xfId="16140" xr:uid="{00000000-0005-0000-0000-000091070000}"/>
    <cellStyle name="Normal 109 3 4 3" xfId="11627" xr:uid="{00000000-0005-0000-0000-000092070000}"/>
    <cellStyle name="Normal 109 3 5" xfId="4811" xr:uid="{00000000-0005-0000-0000-000093070000}"/>
    <cellStyle name="Normal 109 3 5 2" xfId="13852" xr:uid="{00000000-0005-0000-0000-000094070000}"/>
    <cellStyle name="Normal 109 3 6" xfId="9339" xr:uid="{00000000-0005-0000-0000-000095070000}"/>
    <cellStyle name="Normal 109 4" xfId="434" xr:uid="{00000000-0005-0000-0000-000096070000}"/>
    <cellStyle name="Normal 109 4 2" xfId="998" xr:uid="{00000000-0005-0000-0000-000097070000}"/>
    <cellStyle name="Normal 109 4 2 2" xfId="2168" xr:uid="{00000000-0005-0000-0000-000098070000}"/>
    <cellStyle name="Normal 109 4 2 2 2" xfId="2588" xr:uid="{00000000-0005-0000-0000-000099070000}"/>
    <cellStyle name="Normal 109 4 2 2 2 2" xfId="7105" xr:uid="{00000000-0005-0000-0000-00009A070000}"/>
    <cellStyle name="Normal 109 4 2 2 2 2 2" xfId="16146" xr:uid="{00000000-0005-0000-0000-00009B070000}"/>
    <cellStyle name="Normal 109 4 2 2 2 3" xfId="11633" xr:uid="{00000000-0005-0000-0000-00009C070000}"/>
    <cellStyle name="Normal 109 4 2 2 3" xfId="6691" xr:uid="{00000000-0005-0000-0000-00009D070000}"/>
    <cellStyle name="Normal 109 4 2 2 3 2" xfId="15732" xr:uid="{00000000-0005-0000-0000-00009E070000}"/>
    <cellStyle name="Normal 109 4 2 2 4" xfId="11219" xr:uid="{00000000-0005-0000-0000-00009F070000}"/>
    <cellStyle name="Normal 109 4 2 3" xfId="2587" xr:uid="{00000000-0005-0000-0000-0000A0070000}"/>
    <cellStyle name="Normal 109 4 2 3 2" xfId="7104" xr:uid="{00000000-0005-0000-0000-0000A1070000}"/>
    <cellStyle name="Normal 109 4 2 3 2 2" xfId="16145" xr:uid="{00000000-0005-0000-0000-0000A2070000}"/>
    <cellStyle name="Normal 109 4 2 3 3" xfId="11632" xr:uid="{00000000-0005-0000-0000-0000A3070000}"/>
    <cellStyle name="Normal 109 4 2 4" xfId="5563" xr:uid="{00000000-0005-0000-0000-0000A4070000}"/>
    <cellStyle name="Normal 109 4 2 4 2" xfId="14604" xr:uid="{00000000-0005-0000-0000-0000A5070000}"/>
    <cellStyle name="Normal 109 4 2 5" xfId="10091" xr:uid="{00000000-0005-0000-0000-0000A6070000}"/>
    <cellStyle name="Normal 109 4 3" xfId="1604" xr:uid="{00000000-0005-0000-0000-0000A7070000}"/>
    <cellStyle name="Normal 109 4 3 2" xfId="2589" xr:uid="{00000000-0005-0000-0000-0000A8070000}"/>
    <cellStyle name="Normal 109 4 3 2 2" xfId="7106" xr:uid="{00000000-0005-0000-0000-0000A9070000}"/>
    <cellStyle name="Normal 109 4 3 2 2 2" xfId="16147" xr:uid="{00000000-0005-0000-0000-0000AA070000}"/>
    <cellStyle name="Normal 109 4 3 2 3" xfId="11634" xr:uid="{00000000-0005-0000-0000-0000AB070000}"/>
    <cellStyle name="Normal 109 4 3 3" xfId="6127" xr:uid="{00000000-0005-0000-0000-0000AC070000}"/>
    <cellStyle name="Normal 109 4 3 3 2" xfId="15168" xr:uid="{00000000-0005-0000-0000-0000AD070000}"/>
    <cellStyle name="Normal 109 4 3 4" xfId="10655" xr:uid="{00000000-0005-0000-0000-0000AE070000}"/>
    <cellStyle name="Normal 109 4 4" xfId="2586" xr:uid="{00000000-0005-0000-0000-0000AF070000}"/>
    <cellStyle name="Normal 109 4 4 2" xfId="7103" xr:uid="{00000000-0005-0000-0000-0000B0070000}"/>
    <cellStyle name="Normal 109 4 4 2 2" xfId="16144" xr:uid="{00000000-0005-0000-0000-0000B1070000}"/>
    <cellStyle name="Normal 109 4 4 3" xfId="11631" xr:uid="{00000000-0005-0000-0000-0000B2070000}"/>
    <cellStyle name="Normal 109 4 5" xfId="4999" xr:uid="{00000000-0005-0000-0000-0000B3070000}"/>
    <cellStyle name="Normal 109 4 5 2" xfId="14040" xr:uid="{00000000-0005-0000-0000-0000B4070000}"/>
    <cellStyle name="Normal 109 4 6" xfId="9527" xr:uid="{00000000-0005-0000-0000-0000B5070000}"/>
    <cellStyle name="Normal 109 5" xfId="622" xr:uid="{00000000-0005-0000-0000-0000B6070000}"/>
    <cellStyle name="Normal 109 5 2" xfId="1792" xr:uid="{00000000-0005-0000-0000-0000B7070000}"/>
    <cellStyle name="Normal 109 5 2 2" xfId="2591" xr:uid="{00000000-0005-0000-0000-0000B8070000}"/>
    <cellStyle name="Normal 109 5 2 2 2" xfId="7108" xr:uid="{00000000-0005-0000-0000-0000B9070000}"/>
    <cellStyle name="Normal 109 5 2 2 2 2" xfId="16149" xr:uid="{00000000-0005-0000-0000-0000BA070000}"/>
    <cellStyle name="Normal 109 5 2 2 3" xfId="11636" xr:uid="{00000000-0005-0000-0000-0000BB070000}"/>
    <cellStyle name="Normal 109 5 2 3" xfId="6315" xr:uid="{00000000-0005-0000-0000-0000BC070000}"/>
    <cellStyle name="Normal 109 5 2 3 2" xfId="15356" xr:uid="{00000000-0005-0000-0000-0000BD070000}"/>
    <cellStyle name="Normal 109 5 2 4" xfId="10843" xr:uid="{00000000-0005-0000-0000-0000BE070000}"/>
    <cellStyle name="Normal 109 5 3" xfId="2590" xr:uid="{00000000-0005-0000-0000-0000BF070000}"/>
    <cellStyle name="Normal 109 5 3 2" xfId="7107" xr:uid="{00000000-0005-0000-0000-0000C0070000}"/>
    <cellStyle name="Normal 109 5 3 2 2" xfId="16148" xr:uid="{00000000-0005-0000-0000-0000C1070000}"/>
    <cellStyle name="Normal 109 5 3 3" xfId="11635" xr:uid="{00000000-0005-0000-0000-0000C2070000}"/>
    <cellStyle name="Normal 109 5 4" xfId="5187" xr:uid="{00000000-0005-0000-0000-0000C3070000}"/>
    <cellStyle name="Normal 109 5 4 2" xfId="14228" xr:uid="{00000000-0005-0000-0000-0000C4070000}"/>
    <cellStyle name="Normal 109 5 5" xfId="9715" xr:uid="{00000000-0005-0000-0000-0000C5070000}"/>
    <cellStyle name="Normal 109 6" xfId="1228" xr:uid="{00000000-0005-0000-0000-0000C6070000}"/>
    <cellStyle name="Normal 109 6 2" xfId="2592" xr:uid="{00000000-0005-0000-0000-0000C7070000}"/>
    <cellStyle name="Normal 109 6 2 2" xfId="7109" xr:uid="{00000000-0005-0000-0000-0000C8070000}"/>
    <cellStyle name="Normal 109 6 2 2 2" xfId="16150" xr:uid="{00000000-0005-0000-0000-0000C9070000}"/>
    <cellStyle name="Normal 109 6 2 3" xfId="11637" xr:uid="{00000000-0005-0000-0000-0000CA070000}"/>
    <cellStyle name="Normal 109 6 3" xfId="5751" xr:uid="{00000000-0005-0000-0000-0000CB070000}"/>
    <cellStyle name="Normal 109 6 3 2" xfId="14792" xr:uid="{00000000-0005-0000-0000-0000CC070000}"/>
    <cellStyle name="Normal 109 6 4" xfId="10279" xr:uid="{00000000-0005-0000-0000-0000CD070000}"/>
    <cellStyle name="Normal 109 7" xfId="2569" xr:uid="{00000000-0005-0000-0000-0000CE070000}"/>
    <cellStyle name="Normal 109 7 2" xfId="7086" xr:uid="{00000000-0005-0000-0000-0000CF070000}"/>
    <cellStyle name="Normal 109 7 2 2" xfId="16127" xr:uid="{00000000-0005-0000-0000-0000D0070000}"/>
    <cellStyle name="Normal 109 7 3" xfId="11614" xr:uid="{00000000-0005-0000-0000-0000D1070000}"/>
    <cellStyle name="Normal 109 8" xfId="4623" xr:uid="{00000000-0005-0000-0000-0000D2070000}"/>
    <cellStyle name="Normal 109 8 2" xfId="13664" xr:uid="{00000000-0005-0000-0000-0000D3070000}"/>
    <cellStyle name="Normal 109 9" xfId="9151" xr:uid="{00000000-0005-0000-0000-0000D4070000}"/>
    <cellStyle name="Normal 11" xfId="18176" xr:uid="{00000000-0005-0000-0000-0000D5070000}"/>
    <cellStyle name="Normal 110" xfId="16" xr:uid="{00000000-0005-0000-0000-0000D6070000}"/>
    <cellStyle name="Normal 110 2" xfId="112" xr:uid="{00000000-0005-0000-0000-0000D7070000}"/>
    <cellStyle name="Normal 110 2 2" xfId="341" xr:uid="{00000000-0005-0000-0000-0000D8070000}"/>
    <cellStyle name="Normal 110 2 2 2" xfId="905" xr:uid="{00000000-0005-0000-0000-0000D9070000}"/>
    <cellStyle name="Normal 110 2 2 2 2" xfId="2075" xr:uid="{00000000-0005-0000-0000-0000DA070000}"/>
    <cellStyle name="Normal 110 2 2 2 2 2" xfId="2597" xr:uid="{00000000-0005-0000-0000-0000DB070000}"/>
    <cellStyle name="Normal 110 2 2 2 2 2 2" xfId="7114" xr:uid="{00000000-0005-0000-0000-0000DC070000}"/>
    <cellStyle name="Normal 110 2 2 2 2 2 2 2" xfId="16155" xr:uid="{00000000-0005-0000-0000-0000DD070000}"/>
    <cellStyle name="Normal 110 2 2 2 2 2 3" xfId="11642" xr:uid="{00000000-0005-0000-0000-0000DE070000}"/>
    <cellStyle name="Normal 110 2 2 2 2 3" xfId="6598" xr:uid="{00000000-0005-0000-0000-0000DF070000}"/>
    <cellStyle name="Normal 110 2 2 2 2 3 2" xfId="15639" xr:uid="{00000000-0005-0000-0000-0000E0070000}"/>
    <cellStyle name="Normal 110 2 2 2 2 4" xfId="11126" xr:uid="{00000000-0005-0000-0000-0000E1070000}"/>
    <cellStyle name="Normal 110 2 2 2 3" xfId="2596" xr:uid="{00000000-0005-0000-0000-0000E2070000}"/>
    <cellStyle name="Normal 110 2 2 2 3 2" xfId="7113" xr:uid="{00000000-0005-0000-0000-0000E3070000}"/>
    <cellStyle name="Normal 110 2 2 2 3 2 2" xfId="16154" xr:uid="{00000000-0005-0000-0000-0000E4070000}"/>
    <cellStyle name="Normal 110 2 2 2 3 3" xfId="11641" xr:uid="{00000000-0005-0000-0000-0000E5070000}"/>
    <cellStyle name="Normal 110 2 2 2 4" xfId="5470" xr:uid="{00000000-0005-0000-0000-0000E6070000}"/>
    <cellStyle name="Normal 110 2 2 2 4 2" xfId="14511" xr:uid="{00000000-0005-0000-0000-0000E7070000}"/>
    <cellStyle name="Normal 110 2 2 2 5" xfId="9998" xr:uid="{00000000-0005-0000-0000-0000E8070000}"/>
    <cellStyle name="Normal 110 2 2 3" xfId="1511" xr:uid="{00000000-0005-0000-0000-0000E9070000}"/>
    <cellStyle name="Normal 110 2 2 3 2" xfId="2598" xr:uid="{00000000-0005-0000-0000-0000EA070000}"/>
    <cellStyle name="Normal 110 2 2 3 2 2" xfId="7115" xr:uid="{00000000-0005-0000-0000-0000EB070000}"/>
    <cellStyle name="Normal 110 2 2 3 2 2 2" xfId="16156" xr:uid="{00000000-0005-0000-0000-0000EC070000}"/>
    <cellStyle name="Normal 110 2 2 3 2 3" xfId="11643" xr:uid="{00000000-0005-0000-0000-0000ED070000}"/>
    <cellStyle name="Normal 110 2 2 3 3" xfId="6034" xr:uid="{00000000-0005-0000-0000-0000EE070000}"/>
    <cellStyle name="Normal 110 2 2 3 3 2" xfId="15075" xr:uid="{00000000-0005-0000-0000-0000EF070000}"/>
    <cellStyle name="Normal 110 2 2 3 4" xfId="10562" xr:uid="{00000000-0005-0000-0000-0000F0070000}"/>
    <cellStyle name="Normal 110 2 2 4" xfId="2595" xr:uid="{00000000-0005-0000-0000-0000F1070000}"/>
    <cellStyle name="Normal 110 2 2 4 2" xfId="7112" xr:uid="{00000000-0005-0000-0000-0000F2070000}"/>
    <cellStyle name="Normal 110 2 2 4 2 2" xfId="16153" xr:uid="{00000000-0005-0000-0000-0000F3070000}"/>
    <cellStyle name="Normal 110 2 2 4 3" xfId="11640" xr:uid="{00000000-0005-0000-0000-0000F4070000}"/>
    <cellStyle name="Normal 110 2 2 5" xfId="4906" xr:uid="{00000000-0005-0000-0000-0000F5070000}"/>
    <cellStyle name="Normal 110 2 2 5 2" xfId="13947" xr:uid="{00000000-0005-0000-0000-0000F6070000}"/>
    <cellStyle name="Normal 110 2 2 6" xfId="9434" xr:uid="{00000000-0005-0000-0000-0000F7070000}"/>
    <cellStyle name="Normal 110 2 3" xfId="529" xr:uid="{00000000-0005-0000-0000-0000F8070000}"/>
    <cellStyle name="Normal 110 2 3 2" xfId="1093" xr:uid="{00000000-0005-0000-0000-0000F9070000}"/>
    <cellStyle name="Normal 110 2 3 2 2" xfId="2263" xr:uid="{00000000-0005-0000-0000-0000FA070000}"/>
    <cellStyle name="Normal 110 2 3 2 2 2" xfId="2601" xr:uid="{00000000-0005-0000-0000-0000FB070000}"/>
    <cellStyle name="Normal 110 2 3 2 2 2 2" xfId="7118" xr:uid="{00000000-0005-0000-0000-0000FC070000}"/>
    <cellStyle name="Normal 110 2 3 2 2 2 2 2" xfId="16159" xr:uid="{00000000-0005-0000-0000-0000FD070000}"/>
    <cellStyle name="Normal 110 2 3 2 2 2 3" xfId="11646" xr:uid="{00000000-0005-0000-0000-0000FE070000}"/>
    <cellStyle name="Normal 110 2 3 2 2 3" xfId="6786" xr:uid="{00000000-0005-0000-0000-0000FF070000}"/>
    <cellStyle name="Normal 110 2 3 2 2 3 2" xfId="15827" xr:uid="{00000000-0005-0000-0000-000000080000}"/>
    <cellStyle name="Normal 110 2 3 2 2 4" xfId="11314" xr:uid="{00000000-0005-0000-0000-000001080000}"/>
    <cellStyle name="Normal 110 2 3 2 3" xfId="2600" xr:uid="{00000000-0005-0000-0000-000002080000}"/>
    <cellStyle name="Normal 110 2 3 2 3 2" xfId="7117" xr:uid="{00000000-0005-0000-0000-000003080000}"/>
    <cellStyle name="Normal 110 2 3 2 3 2 2" xfId="16158" xr:uid="{00000000-0005-0000-0000-000004080000}"/>
    <cellStyle name="Normal 110 2 3 2 3 3" xfId="11645" xr:uid="{00000000-0005-0000-0000-000005080000}"/>
    <cellStyle name="Normal 110 2 3 2 4" xfId="5658" xr:uid="{00000000-0005-0000-0000-000006080000}"/>
    <cellStyle name="Normal 110 2 3 2 4 2" xfId="14699" xr:uid="{00000000-0005-0000-0000-000007080000}"/>
    <cellStyle name="Normal 110 2 3 2 5" xfId="10186" xr:uid="{00000000-0005-0000-0000-000008080000}"/>
    <cellStyle name="Normal 110 2 3 3" xfId="1699" xr:uid="{00000000-0005-0000-0000-000009080000}"/>
    <cellStyle name="Normal 110 2 3 3 2" xfId="2602" xr:uid="{00000000-0005-0000-0000-00000A080000}"/>
    <cellStyle name="Normal 110 2 3 3 2 2" xfId="7119" xr:uid="{00000000-0005-0000-0000-00000B080000}"/>
    <cellStyle name="Normal 110 2 3 3 2 2 2" xfId="16160" xr:uid="{00000000-0005-0000-0000-00000C080000}"/>
    <cellStyle name="Normal 110 2 3 3 2 3" xfId="11647" xr:uid="{00000000-0005-0000-0000-00000D080000}"/>
    <cellStyle name="Normal 110 2 3 3 3" xfId="6222" xr:uid="{00000000-0005-0000-0000-00000E080000}"/>
    <cellStyle name="Normal 110 2 3 3 3 2" xfId="15263" xr:uid="{00000000-0005-0000-0000-00000F080000}"/>
    <cellStyle name="Normal 110 2 3 3 4" xfId="10750" xr:uid="{00000000-0005-0000-0000-000010080000}"/>
    <cellStyle name="Normal 110 2 3 4" xfId="2599" xr:uid="{00000000-0005-0000-0000-000011080000}"/>
    <cellStyle name="Normal 110 2 3 4 2" xfId="7116" xr:uid="{00000000-0005-0000-0000-000012080000}"/>
    <cellStyle name="Normal 110 2 3 4 2 2" xfId="16157" xr:uid="{00000000-0005-0000-0000-000013080000}"/>
    <cellStyle name="Normal 110 2 3 4 3" xfId="11644" xr:uid="{00000000-0005-0000-0000-000014080000}"/>
    <cellStyle name="Normal 110 2 3 5" xfId="5094" xr:uid="{00000000-0005-0000-0000-000015080000}"/>
    <cellStyle name="Normal 110 2 3 5 2" xfId="14135" xr:uid="{00000000-0005-0000-0000-000016080000}"/>
    <cellStyle name="Normal 110 2 3 6" xfId="9622" xr:uid="{00000000-0005-0000-0000-000017080000}"/>
    <cellStyle name="Normal 110 2 4" xfId="717" xr:uid="{00000000-0005-0000-0000-000018080000}"/>
    <cellStyle name="Normal 110 2 4 2" xfId="1887" xr:uid="{00000000-0005-0000-0000-000019080000}"/>
    <cellStyle name="Normal 110 2 4 2 2" xfId="2604" xr:uid="{00000000-0005-0000-0000-00001A080000}"/>
    <cellStyle name="Normal 110 2 4 2 2 2" xfId="7121" xr:uid="{00000000-0005-0000-0000-00001B080000}"/>
    <cellStyle name="Normal 110 2 4 2 2 2 2" xfId="16162" xr:uid="{00000000-0005-0000-0000-00001C080000}"/>
    <cellStyle name="Normal 110 2 4 2 2 3" xfId="11649" xr:uid="{00000000-0005-0000-0000-00001D080000}"/>
    <cellStyle name="Normal 110 2 4 2 3" xfId="6410" xr:uid="{00000000-0005-0000-0000-00001E080000}"/>
    <cellStyle name="Normal 110 2 4 2 3 2" xfId="15451" xr:uid="{00000000-0005-0000-0000-00001F080000}"/>
    <cellStyle name="Normal 110 2 4 2 4" xfId="10938" xr:uid="{00000000-0005-0000-0000-000020080000}"/>
    <cellStyle name="Normal 110 2 4 3" xfId="2603" xr:uid="{00000000-0005-0000-0000-000021080000}"/>
    <cellStyle name="Normal 110 2 4 3 2" xfId="7120" xr:uid="{00000000-0005-0000-0000-000022080000}"/>
    <cellStyle name="Normal 110 2 4 3 2 2" xfId="16161" xr:uid="{00000000-0005-0000-0000-000023080000}"/>
    <cellStyle name="Normal 110 2 4 3 3" xfId="11648" xr:uid="{00000000-0005-0000-0000-000024080000}"/>
    <cellStyle name="Normal 110 2 4 4" xfId="5282" xr:uid="{00000000-0005-0000-0000-000025080000}"/>
    <cellStyle name="Normal 110 2 4 4 2" xfId="14323" xr:uid="{00000000-0005-0000-0000-000026080000}"/>
    <cellStyle name="Normal 110 2 4 5" xfId="9810" xr:uid="{00000000-0005-0000-0000-000027080000}"/>
    <cellStyle name="Normal 110 2 5" xfId="1323" xr:uid="{00000000-0005-0000-0000-000028080000}"/>
    <cellStyle name="Normal 110 2 5 2" xfId="2605" xr:uid="{00000000-0005-0000-0000-000029080000}"/>
    <cellStyle name="Normal 110 2 5 2 2" xfId="7122" xr:uid="{00000000-0005-0000-0000-00002A080000}"/>
    <cellStyle name="Normal 110 2 5 2 2 2" xfId="16163" xr:uid="{00000000-0005-0000-0000-00002B080000}"/>
    <cellStyle name="Normal 110 2 5 2 3" xfId="11650" xr:uid="{00000000-0005-0000-0000-00002C080000}"/>
    <cellStyle name="Normal 110 2 5 3" xfId="5846" xr:uid="{00000000-0005-0000-0000-00002D080000}"/>
    <cellStyle name="Normal 110 2 5 3 2" xfId="14887" xr:uid="{00000000-0005-0000-0000-00002E080000}"/>
    <cellStyle name="Normal 110 2 5 4" xfId="10374" xr:uid="{00000000-0005-0000-0000-00002F080000}"/>
    <cellStyle name="Normal 110 2 6" xfId="2594" xr:uid="{00000000-0005-0000-0000-000030080000}"/>
    <cellStyle name="Normal 110 2 6 2" xfId="7111" xr:uid="{00000000-0005-0000-0000-000031080000}"/>
    <cellStyle name="Normal 110 2 6 2 2" xfId="16152" xr:uid="{00000000-0005-0000-0000-000032080000}"/>
    <cellStyle name="Normal 110 2 6 3" xfId="11639" xr:uid="{00000000-0005-0000-0000-000033080000}"/>
    <cellStyle name="Normal 110 2 7" xfId="4718" xr:uid="{00000000-0005-0000-0000-000034080000}"/>
    <cellStyle name="Normal 110 2 7 2" xfId="13759" xr:uid="{00000000-0005-0000-0000-000035080000}"/>
    <cellStyle name="Normal 110 2 8" xfId="9246" xr:uid="{00000000-0005-0000-0000-000036080000}"/>
    <cellStyle name="Normal 110 3" xfId="247" xr:uid="{00000000-0005-0000-0000-000037080000}"/>
    <cellStyle name="Normal 110 3 2" xfId="811" xr:uid="{00000000-0005-0000-0000-000038080000}"/>
    <cellStyle name="Normal 110 3 2 2" xfId="1981" xr:uid="{00000000-0005-0000-0000-000039080000}"/>
    <cellStyle name="Normal 110 3 2 2 2" xfId="2608" xr:uid="{00000000-0005-0000-0000-00003A080000}"/>
    <cellStyle name="Normal 110 3 2 2 2 2" xfId="7125" xr:uid="{00000000-0005-0000-0000-00003B080000}"/>
    <cellStyle name="Normal 110 3 2 2 2 2 2" xfId="16166" xr:uid="{00000000-0005-0000-0000-00003C080000}"/>
    <cellStyle name="Normal 110 3 2 2 2 3" xfId="11653" xr:uid="{00000000-0005-0000-0000-00003D080000}"/>
    <cellStyle name="Normal 110 3 2 2 3" xfId="6504" xr:uid="{00000000-0005-0000-0000-00003E080000}"/>
    <cellStyle name="Normal 110 3 2 2 3 2" xfId="15545" xr:uid="{00000000-0005-0000-0000-00003F080000}"/>
    <cellStyle name="Normal 110 3 2 2 4" xfId="11032" xr:uid="{00000000-0005-0000-0000-000040080000}"/>
    <cellStyle name="Normal 110 3 2 3" xfId="2607" xr:uid="{00000000-0005-0000-0000-000041080000}"/>
    <cellStyle name="Normal 110 3 2 3 2" xfId="7124" xr:uid="{00000000-0005-0000-0000-000042080000}"/>
    <cellStyle name="Normal 110 3 2 3 2 2" xfId="16165" xr:uid="{00000000-0005-0000-0000-000043080000}"/>
    <cellStyle name="Normal 110 3 2 3 3" xfId="11652" xr:uid="{00000000-0005-0000-0000-000044080000}"/>
    <cellStyle name="Normal 110 3 2 4" xfId="5376" xr:uid="{00000000-0005-0000-0000-000045080000}"/>
    <cellStyle name="Normal 110 3 2 4 2" xfId="14417" xr:uid="{00000000-0005-0000-0000-000046080000}"/>
    <cellStyle name="Normal 110 3 2 5" xfId="9904" xr:uid="{00000000-0005-0000-0000-000047080000}"/>
    <cellStyle name="Normal 110 3 3" xfId="1417" xr:uid="{00000000-0005-0000-0000-000048080000}"/>
    <cellStyle name="Normal 110 3 3 2" xfId="2609" xr:uid="{00000000-0005-0000-0000-000049080000}"/>
    <cellStyle name="Normal 110 3 3 2 2" xfId="7126" xr:uid="{00000000-0005-0000-0000-00004A080000}"/>
    <cellStyle name="Normal 110 3 3 2 2 2" xfId="16167" xr:uid="{00000000-0005-0000-0000-00004B080000}"/>
    <cellStyle name="Normal 110 3 3 2 3" xfId="11654" xr:uid="{00000000-0005-0000-0000-00004C080000}"/>
    <cellStyle name="Normal 110 3 3 3" xfId="5940" xr:uid="{00000000-0005-0000-0000-00004D080000}"/>
    <cellStyle name="Normal 110 3 3 3 2" xfId="14981" xr:uid="{00000000-0005-0000-0000-00004E080000}"/>
    <cellStyle name="Normal 110 3 3 4" xfId="10468" xr:uid="{00000000-0005-0000-0000-00004F080000}"/>
    <cellStyle name="Normal 110 3 4" xfId="2606" xr:uid="{00000000-0005-0000-0000-000050080000}"/>
    <cellStyle name="Normal 110 3 4 2" xfId="7123" xr:uid="{00000000-0005-0000-0000-000051080000}"/>
    <cellStyle name="Normal 110 3 4 2 2" xfId="16164" xr:uid="{00000000-0005-0000-0000-000052080000}"/>
    <cellStyle name="Normal 110 3 4 3" xfId="11651" xr:uid="{00000000-0005-0000-0000-000053080000}"/>
    <cellStyle name="Normal 110 3 5" xfId="4812" xr:uid="{00000000-0005-0000-0000-000054080000}"/>
    <cellStyle name="Normal 110 3 5 2" xfId="13853" xr:uid="{00000000-0005-0000-0000-000055080000}"/>
    <cellStyle name="Normal 110 3 6" xfId="9340" xr:uid="{00000000-0005-0000-0000-000056080000}"/>
    <cellStyle name="Normal 110 4" xfId="435" xr:uid="{00000000-0005-0000-0000-000057080000}"/>
    <cellStyle name="Normal 110 4 2" xfId="999" xr:uid="{00000000-0005-0000-0000-000058080000}"/>
    <cellStyle name="Normal 110 4 2 2" xfId="2169" xr:uid="{00000000-0005-0000-0000-000059080000}"/>
    <cellStyle name="Normal 110 4 2 2 2" xfId="2612" xr:uid="{00000000-0005-0000-0000-00005A080000}"/>
    <cellStyle name="Normal 110 4 2 2 2 2" xfId="7129" xr:uid="{00000000-0005-0000-0000-00005B080000}"/>
    <cellStyle name="Normal 110 4 2 2 2 2 2" xfId="16170" xr:uid="{00000000-0005-0000-0000-00005C080000}"/>
    <cellStyle name="Normal 110 4 2 2 2 3" xfId="11657" xr:uid="{00000000-0005-0000-0000-00005D080000}"/>
    <cellStyle name="Normal 110 4 2 2 3" xfId="6692" xr:uid="{00000000-0005-0000-0000-00005E080000}"/>
    <cellStyle name="Normal 110 4 2 2 3 2" xfId="15733" xr:uid="{00000000-0005-0000-0000-00005F080000}"/>
    <cellStyle name="Normal 110 4 2 2 4" xfId="11220" xr:uid="{00000000-0005-0000-0000-000060080000}"/>
    <cellStyle name="Normal 110 4 2 3" xfId="2611" xr:uid="{00000000-0005-0000-0000-000061080000}"/>
    <cellStyle name="Normal 110 4 2 3 2" xfId="7128" xr:uid="{00000000-0005-0000-0000-000062080000}"/>
    <cellStyle name="Normal 110 4 2 3 2 2" xfId="16169" xr:uid="{00000000-0005-0000-0000-000063080000}"/>
    <cellStyle name="Normal 110 4 2 3 3" xfId="11656" xr:uid="{00000000-0005-0000-0000-000064080000}"/>
    <cellStyle name="Normal 110 4 2 4" xfId="5564" xr:uid="{00000000-0005-0000-0000-000065080000}"/>
    <cellStyle name="Normal 110 4 2 4 2" xfId="14605" xr:uid="{00000000-0005-0000-0000-000066080000}"/>
    <cellStyle name="Normal 110 4 2 5" xfId="10092" xr:uid="{00000000-0005-0000-0000-000067080000}"/>
    <cellStyle name="Normal 110 4 3" xfId="1605" xr:uid="{00000000-0005-0000-0000-000068080000}"/>
    <cellStyle name="Normal 110 4 3 2" xfId="2613" xr:uid="{00000000-0005-0000-0000-000069080000}"/>
    <cellStyle name="Normal 110 4 3 2 2" xfId="7130" xr:uid="{00000000-0005-0000-0000-00006A080000}"/>
    <cellStyle name="Normal 110 4 3 2 2 2" xfId="16171" xr:uid="{00000000-0005-0000-0000-00006B080000}"/>
    <cellStyle name="Normal 110 4 3 2 3" xfId="11658" xr:uid="{00000000-0005-0000-0000-00006C080000}"/>
    <cellStyle name="Normal 110 4 3 3" xfId="6128" xr:uid="{00000000-0005-0000-0000-00006D080000}"/>
    <cellStyle name="Normal 110 4 3 3 2" xfId="15169" xr:uid="{00000000-0005-0000-0000-00006E080000}"/>
    <cellStyle name="Normal 110 4 3 4" xfId="10656" xr:uid="{00000000-0005-0000-0000-00006F080000}"/>
    <cellStyle name="Normal 110 4 4" xfId="2610" xr:uid="{00000000-0005-0000-0000-000070080000}"/>
    <cellStyle name="Normal 110 4 4 2" xfId="7127" xr:uid="{00000000-0005-0000-0000-000071080000}"/>
    <cellStyle name="Normal 110 4 4 2 2" xfId="16168" xr:uid="{00000000-0005-0000-0000-000072080000}"/>
    <cellStyle name="Normal 110 4 4 3" xfId="11655" xr:uid="{00000000-0005-0000-0000-000073080000}"/>
    <cellStyle name="Normal 110 4 5" xfId="5000" xr:uid="{00000000-0005-0000-0000-000074080000}"/>
    <cellStyle name="Normal 110 4 5 2" xfId="14041" xr:uid="{00000000-0005-0000-0000-000075080000}"/>
    <cellStyle name="Normal 110 4 6" xfId="9528" xr:uid="{00000000-0005-0000-0000-000076080000}"/>
    <cellStyle name="Normal 110 5" xfId="623" xr:uid="{00000000-0005-0000-0000-000077080000}"/>
    <cellStyle name="Normal 110 5 2" xfId="1793" xr:uid="{00000000-0005-0000-0000-000078080000}"/>
    <cellStyle name="Normal 110 5 2 2" xfId="2615" xr:uid="{00000000-0005-0000-0000-000079080000}"/>
    <cellStyle name="Normal 110 5 2 2 2" xfId="7132" xr:uid="{00000000-0005-0000-0000-00007A080000}"/>
    <cellStyle name="Normal 110 5 2 2 2 2" xfId="16173" xr:uid="{00000000-0005-0000-0000-00007B080000}"/>
    <cellStyle name="Normal 110 5 2 2 3" xfId="11660" xr:uid="{00000000-0005-0000-0000-00007C080000}"/>
    <cellStyle name="Normal 110 5 2 3" xfId="6316" xr:uid="{00000000-0005-0000-0000-00007D080000}"/>
    <cellStyle name="Normal 110 5 2 3 2" xfId="15357" xr:uid="{00000000-0005-0000-0000-00007E080000}"/>
    <cellStyle name="Normal 110 5 2 4" xfId="10844" xr:uid="{00000000-0005-0000-0000-00007F080000}"/>
    <cellStyle name="Normal 110 5 3" xfId="2614" xr:uid="{00000000-0005-0000-0000-000080080000}"/>
    <cellStyle name="Normal 110 5 3 2" xfId="7131" xr:uid="{00000000-0005-0000-0000-000081080000}"/>
    <cellStyle name="Normal 110 5 3 2 2" xfId="16172" xr:uid="{00000000-0005-0000-0000-000082080000}"/>
    <cellStyle name="Normal 110 5 3 3" xfId="11659" xr:uid="{00000000-0005-0000-0000-000083080000}"/>
    <cellStyle name="Normal 110 5 4" xfId="5188" xr:uid="{00000000-0005-0000-0000-000084080000}"/>
    <cellStyle name="Normal 110 5 4 2" xfId="14229" xr:uid="{00000000-0005-0000-0000-000085080000}"/>
    <cellStyle name="Normal 110 5 5" xfId="9716" xr:uid="{00000000-0005-0000-0000-000086080000}"/>
    <cellStyle name="Normal 110 6" xfId="1229" xr:uid="{00000000-0005-0000-0000-000087080000}"/>
    <cellStyle name="Normal 110 6 2" xfId="2616" xr:uid="{00000000-0005-0000-0000-000088080000}"/>
    <cellStyle name="Normal 110 6 2 2" xfId="7133" xr:uid="{00000000-0005-0000-0000-000089080000}"/>
    <cellStyle name="Normal 110 6 2 2 2" xfId="16174" xr:uid="{00000000-0005-0000-0000-00008A080000}"/>
    <cellStyle name="Normal 110 6 2 3" xfId="11661" xr:uid="{00000000-0005-0000-0000-00008B080000}"/>
    <cellStyle name="Normal 110 6 3" xfId="5752" xr:uid="{00000000-0005-0000-0000-00008C080000}"/>
    <cellStyle name="Normal 110 6 3 2" xfId="14793" xr:uid="{00000000-0005-0000-0000-00008D080000}"/>
    <cellStyle name="Normal 110 6 4" xfId="10280" xr:uid="{00000000-0005-0000-0000-00008E080000}"/>
    <cellStyle name="Normal 110 7" xfId="2593" xr:uid="{00000000-0005-0000-0000-00008F080000}"/>
    <cellStyle name="Normal 110 7 2" xfId="7110" xr:uid="{00000000-0005-0000-0000-000090080000}"/>
    <cellStyle name="Normal 110 7 2 2" xfId="16151" xr:uid="{00000000-0005-0000-0000-000091080000}"/>
    <cellStyle name="Normal 110 7 3" xfId="11638" xr:uid="{00000000-0005-0000-0000-000092080000}"/>
    <cellStyle name="Normal 110 8" xfId="4624" xr:uid="{00000000-0005-0000-0000-000093080000}"/>
    <cellStyle name="Normal 110 8 2" xfId="13665" xr:uid="{00000000-0005-0000-0000-000094080000}"/>
    <cellStyle name="Normal 110 9" xfId="9152" xr:uid="{00000000-0005-0000-0000-000095080000}"/>
    <cellStyle name="Normal 111" xfId="17" xr:uid="{00000000-0005-0000-0000-000096080000}"/>
    <cellStyle name="Normal 111 2" xfId="113" xr:uid="{00000000-0005-0000-0000-000097080000}"/>
    <cellStyle name="Normal 111 2 2" xfId="342" xr:uid="{00000000-0005-0000-0000-000098080000}"/>
    <cellStyle name="Normal 111 2 2 2" xfId="906" xr:uid="{00000000-0005-0000-0000-000099080000}"/>
    <cellStyle name="Normal 111 2 2 2 2" xfId="2076" xr:uid="{00000000-0005-0000-0000-00009A080000}"/>
    <cellStyle name="Normal 111 2 2 2 2 2" xfId="2621" xr:uid="{00000000-0005-0000-0000-00009B080000}"/>
    <cellStyle name="Normal 111 2 2 2 2 2 2" xfId="7138" xr:uid="{00000000-0005-0000-0000-00009C080000}"/>
    <cellStyle name="Normal 111 2 2 2 2 2 2 2" xfId="16179" xr:uid="{00000000-0005-0000-0000-00009D080000}"/>
    <cellStyle name="Normal 111 2 2 2 2 2 3" xfId="11666" xr:uid="{00000000-0005-0000-0000-00009E080000}"/>
    <cellStyle name="Normal 111 2 2 2 2 3" xfId="6599" xr:uid="{00000000-0005-0000-0000-00009F080000}"/>
    <cellStyle name="Normal 111 2 2 2 2 3 2" xfId="15640" xr:uid="{00000000-0005-0000-0000-0000A0080000}"/>
    <cellStyle name="Normal 111 2 2 2 2 4" xfId="11127" xr:uid="{00000000-0005-0000-0000-0000A1080000}"/>
    <cellStyle name="Normal 111 2 2 2 3" xfId="2620" xr:uid="{00000000-0005-0000-0000-0000A2080000}"/>
    <cellStyle name="Normal 111 2 2 2 3 2" xfId="7137" xr:uid="{00000000-0005-0000-0000-0000A3080000}"/>
    <cellStyle name="Normal 111 2 2 2 3 2 2" xfId="16178" xr:uid="{00000000-0005-0000-0000-0000A4080000}"/>
    <cellStyle name="Normal 111 2 2 2 3 3" xfId="11665" xr:uid="{00000000-0005-0000-0000-0000A5080000}"/>
    <cellStyle name="Normal 111 2 2 2 4" xfId="5471" xr:uid="{00000000-0005-0000-0000-0000A6080000}"/>
    <cellStyle name="Normal 111 2 2 2 4 2" xfId="14512" xr:uid="{00000000-0005-0000-0000-0000A7080000}"/>
    <cellStyle name="Normal 111 2 2 2 5" xfId="9999" xr:uid="{00000000-0005-0000-0000-0000A8080000}"/>
    <cellStyle name="Normal 111 2 2 3" xfId="1512" xr:uid="{00000000-0005-0000-0000-0000A9080000}"/>
    <cellStyle name="Normal 111 2 2 3 2" xfId="2622" xr:uid="{00000000-0005-0000-0000-0000AA080000}"/>
    <cellStyle name="Normal 111 2 2 3 2 2" xfId="7139" xr:uid="{00000000-0005-0000-0000-0000AB080000}"/>
    <cellStyle name="Normal 111 2 2 3 2 2 2" xfId="16180" xr:uid="{00000000-0005-0000-0000-0000AC080000}"/>
    <cellStyle name="Normal 111 2 2 3 2 3" xfId="11667" xr:uid="{00000000-0005-0000-0000-0000AD080000}"/>
    <cellStyle name="Normal 111 2 2 3 3" xfId="6035" xr:uid="{00000000-0005-0000-0000-0000AE080000}"/>
    <cellStyle name="Normal 111 2 2 3 3 2" xfId="15076" xr:uid="{00000000-0005-0000-0000-0000AF080000}"/>
    <cellStyle name="Normal 111 2 2 3 4" xfId="10563" xr:uid="{00000000-0005-0000-0000-0000B0080000}"/>
    <cellStyle name="Normal 111 2 2 4" xfId="2619" xr:uid="{00000000-0005-0000-0000-0000B1080000}"/>
    <cellStyle name="Normal 111 2 2 4 2" xfId="7136" xr:uid="{00000000-0005-0000-0000-0000B2080000}"/>
    <cellStyle name="Normal 111 2 2 4 2 2" xfId="16177" xr:uid="{00000000-0005-0000-0000-0000B3080000}"/>
    <cellStyle name="Normal 111 2 2 4 3" xfId="11664" xr:uid="{00000000-0005-0000-0000-0000B4080000}"/>
    <cellStyle name="Normal 111 2 2 5" xfId="4907" xr:uid="{00000000-0005-0000-0000-0000B5080000}"/>
    <cellStyle name="Normal 111 2 2 5 2" xfId="13948" xr:uid="{00000000-0005-0000-0000-0000B6080000}"/>
    <cellStyle name="Normal 111 2 2 6" xfId="9435" xr:uid="{00000000-0005-0000-0000-0000B7080000}"/>
    <cellStyle name="Normal 111 2 3" xfId="530" xr:uid="{00000000-0005-0000-0000-0000B8080000}"/>
    <cellStyle name="Normal 111 2 3 2" xfId="1094" xr:uid="{00000000-0005-0000-0000-0000B9080000}"/>
    <cellStyle name="Normal 111 2 3 2 2" xfId="2264" xr:uid="{00000000-0005-0000-0000-0000BA080000}"/>
    <cellStyle name="Normal 111 2 3 2 2 2" xfId="2625" xr:uid="{00000000-0005-0000-0000-0000BB080000}"/>
    <cellStyle name="Normal 111 2 3 2 2 2 2" xfId="7142" xr:uid="{00000000-0005-0000-0000-0000BC080000}"/>
    <cellStyle name="Normal 111 2 3 2 2 2 2 2" xfId="16183" xr:uid="{00000000-0005-0000-0000-0000BD080000}"/>
    <cellStyle name="Normal 111 2 3 2 2 2 3" xfId="11670" xr:uid="{00000000-0005-0000-0000-0000BE080000}"/>
    <cellStyle name="Normal 111 2 3 2 2 3" xfId="6787" xr:uid="{00000000-0005-0000-0000-0000BF080000}"/>
    <cellStyle name="Normal 111 2 3 2 2 3 2" xfId="15828" xr:uid="{00000000-0005-0000-0000-0000C0080000}"/>
    <cellStyle name="Normal 111 2 3 2 2 4" xfId="11315" xr:uid="{00000000-0005-0000-0000-0000C1080000}"/>
    <cellStyle name="Normal 111 2 3 2 3" xfId="2624" xr:uid="{00000000-0005-0000-0000-0000C2080000}"/>
    <cellStyle name="Normal 111 2 3 2 3 2" xfId="7141" xr:uid="{00000000-0005-0000-0000-0000C3080000}"/>
    <cellStyle name="Normal 111 2 3 2 3 2 2" xfId="16182" xr:uid="{00000000-0005-0000-0000-0000C4080000}"/>
    <cellStyle name="Normal 111 2 3 2 3 3" xfId="11669" xr:uid="{00000000-0005-0000-0000-0000C5080000}"/>
    <cellStyle name="Normal 111 2 3 2 4" xfId="5659" xr:uid="{00000000-0005-0000-0000-0000C6080000}"/>
    <cellStyle name="Normal 111 2 3 2 4 2" xfId="14700" xr:uid="{00000000-0005-0000-0000-0000C7080000}"/>
    <cellStyle name="Normal 111 2 3 2 5" xfId="10187" xr:uid="{00000000-0005-0000-0000-0000C8080000}"/>
    <cellStyle name="Normal 111 2 3 3" xfId="1700" xr:uid="{00000000-0005-0000-0000-0000C9080000}"/>
    <cellStyle name="Normal 111 2 3 3 2" xfId="2626" xr:uid="{00000000-0005-0000-0000-0000CA080000}"/>
    <cellStyle name="Normal 111 2 3 3 2 2" xfId="7143" xr:uid="{00000000-0005-0000-0000-0000CB080000}"/>
    <cellStyle name="Normal 111 2 3 3 2 2 2" xfId="16184" xr:uid="{00000000-0005-0000-0000-0000CC080000}"/>
    <cellStyle name="Normal 111 2 3 3 2 3" xfId="11671" xr:uid="{00000000-0005-0000-0000-0000CD080000}"/>
    <cellStyle name="Normal 111 2 3 3 3" xfId="6223" xr:uid="{00000000-0005-0000-0000-0000CE080000}"/>
    <cellStyle name="Normal 111 2 3 3 3 2" xfId="15264" xr:uid="{00000000-0005-0000-0000-0000CF080000}"/>
    <cellStyle name="Normal 111 2 3 3 4" xfId="10751" xr:uid="{00000000-0005-0000-0000-0000D0080000}"/>
    <cellStyle name="Normal 111 2 3 4" xfId="2623" xr:uid="{00000000-0005-0000-0000-0000D1080000}"/>
    <cellStyle name="Normal 111 2 3 4 2" xfId="7140" xr:uid="{00000000-0005-0000-0000-0000D2080000}"/>
    <cellStyle name="Normal 111 2 3 4 2 2" xfId="16181" xr:uid="{00000000-0005-0000-0000-0000D3080000}"/>
    <cellStyle name="Normal 111 2 3 4 3" xfId="11668" xr:uid="{00000000-0005-0000-0000-0000D4080000}"/>
    <cellStyle name="Normal 111 2 3 5" xfId="5095" xr:uid="{00000000-0005-0000-0000-0000D5080000}"/>
    <cellStyle name="Normal 111 2 3 5 2" xfId="14136" xr:uid="{00000000-0005-0000-0000-0000D6080000}"/>
    <cellStyle name="Normal 111 2 3 6" xfId="9623" xr:uid="{00000000-0005-0000-0000-0000D7080000}"/>
    <cellStyle name="Normal 111 2 4" xfId="718" xr:uid="{00000000-0005-0000-0000-0000D8080000}"/>
    <cellStyle name="Normal 111 2 4 2" xfId="1888" xr:uid="{00000000-0005-0000-0000-0000D9080000}"/>
    <cellStyle name="Normal 111 2 4 2 2" xfId="2628" xr:uid="{00000000-0005-0000-0000-0000DA080000}"/>
    <cellStyle name="Normal 111 2 4 2 2 2" xfId="7145" xr:uid="{00000000-0005-0000-0000-0000DB080000}"/>
    <cellStyle name="Normal 111 2 4 2 2 2 2" xfId="16186" xr:uid="{00000000-0005-0000-0000-0000DC080000}"/>
    <cellStyle name="Normal 111 2 4 2 2 3" xfId="11673" xr:uid="{00000000-0005-0000-0000-0000DD080000}"/>
    <cellStyle name="Normal 111 2 4 2 3" xfId="6411" xr:uid="{00000000-0005-0000-0000-0000DE080000}"/>
    <cellStyle name="Normal 111 2 4 2 3 2" xfId="15452" xr:uid="{00000000-0005-0000-0000-0000DF080000}"/>
    <cellStyle name="Normal 111 2 4 2 4" xfId="10939" xr:uid="{00000000-0005-0000-0000-0000E0080000}"/>
    <cellStyle name="Normal 111 2 4 3" xfId="2627" xr:uid="{00000000-0005-0000-0000-0000E1080000}"/>
    <cellStyle name="Normal 111 2 4 3 2" xfId="7144" xr:uid="{00000000-0005-0000-0000-0000E2080000}"/>
    <cellStyle name="Normal 111 2 4 3 2 2" xfId="16185" xr:uid="{00000000-0005-0000-0000-0000E3080000}"/>
    <cellStyle name="Normal 111 2 4 3 3" xfId="11672" xr:uid="{00000000-0005-0000-0000-0000E4080000}"/>
    <cellStyle name="Normal 111 2 4 4" xfId="5283" xr:uid="{00000000-0005-0000-0000-0000E5080000}"/>
    <cellStyle name="Normal 111 2 4 4 2" xfId="14324" xr:uid="{00000000-0005-0000-0000-0000E6080000}"/>
    <cellStyle name="Normal 111 2 4 5" xfId="9811" xr:uid="{00000000-0005-0000-0000-0000E7080000}"/>
    <cellStyle name="Normal 111 2 5" xfId="1324" xr:uid="{00000000-0005-0000-0000-0000E8080000}"/>
    <cellStyle name="Normal 111 2 5 2" xfId="2629" xr:uid="{00000000-0005-0000-0000-0000E9080000}"/>
    <cellStyle name="Normal 111 2 5 2 2" xfId="7146" xr:uid="{00000000-0005-0000-0000-0000EA080000}"/>
    <cellStyle name="Normal 111 2 5 2 2 2" xfId="16187" xr:uid="{00000000-0005-0000-0000-0000EB080000}"/>
    <cellStyle name="Normal 111 2 5 2 3" xfId="11674" xr:uid="{00000000-0005-0000-0000-0000EC080000}"/>
    <cellStyle name="Normal 111 2 5 3" xfId="5847" xr:uid="{00000000-0005-0000-0000-0000ED080000}"/>
    <cellStyle name="Normal 111 2 5 3 2" xfId="14888" xr:uid="{00000000-0005-0000-0000-0000EE080000}"/>
    <cellStyle name="Normal 111 2 5 4" xfId="10375" xr:uid="{00000000-0005-0000-0000-0000EF080000}"/>
    <cellStyle name="Normal 111 2 6" xfId="2618" xr:uid="{00000000-0005-0000-0000-0000F0080000}"/>
    <cellStyle name="Normal 111 2 6 2" xfId="7135" xr:uid="{00000000-0005-0000-0000-0000F1080000}"/>
    <cellStyle name="Normal 111 2 6 2 2" xfId="16176" xr:uid="{00000000-0005-0000-0000-0000F2080000}"/>
    <cellStyle name="Normal 111 2 6 3" xfId="11663" xr:uid="{00000000-0005-0000-0000-0000F3080000}"/>
    <cellStyle name="Normal 111 2 7" xfId="4719" xr:uid="{00000000-0005-0000-0000-0000F4080000}"/>
    <cellStyle name="Normal 111 2 7 2" xfId="13760" xr:uid="{00000000-0005-0000-0000-0000F5080000}"/>
    <cellStyle name="Normal 111 2 8" xfId="9247" xr:uid="{00000000-0005-0000-0000-0000F6080000}"/>
    <cellStyle name="Normal 111 3" xfId="248" xr:uid="{00000000-0005-0000-0000-0000F7080000}"/>
    <cellStyle name="Normal 111 3 2" xfId="812" xr:uid="{00000000-0005-0000-0000-0000F8080000}"/>
    <cellStyle name="Normal 111 3 2 2" xfId="1982" xr:uid="{00000000-0005-0000-0000-0000F9080000}"/>
    <cellStyle name="Normal 111 3 2 2 2" xfId="2632" xr:uid="{00000000-0005-0000-0000-0000FA080000}"/>
    <cellStyle name="Normal 111 3 2 2 2 2" xfId="7149" xr:uid="{00000000-0005-0000-0000-0000FB080000}"/>
    <cellStyle name="Normal 111 3 2 2 2 2 2" xfId="16190" xr:uid="{00000000-0005-0000-0000-0000FC080000}"/>
    <cellStyle name="Normal 111 3 2 2 2 3" xfId="11677" xr:uid="{00000000-0005-0000-0000-0000FD080000}"/>
    <cellStyle name="Normal 111 3 2 2 3" xfId="6505" xr:uid="{00000000-0005-0000-0000-0000FE080000}"/>
    <cellStyle name="Normal 111 3 2 2 3 2" xfId="15546" xr:uid="{00000000-0005-0000-0000-0000FF080000}"/>
    <cellStyle name="Normal 111 3 2 2 4" xfId="11033" xr:uid="{00000000-0005-0000-0000-000000090000}"/>
    <cellStyle name="Normal 111 3 2 3" xfId="2631" xr:uid="{00000000-0005-0000-0000-000001090000}"/>
    <cellStyle name="Normal 111 3 2 3 2" xfId="7148" xr:uid="{00000000-0005-0000-0000-000002090000}"/>
    <cellStyle name="Normal 111 3 2 3 2 2" xfId="16189" xr:uid="{00000000-0005-0000-0000-000003090000}"/>
    <cellStyle name="Normal 111 3 2 3 3" xfId="11676" xr:uid="{00000000-0005-0000-0000-000004090000}"/>
    <cellStyle name="Normal 111 3 2 4" xfId="5377" xr:uid="{00000000-0005-0000-0000-000005090000}"/>
    <cellStyle name="Normal 111 3 2 4 2" xfId="14418" xr:uid="{00000000-0005-0000-0000-000006090000}"/>
    <cellStyle name="Normal 111 3 2 5" xfId="9905" xr:uid="{00000000-0005-0000-0000-000007090000}"/>
    <cellStyle name="Normal 111 3 3" xfId="1418" xr:uid="{00000000-0005-0000-0000-000008090000}"/>
    <cellStyle name="Normal 111 3 3 2" xfId="2633" xr:uid="{00000000-0005-0000-0000-000009090000}"/>
    <cellStyle name="Normal 111 3 3 2 2" xfId="7150" xr:uid="{00000000-0005-0000-0000-00000A090000}"/>
    <cellStyle name="Normal 111 3 3 2 2 2" xfId="16191" xr:uid="{00000000-0005-0000-0000-00000B090000}"/>
    <cellStyle name="Normal 111 3 3 2 3" xfId="11678" xr:uid="{00000000-0005-0000-0000-00000C090000}"/>
    <cellStyle name="Normal 111 3 3 3" xfId="5941" xr:uid="{00000000-0005-0000-0000-00000D090000}"/>
    <cellStyle name="Normal 111 3 3 3 2" xfId="14982" xr:uid="{00000000-0005-0000-0000-00000E090000}"/>
    <cellStyle name="Normal 111 3 3 4" xfId="10469" xr:uid="{00000000-0005-0000-0000-00000F090000}"/>
    <cellStyle name="Normal 111 3 4" xfId="2630" xr:uid="{00000000-0005-0000-0000-000010090000}"/>
    <cellStyle name="Normal 111 3 4 2" xfId="7147" xr:uid="{00000000-0005-0000-0000-000011090000}"/>
    <cellStyle name="Normal 111 3 4 2 2" xfId="16188" xr:uid="{00000000-0005-0000-0000-000012090000}"/>
    <cellStyle name="Normal 111 3 4 3" xfId="11675" xr:uid="{00000000-0005-0000-0000-000013090000}"/>
    <cellStyle name="Normal 111 3 5" xfId="4813" xr:uid="{00000000-0005-0000-0000-000014090000}"/>
    <cellStyle name="Normal 111 3 5 2" xfId="13854" xr:uid="{00000000-0005-0000-0000-000015090000}"/>
    <cellStyle name="Normal 111 3 6" xfId="9341" xr:uid="{00000000-0005-0000-0000-000016090000}"/>
    <cellStyle name="Normal 111 4" xfId="436" xr:uid="{00000000-0005-0000-0000-000017090000}"/>
    <cellStyle name="Normal 111 4 2" xfId="1000" xr:uid="{00000000-0005-0000-0000-000018090000}"/>
    <cellStyle name="Normal 111 4 2 2" xfId="2170" xr:uid="{00000000-0005-0000-0000-000019090000}"/>
    <cellStyle name="Normal 111 4 2 2 2" xfId="2636" xr:uid="{00000000-0005-0000-0000-00001A090000}"/>
    <cellStyle name="Normal 111 4 2 2 2 2" xfId="7153" xr:uid="{00000000-0005-0000-0000-00001B090000}"/>
    <cellStyle name="Normal 111 4 2 2 2 2 2" xfId="16194" xr:uid="{00000000-0005-0000-0000-00001C090000}"/>
    <cellStyle name="Normal 111 4 2 2 2 3" xfId="11681" xr:uid="{00000000-0005-0000-0000-00001D090000}"/>
    <cellStyle name="Normal 111 4 2 2 3" xfId="6693" xr:uid="{00000000-0005-0000-0000-00001E090000}"/>
    <cellStyle name="Normal 111 4 2 2 3 2" xfId="15734" xr:uid="{00000000-0005-0000-0000-00001F090000}"/>
    <cellStyle name="Normal 111 4 2 2 4" xfId="11221" xr:uid="{00000000-0005-0000-0000-000020090000}"/>
    <cellStyle name="Normal 111 4 2 3" xfId="2635" xr:uid="{00000000-0005-0000-0000-000021090000}"/>
    <cellStyle name="Normal 111 4 2 3 2" xfId="7152" xr:uid="{00000000-0005-0000-0000-000022090000}"/>
    <cellStyle name="Normal 111 4 2 3 2 2" xfId="16193" xr:uid="{00000000-0005-0000-0000-000023090000}"/>
    <cellStyle name="Normal 111 4 2 3 3" xfId="11680" xr:uid="{00000000-0005-0000-0000-000024090000}"/>
    <cellStyle name="Normal 111 4 2 4" xfId="5565" xr:uid="{00000000-0005-0000-0000-000025090000}"/>
    <cellStyle name="Normal 111 4 2 4 2" xfId="14606" xr:uid="{00000000-0005-0000-0000-000026090000}"/>
    <cellStyle name="Normal 111 4 2 5" xfId="10093" xr:uid="{00000000-0005-0000-0000-000027090000}"/>
    <cellStyle name="Normal 111 4 3" xfId="1606" xr:uid="{00000000-0005-0000-0000-000028090000}"/>
    <cellStyle name="Normal 111 4 3 2" xfId="2637" xr:uid="{00000000-0005-0000-0000-000029090000}"/>
    <cellStyle name="Normal 111 4 3 2 2" xfId="7154" xr:uid="{00000000-0005-0000-0000-00002A090000}"/>
    <cellStyle name="Normal 111 4 3 2 2 2" xfId="16195" xr:uid="{00000000-0005-0000-0000-00002B090000}"/>
    <cellStyle name="Normal 111 4 3 2 3" xfId="11682" xr:uid="{00000000-0005-0000-0000-00002C090000}"/>
    <cellStyle name="Normal 111 4 3 3" xfId="6129" xr:uid="{00000000-0005-0000-0000-00002D090000}"/>
    <cellStyle name="Normal 111 4 3 3 2" xfId="15170" xr:uid="{00000000-0005-0000-0000-00002E090000}"/>
    <cellStyle name="Normal 111 4 3 4" xfId="10657" xr:uid="{00000000-0005-0000-0000-00002F090000}"/>
    <cellStyle name="Normal 111 4 4" xfId="2634" xr:uid="{00000000-0005-0000-0000-000030090000}"/>
    <cellStyle name="Normal 111 4 4 2" xfId="7151" xr:uid="{00000000-0005-0000-0000-000031090000}"/>
    <cellStyle name="Normal 111 4 4 2 2" xfId="16192" xr:uid="{00000000-0005-0000-0000-000032090000}"/>
    <cellStyle name="Normal 111 4 4 3" xfId="11679" xr:uid="{00000000-0005-0000-0000-000033090000}"/>
    <cellStyle name="Normal 111 4 5" xfId="5001" xr:uid="{00000000-0005-0000-0000-000034090000}"/>
    <cellStyle name="Normal 111 4 5 2" xfId="14042" xr:uid="{00000000-0005-0000-0000-000035090000}"/>
    <cellStyle name="Normal 111 4 6" xfId="9529" xr:uid="{00000000-0005-0000-0000-000036090000}"/>
    <cellStyle name="Normal 111 5" xfId="624" xr:uid="{00000000-0005-0000-0000-000037090000}"/>
    <cellStyle name="Normal 111 5 2" xfId="1794" xr:uid="{00000000-0005-0000-0000-000038090000}"/>
    <cellStyle name="Normal 111 5 2 2" xfId="2639" xr:uid="{00000000-0005-0000-0000-000039090000}"/>
    <cellStyle name="Normal 111 5 2 2 2" xfId="7156" xr:uid="{00000000-0005-0000-0000-00003A090000}"/>
    <cellStyle name="Normal 111 5 2 2 2 2" xfId="16197" xr:uid="{00000000-0005-0000-0000-00003B090000}"/>
    <cellStyle name="Normal 111 5 2 2 3" xfId="11684" xr:uid="{00000000-0005-0000-0000-00003C090000}"/>
    <cellStyle name="Normal 111 5 2 3" xfId="6317" xr:uid="{00000000-0005-0000-0000-00003D090000}"/>
    <cellStyle name="Normal 111 5 2 3 2" xfId="15358" xr:uid="{00000000-0005-0000-0000-00003E090000}"/>
    <cellStyle name="Normal 111 5 2 4" xfId="10845" xr:uid="{00000000-0005-0000-0000-00003F090000}"/>
    <cellStyle name="Normal 111 5 3" xfId="2638" xr:uid="{00000000-0005-0000-0000-000040090000}"/>
    <cellStyle name="Normal 111 5 3 2" xfId="7155" xr:uid="{00000000-0005-0000-0000-000041090000}"/>
    <cellStyle name="Normal 111 5 3 2 2" xfId="16196" xr:uid="{00000000-0005-0000-0000-000042090000}"/>
    <cellStyle name="Normal 111 5 3 3" xfId="11683" xr:uid="{00000000-0005-0000-0000-000043090000}"/>
    <cellStyle name="Normal 111 5 4" xfId="5189" xr:uid="{00000000-0005-0000-0000-000044090000}"/>
    <cellStyle name="Normal 111 5 4 2" xfId="14230" xr:uid="{00000000-0005-0000-0000-000045090000}"/>
    <cellStyle name="Normal 111 5 5" xfId="9717" xr:uid="{00000000-0005-0000-0000-000046090000}"/>
    <cellStyle name="Normal 111 6" xfId="1230" xr:uid="{00000000-0005-0000-0000-000047090000}"/>
    <cellStyle name="Normal 111 6 2" xfId="2640" xr:uid="{00000000-0005-0000-0000-000048090000}"/>
    <cellStyle name="Normal 111 6 2 2" xfId="7157" xr:uid="{00000000-0005-0000-0000-000049090000}"/>
    <cellStyle name="Normal 111 6 2 2 2" xfId="16198" xr:uid="{00000000-0005-0000-0000-00004A090000}"/>
    <cellStyle name="Normal 111 6 2 3" xfId="11685" xr:uid="{00000000-0005-0000-0000-00004B090000}"/>
    <cellStyle name="Normal 111 6 3" xfId="5753" xr:uid="{00000000-0005-0000-0000-00004C090000}"/>
    <cellStyle name="Normal 111 6 3 2" xfId="14794" xr:uid="{00000000-0005-0000-0000-00004D090000}"/>
    <cellStyle name="Normal 111 6 4" xfId="10281" xr:uid="{00000000-0005-0000-0000-00004E090000}"/>
    <cellStyle name="Normal 111 7" xfId="2617" xr:uid="{00000000-0005-0000-0000-00004F090000}"/>
    <cellStyle name="Normal 111 7 2" xfId="7134" xr:uid="{00000000-0005-0000-0000-000050090000}"/>
    <cellStyle name="Normal 111 7 2 2" xfId="16175" xr:uid="{00000000-0005-0000-0000-000051090000}"/>
    <cellStyle name="Normal 111 7 3" xfId="11662" xr:uid="{00000000-0005-0000-0000-000052090000}"/>
    <cellStyle name="Normal 111 8" xfId="4625" xr:uid="{00000000-0005-0000-0000-000053090000}"/>
    <cellStyle name="Normal 111 8 2" xfId="13666" xr:uid="{00000000-0005-0000-0000-000054090000}"/>
    <cellStyle name="Normal 111 9" xfId="9153" xr:uid="{00000000-0005-0000-0000-000055090000}"/>
    <cellStyle name="Normal 112" xfId="18" xr:uid="{00000000-0005-0000-0000-000056090000}"/>
    <cellStyle name="Normal 112 2" xfId="114" xr:uid="{00000000-0005-0000-0000-000057090000}"/>
    <cellStyle name="Normal 112 2 2" xfId="343" xr:uid="{00000000-0005-0000-0000-000058090000}"/>
    <cellStyle name="Normal 112 2 2 2" xfId="907" xr:uid="{00000000-0005-0000-0000-000059090000}"/>
    <cellStyle name="Normal 112 2 2 2 2" xfId="2077" xr:uid="{00000000-0005-0000-0000-00005A090000}"/>
    <cellStyle name="Normal 112 2 2 2 2 2" xfId="2645" xr:uid="{00000000-0005-0000-0000-00005B090000}"/>
    <cellStyle name="Normal 112 2 2 2 2 2 2" xfId="7162" xr:uid="{00000000-0005-0000-0000-00005C090000}"/>
    <cellStyle name="Normal 112 2 2 2 2 2 2 2" xfId="16203" xr:uid="{00000000-0005-0000-0000-00005D090000}"/>
    <cellStyle name="Normal 112 2 2 2 2 2 3" xfId="11690" xr:uid="{00000000-0005-0000-0000-00005E090000}"/>
    <cellStyle name="Normal 112 2 2 2 2 3" xfId="6600" xr:uid="{00000000-0005-0000-0000-00005F090000}"/>
    <cellStyle name="Normal 112 2 2 2 2 3 2" xfId="15641" xr:uid="{00000000-0005-0000-0000-000060090000}"/>
    <cellStyle name="Normal 112 2 2 2 2 4" xfId="11128" xr:uid="{00000000-0005-0000-0000-000061090000}"/>
    <cellStyle name="Normal 112 2 2 2 3" xfId="2644" xr:uid="{00000000-0005-0000-0000-000062090000}"/>
    <cellStyle name="Normal 112 2 2 2 3 2" xfId="7161" xr:uid="{00000000-0005-0000-0000-000063090000}"/>
    <cellStyle name="Normal 112 2 2 2 3 2 2" xfId="16202" xr:uid="{00000000-0005-0000-0000-000064090000}"/>
    <cellStyle name="Normal 112 2 2 2 3 3" xfId="11689" xr:uid="{00000000-0005-0000-0000-000065090000}"/>
    <cellStyle name="Normal 112 2 2 2 4" xfId="5472" xr:uid="{00000000-0005-0000-0000-000066090000}"/>
    <cellStyle name="Normal 112 2 2 2 4 2" xfId="14513" xr:uid="{00000000-0005-0000-0000-000067090000}"/>
    <cellStyle name="Normal 112 2 2 2 5" xfId="10000" xr:uid="{00000000-0005-0000-0000-000068090000}"/>
    <cellStyle name="Normal 112 2 2 3" xfId="1513" xr:uid="{00000000-0005-0000-0000-000069090000}"/>
    <cellStyle name="Normal 112 2 2 3 2" xfId="2646" xr:uid="{00000000-0005-0000-0000-00006A090000}"/>
    <cellStyle name="Normal 112 2 2 3 2 2" xfId="7163" xr:uid="{00000000-0005-0000-0000-00006B090000}"/>
    <cellStyle name="Normal 112 2 2 3 2 2 2" xfId="16204" xr:uid="{00000000-0005-0000-0000-00006C090000}"/>
    <cellStyle name="Normal 112 2 2 3 2 3" xfId="11691" xr:uid="{00000000-0005-0000-0000-00006D090000}"/>
    <cellStyle name="Normal 112 2 2 3 3" xfId="6036" xr:uid="{00000000-0005-0000-0000-00006E090000}"/>
    <cellStyle name="Normal 112 2 2 3 3 2" xfId="15077" xr:uid="{00000000-0005-0000-0000-00006F090000}"/>
    <cellStyle name="Normal 112 2 2 3 4" xfId="10564" xr:uid="{00000000-0005-0000-0000-000070090000}"/>
    <cellStyle name="Normal 112 2 2 4" xfId="2643" xr:uid="{00000000-0005-0000-0000-000071090000}"/>
    <cellStyle name="Normal 112 2 2 4 2" xfId="7160" xr:uid="{00000000-0005-0000-0000-000072090000}"/>
    <cellStyle name="Normal 112 2 2 4 2 2" xfId="16201" xr:uid="{00000000-0005-0000-0000-000073090000}"/>
    <cellStyle name="Normal 112 2 2 4 3" xfId="11688" xr:uid="{00000000-0005-0000-0000-000074090000}"/>
    <cellStyle name="Normal 112 2 2 5" xfId="4908" xr:uid="{00000000-0005-0000-0000-000075090000}"/>
    <cellStyle name="Normal 112 2 2 5 2" xfId="13949" xr:uid="{00000000-0005-0000-0000-000076090000}"/>
    <cellStyle name="Normal 112 2 2 6" xfId="9436" xr:uid="{00000000-0005-0000-0000-000077090000}"/>
    <cellStyle name="Normal 112 2 3" xfId="531" xr:uid="{00000000-0005-0000-0000-000078090000}"/>
    <cellStyle name="Normal 112 2 3 2" xfId="1095" xr:uid="{00000000-0005-0000-0000-000079090000}"/>
    <cellStyle name="Normal 112 2 3 2 2" xfId="2265" xr:uid="{00000000-0005-0000-0000-00007A090000}"/>
    <cellStyle name="Normal 112 2 3 2 2 2" xfId="2649" xr:uid="{00000000-0005-0000-0000-00007B090000}"/>
    <cellStyle name="Normal 112 2 3 2 2 2 2" xfId="7166" xr:uid="{00000000-0005-0000-0000-00007C090000}"/>
    <cellStyle name="Normal 112 2 3 2 2 2 2 2" xfId="16207" xr:uid="{00000000-0005-0000-0000-00007D090000}"/>
    <cellStyle name="Normal 112 2 3 2 2 2 3" xfId="11694" xr:uid="{00000000-0005-0000-0000-00007E090000}"/>
    <cellStyle name="Normal 112 2 3 2 2 3" xfId="6788" xr:uid="{00000000-0005-0000-0000-00007F090000}"/>
    <cellStyle name="Normal 112 2 3 2 2 3 2" xfId="15829" xr:uid="{00000000-0005-0000-0000-000080090000}"/>
    <cellStyle name="Normal 112 2 3 2 2 4" xfId="11316" xr:uid="{00000000-0005-0000-0000-000081090000}"/>
    <cellStyle name="Normal 112 2 3 2 3" xfId="2648" xr:uid="{00000000-0005-0000-0000-000082090000}"/>
    <cellStyle name="Normal 112 2 3 2 3 2" xfId="7165" xr:uid="{00000000-0005-0000-0000-000083090000}"/>
    <cellStyle name="Normal 112 2 3 2 3 2 2" xfId="16206" xr:uid="{00000000-0005-0000-0000-000084090000}"/>
    <cellStyle name="Normal 112 2 3 2 3 3" xfId="11693" xr:uid="{00000000-0005-0000-0000-000085090000}"/>
    <cellStyle name="Normal 112 2 3 2 4" xfId="5660" xr:uid="{00000000-0005-0000-0000-000086090000}"/>
    <cellStyle name="Normal 112 2 3 2 4 2" xfId="14701" xr:uid="{00000000-0005-0000-0000-000087090000}"/>
    <cellStyle name="Normal 112 2 3 2 5" xfId="10188" xr:uid="{00000000-0005-0000-0000-000088090000}"/>
    <cellStyle name="Normal 112 2 3 3" xfId="1701" xr:uid="{00000000-0005-0000-0000-000089090000}"/>
    <cellStyle name="Normal 112 2 3 3 2" xfId="2650" xr:uid="{00000000-0005-0000-0000-00008A090000}"/>
    <cellStyle name="Normal 112 2 3 3 2 2" xfId="7167" xr:uid="{00000000-0005-0000-0000-00008B090000}"/>
    <cellStyle name="Normal 112 2 3 3 2 2 2" xfId="16208" xr:uid="{00000000-0005-0000-0000-00008C090000}"/>
    <cellStyle name="Normal 112 2 3 3 2 3" xfId="11695" xr:uid="{00000000-0005-0000-0000-00008D090000}"/>
    <cellStyle name="Normal 112 2 3 3 3" xfId="6224" xr:uid="{00000000-0005-0000-0000-00008E090000}"/>
    <cellStyle name="Normal 112 2 3 3 3 2" xfId="15265" xr:uid="{00000000-0005-0000-0000-00008F090000}"/>
    <cellStyle name="Normal 112 2 3 3 4" xfId="10752" xr:uid="{00000000-0005-0000-0000-000090090000}"/>
    <cellStyle name="Normal 112 2 3 4" xfId="2647" xr:uid="{00000000-0005-0000-0000-000091090000}"/>
    <cellStyle name="Normal 112 2 3 4 2" xfId="7164" xr:uid="{00000000-0005-0000-0000-000092090000}"/>
    <cellStyle name="Normal 112 2 3 4 2 2" xfId="16205" xr:uid="{00000000-0005-0000-0000-000093090000}"/>
    <cellStyle name="Normal 112 2 3 4 3" xfId="11692" xr:uid="{00000000-0005-0000-0000-000094090000}"/>
    <cellStyle name="Normal 112 2 3 5" xfId="5096" xr:uid="{00000000-0005-0000-0000-000095090000}"/>
    <cellStyle name="Normal 112 2 3 5 2" xfId="14137" xr:uid="{00000000-0005-0000-0000-000096090000}"/>
    <cellStyle name="Normal 112 2 3 6" xfId="9624" xr:uid="{00000000-0005-0000-0000-000097090000}"/>
    <cellStyle name="Normal 112 2 4" xfId="719" xr:uid="{00000000-0005-0000-0000-000098090000}"/>
    <cellStyle name="Normal 112 2 4 2" xfId="1889" xr:uid="{00000000-0005-0000-0000-000099090000}"/>
    <cellStyle name="Normal 112 2 4 2 2" xfId="2652" xr:uid="{00000000-0005-0000-0000-00009A090000}"/>
    <cellStyle name="Normal 112 2 4 2 2 2" xfId="7169" xr:uid="{00000000-0005-0000-0000-00009B090000}"/>
    <cellStyle name="Normal 112 2 4 2 2 2 2" xfId="16210" xr:uid="{00000000-0005-0000-0000-00009C090000}"/>
    <cellStyle name="Normal 112 2 4 2 2 3" xfId="11697" xr:uid="{00000000-0005-0000-0000-00009D090000}"/>
    <cellStyle name="Normal 112 2 4 2 3" xfId="6412" xr:uid="{00000000-0005-0000-0000-00009E090000}"/>
    <cellStyle name="Normal 112 2 4 2 3 2" xfId="15453" xr:uid="{00000000-0005-0000-0000-00009F090000}"/>
    <cellStyle name="Normal 112 2 4 2 4" xfId="10940" xr:uid="{00000000-0005-0000-0000-0000A0090000}"/>
    <cellStyle name="Normal 112 2 4 3" xfId="2651" xr:uid="{00000000-0005-0000-0000-0000A1090000}"/>
    <cellStyle name="Normal 112 2 4 3 2" xfId="7168" xr:uid="{00000000-0005-0000-0000-0000A2090000}"/>
    <cellStyle name="Normal 112 2 4 3 2 2" xfId="16209" xr:uid="{00000000-0005-0000-0000-0000A3090000}"/>
    <cellStyle name="Normal 112 2 4 3 3" xfId="11696" xr:uid="{00000000-0005-0000-0000-0000A4090000}"/>
    <cellStyle name="Normal 112 2 4 4" xfId="5284" xr:uid="{00000000-0005-0000-0000-0000A5090000}"/>
    <cellStyle name="Normal 112 2 4 4 2" xfId="14325" xr:uid="{00000000-0005-0000-0000-0000A6090000}"/>
    <cellStyle name="Normal 112 2 4 5" xfId="9812" xr:uid="{00000000-0005-0000-0000-0000A7090000}"/>
    <cellStyle name="Normal 112 2 5" xfId="1325" xr:uid="{00000000-0005-0000-0000-0000A8090000}"/>
    <cellStyle name="Normal 112 2 5 2" xfId="2653" xr:uid="{00000000-0005-0000-0000-0000A9090000}"/>
    <cellStyle name="Normal 112 2 5 2 2" xfId="7170" xr:uid="{00000000-0005-0000-0000-0000AA090000}"/>
    <cellStyle name="Normal 112 2 5 2 2 2" xfId="16211" xr:uid="{00000000-0005-0000-0000-0000AB090000}"/>
    <cellStyle name="Normal 112 2 5 2 3" xfId="11698" xr:uid="{00000000-0005-0000-0000-0000AC090000}"/>
    <cellStyle name="Normal 112 2 5 3" xfId="5848" xr:uid="{00000000-0005-0000-0000-0000AD090000}"/>
    <cellStyle name="Normal 112 2 5 3 2" xfId="14889" xr:uid="{00000000-0005-0000-0000-0000AE090000}"/>
    <cellStyle name="Normal 112 2 5 4" xfId="10376" xr:uid="{00000000-0005-0000-0000-0000AF090000}"/>
    <cellStyle name="Normal 112 2 6" xfId="2642" xr:uid="{00000000-0005-0000-0000-0000B0090000}"/>
    <cellStyle name="Normal 112 2 6 2" xfId="7159" xr:uid="{00000000-0005-0000-0000-0000B1090000}"/>
    <cellStyle name="Normal 112 2 6 2 2" xfId="16200" xr:uid="{00000000-0005-0000-0000-0000B2090000}"/>
    <cellStyle name="Normal 112 2 6 3" xfId="11687" xr:uid="{00000000-0005-0000-0000-0000B3090000}"/>
    <cellStyle name="Normal 112 2 7" xfId="4720" xr:uid="{00000000-0005-0000-0000-0000B4090000}"/>
    <cellStyle name="Normal 112 2 7 2" xfId="13761" xr:uid="{00000000-0005-0000-0000-0000B5090000}"/>
    <cellStyle name="Normal 112 2 8" xfId="9248" xr:uid="{00000000-0005-0000-0000-0000B6090000}"/>
    <cellStyle name="Normal 112 3" xfId="249" xr:uid="{00000000-0005-0000-0000-0000B7090000}"/>
    <cellStyle name="Normal 112 3 2" xfId="813" xr:uid="{00000000-0005-0000-0000-0000B8090000}"/>
    <cellStyle name="Normal 112 3 2 2" xfId="1983" xr:uid="{00000000-0005-0000-0000-0000B9090000}"/>
    <cellStyle name="Normal 112 3 2 2 2" xfId="2656" xr:uid="{00000000-0005-0000-0000-0000BA090000}"/>
    <cellStyle name="Normal 112 3 2 2 2 2" xfId="7173" xr:uid="{00000000-0005-0000-0000-0000BB090000}"/>
    <cellStyle name="Normal 112 3 2 2 2 2 2" xfId="16214" xr:uid="{00000000-0005-0000-0000-0000BC090000}"/>
    <cellStyle name="Normal 112 3 2 2 2 3" xfId="11701" xr:uid="{00000000-0005-0000-0000-0000BD090000}"/>
    <cellStyle name="Normal 112 3 2 2 3" xfId="6506" xr:uid="{00000000-0005-0000-0000-0000BE090000}"/>
    <cellStyle name="Normal 112 3 2 2 3 2" xfId="15547" xr:uid="{00000000-0005-0000-0000-0000BF090000}"/>
    <cellStyle name="Normal 112 3 2 2 4" xfId="11034" xr:uid="{00000000-0005-0000-0000-0000C0090000}"/>
    <cellStyle name="Normal 112 3 2 3" xfId="2655" xr:uid="{00000000-0005-0000-0000-0000C1090000}"/>
    <cellStyle name="Normal 112 3 2 3 2" xfId="7172" xr:uid="{00000000-0005-0000-0000-0000C2090000}"/>
    <cellStyle name="Normal 112 3 2 3 2 2" xfId="16213" xr:uid="{00000000-0005-0000-0000-0000C3090000}"/>
    <cellStyle name="Normal 112 3 2 3 3" xfId="11700" xr:uid="{00000000-0005-0000-0000-0000C4090000}"/>
    <cellStyle name="Normal 112 3 2 4" xfId="5378" xr:uid="{00000000-0005-0000-0000-0000C5090000}"/>
    <cellStyle name="Normal 112 3 2 4 2" xfId="14419" xr:uid="{00000000-0005-0000-0000-0000C6090000}"/>
    <cellStyle name="Normal 112 3 2 5" xfId="9906" xr:uid="{00000000-0005-0000-0000-0000C7090000}"/>
    <cellStyle name="Normal 112 3 3" xfId="1419" xr:uid="{00000000-0005-0000-0000-0000C8090000}"/>
    <cellStyle name="Normal 112 3 3 2" xfId="2657" xr:uid="{00000000-0005-0000-0000-0000C9090000}"/>
    <cellStyle name="Normal 112 3 3 2 2" xfId="7174" xr:uid="{00000000-0005-0000-0000-0000CA090000}"/>
    <cellStyle name="Normal 112 3 3 2 2 2" xfId="16215" xr:uid="{00000000-0005-0000-0000-0000CB090000}"/>
    <cellStyle name="Normal 112 3 3 2 3" xfId="11702" xr:uid="{00000000-0005-0000-0000-0000CC090000}"/>
    <cellStyle name="Normal 112 3 3 3" xfId="5942" xr:uid="{00000000-0005-0000-0000-0000CD090000}"/>
    <cellStyle name="Normal 112 3 3 3 2" xfId="14983" xr:uid="{00000000-0005-0000-0000-0000CE090000}"/>
    <cellStyle name="Normal 112 3 3 4" xfId="10470" xr:uid="{00000000-0005-0000-0000-0000CF090000}"/>
    <cellStyle name="Normal 112 3 4" xfId="2654" xr:uid="{00000000-0005-0000-0000-0000D0090000}"/>
    <cellStyle name="Normal 112 3 4 2" xfId="7171" xr:uid="{00000000-0005-0000-0000-0000D1090000}"/>
    <cellStyle name="Normal 112 3 4 2 2" xfId="16212" xr:uid="{00000000-0005-0000-0000-0000D2090000}"/>
    <cellStyle name="Normal 112 3 4 3" xfId="11699" xr:uid="{00000000-0005-0000-0000-0000D3090000}"/>
    <cellStyle name="Normal 112 3 5" xfId="4814" xr:uid="{00000000-0005-0000-0000-0000D4090000}"/>
    <cellStyle name="Normal 112 3 5 2" xfId="13855" xr:uid="{00000000-0005-0000-0000-0000D5090000}"/>
    <cellStyle name="Normal 112 3 6" xfId="9342" xr:uid="{00000000-0005-0000-0000-0000D6090000}"/>
    <cellStyle name="Normal 112 4" xfId="437" xr:uid="{00000000-0005-0000-0000-0000D7090000}"/>
    <cellStyle name="Normal 112 4 2" xfId="1001" xr:uid="{00000000-0005-0000-0000-0000D8090000}"/>
    <cellStyle name="Normal 112 4 2 2" xfId="2171" xr:uid="{00000000-0005-0000-0000-0000D9090000}"/>
    <cellStyle name="Normal 112 4 2 2 2" xfId="2660" xr:uid="{00000000-0005-0000-0000-0000DA090000}"/>
    <cellStyle name="Normal 112 4 2 2 2 2" xfId="7177" xr:uid="{00000000-0005-0000-0000-0000DB090000}"/>
    <cellStyle name="Normal 112 4 2 2 2 2 2" xfId="16218" xr:uid="{00000000-0005-0000-0000-0000DC090000}"/>
    <cellStyle name="Normal 112 4 2 2 2 3" xfId="11705" xr:uid="{00000000-0005-0000-0000-0000DD090000}"/>
    <cellStyle name="Normal 112 4 2 2 3" xfId="6694" xr:uid="{00000000-0005-0000-0000-0000DE090000}"/>
    <cellStyle name="Normal 112 4 2 2 3 2" xfId="15735" xr:uid="{00000000-0005-0000-0000-0000DF090000}"/>
    <cellStyle name="Normal 112 4 2 2 4" xfId="11222" xr:uid="{00000000-0005-0000-0000-0000E0090000}"/>
    <cellStyle name="Normal 112 4 2 3" xfId="2659" xr:uid="{00000000-0005-0000-0000-0000E1090000}"/>
    <cellStyle name="Normal 112 4 2 3 2" xfId="7176" xr:uid="{00000000-0005-0000-0000-0000E2090000}"/>
    <cellStyle name="Normal 112 4 2 3 2 2" xfId="16217" xr:uid="{00000000-0005-0000-0000-0000E3090000}"/>
    <cellStyle name="Normal 112 4 2 3 3" xfId="11704" xr:uid="{00000000-0005-0000-0000-0000E4090000}"/>
    <cellStyle name="Normal 112 4 2 4" xfId="5566" xr:uid="{00000000-0005-0000-0000-0000E5090000}"/>
    <cellStyle name="Normal 112 4 2 4 2" xfId="14607" xr:uid="{00000000-0005-0000-0000-0000E6090000}"/>
    <cellStyle name="Normal 112 4 2 5" xfId="10094" xr:uid="{00000000-0005-0000-0000-0000E7090000}"/>
    <cellStyle name="Normal 112 4 3" xfId="1607" xr:uid="{00000000-0005-0000-0000-0000E8090000}"/>
    <cellStyle name="Normal 112 4 3 2" xfId="2661" xr:uid="{00000000-0005-0000-0000-0000E9090000}"/>
    <cellStyle name="Normal 112 4 3 2 2" xfId="7178" xr:uid="{00000000-0005-0000-0000-0000EA090000}"/>
    <cellStyle name="Normal 112 4 3 2 2 2" xfId="16219" xr:uid="{00000000-0005-0000-0000-0000EB090000}"/>
    <cellStyle name="Normal 112 4 3 2 3" xfId="11706" xr:uid="{00000000-0005-0000-0000-0000EC090000}"/>
    <cellStyle name="Normal 112 4 3 3" xfId="6130" xr:uid="{00000000-0005-0000-0000-0000ED090000}"/>
    <cellStyle name="Normal 112 4 3 3 2" xfId="15171" xr:uid="{00000000-0005-0000-0000-0000EE090000}"/>
    <cellStyle name="Normal 112 4 3 4" xfId="10658" xr:uid="{00000000-0005-0000-0000-0000EF090000}"/>
    <cellStyle name="Normal 112 4 4" xfId="2658" xr:uid="{00000000-0005-0000-0000-0000F0090000}"/>
    <cellStyle name="Normal 112 4 4 2" xfId="7175" xr:uid="{00000000-0005-0000-0000-0000F1090000}"/>
    <cellStyle name="Normal 112 4 4 2 2" xfId="16216" xr:uid="{00000000-0005-0000-0000-0000F2090000}"/>
    <cellStyle name="Normal 112 4 4 3" xfId="11703" xr:uid="{00000000-0005-0000-0000-0000F3090000}"/>
    <cellStyle name="Normal 112 4 5" xfId="5002" xr:uid="{00000000-0005-0000-0000-0000F4090000}"/>
    <cellStyle name="Normal 112 4 5 2" xfId="14043" xr:uid="{00000000-0005-0000-0000-0000F5090000}"/>
    <cellStyle name="Normal 112 4 6" xfId="9530" xr:uid="{00000000-0005-0000-0000-0000F6090000}"/>
    <cellStyle name="Normal 112 5" xfId="625" xr:uid="{00000000-0005-0000-0000-0000F7090000}"/>
    <cellStyle name="Normal 112 5 2" xfId="1795" xr:uid="{00000000-0005-0000-0000-0000F8090000}"/>
    <cellStyle name="Normal 112 5 2 2" xfId="2663" xr:uid="{00000000-0005-0000-0000-0000F9090000}"/>
    <cellStyle name="Normal 112 5 2 2 2" xfId="7180" xr:uid="{00000000-0005-0000-0000-0000FA090000}"/>
    <cellStyle name="Normal 112 5 2 2 2 2" xfId="16221" xr:uid="{00000000-0005-0000-0000-0000FB090000}"/>
    <cellStyle name="Normal 112 5 2 2 3" xfId="11708" xr:uid="{00000000-0005-0000-0000-0000FC090000}"/>
    <cellStyle name="Normal 112 5 2 3" xfId="6318" xr:uid="{00000000-0005-0000-0000-0000FD090000}"/>
    <cellStyle name="Normal 112 5 2 3 2" xfId="15359" xr:uid="{00000000-0005-0000-0000-0000FE090000}"/>
    <cellStyle name="Normal 112 5 2 4" xfId="10846" xr:uid="{00000000-0005-0000-0000-0000FF090000}"/>
    <cellStyle name="Normal 112 5 3" xfId="2662" xr:uid="{00000000-0005-0000-0000-0000000A0000}"/>
    <cellStyle name="Normal 112 5 3 2" xfId="7179" xr:uid="{00000000-0005-0000-0000-0000010A0000}"/>
    <cellStyle name="Normal 112 5 3 2 2" xfId="16220" xr:uid="{00000000-0005-0000-0000-0000020A0000}"/>
    <cellStyle name="Normal 112 5 3 3" xfId="11707" xr:uid="{00000000-0005-0000-0000-0000030A0000}"/>
    <cellStyle name="Normal 112 5 4" xfId="5190" xr:uid="{00000000-0005-0000-0000-0000040A0000}"/>
    <cellStyle name="Normal 112 5 4 2" xfId="14231" xr:uid="{00000000-0005-0000-0000-0000050A0000}"/>
    <cellStyle name="Normal 112 5 5" xfId="9718" xr:uid="{00000000-0005-0000-0000-0000060A0000}"/>
    <cellStyle name="Normal 112 6" xfId="1231" xr:uid="{00000000-0005-0000-0000-0000070A0000}"/>
    <cellStyle name="Normal 112 6 2" xfId="2664" xr:uid="{00000000-0005-0000-0000-0000080A0000}"/>
    <cellStyle name="Normal 112 6 2 2" xfId="7181" xr:uid="{00000000-0005-0000-0000-0000090A0000}"/>
    <cellStyle name="Normal 112 6 2 2 2" xfId="16222" xr:uid="{00000000-0005-0000-0000-00000A0A0000}"/>
    <cellStyle name="Normal 112 6 2 3" xfId="11709" xr:uid="{00000000-0005-0000-0000-00000B0A0000}"/>
    <cellStyle name="Normal 112 6 3" xfId="5754" xr:uid="{00000000-0005-0000-0000-00000C0A0000}"/>
    <cellStyle name="Normal 112 6 3 2" xfId="14795" xr:uid="{00000000-0005-0000-0000-00000D0A0000}"/>
    <cellStyle name="Normal 112 6 4" xfId="10282" xr:uid="{00000000-0005-0000-0000-00000E0A0000}"/>
    <cellStyle name="Normal 112 7" xfId="2641" xr:uid="{00000000-0005-0000-0000-00000F0A0000}"/>
    <cellStyle name="Normal 112 7 2" xfId="7158" xr:uid="{00000000-0005-0000-0000-0000100A0000}"/>
    <cellStyle name="Normal 112 7 2 2" xfId="16199" xr:uid="{00000000-0005-0000-0000-0000110A0000}"/>
    <cellStyle name="Normal 112 7 3" xfId="11686" xr:uid="{00000000-0005-0000-0000-0000120A0000}"/>
    <cellStyle name="Normal 112 8" xfId="4626" xr:uid="{00000000-0005-0000-0000-0000130A0000}"/>
    <cellStyle name="Normal 112 8 2" xfId="13667" xr:uid="{00000000-0005-0000-0000-0000140A0000}"/>
    <cellStyle name="Normal 112 9" xfId="9154" xr:uid="{00000000-0005-0000-0000-0000150A0000}"/>
    <cellStyle name="Normal 113" xfId="19" xr:uid="{00000000-0005-0000-0000-0000160A0000}"/>
    <cellStyle name="Normal 113 2" xfId="115" xr:uid="{00000000-0005-0000-0000-0000170A0000}"/>
    <cellStyle name="Normal 113 2 2" xfId="344" xr:uid="{00000000-0005-0000-0000-0000180A0000}"/>
    <cellStyle name="Normal 113 2 2 2" xfId="908" xr:uid="{00000000-0005-0000-0000-0000190A0000}"/>
    <cellStyle name="Normal 113 2 2 2 2" xfId="2078" xr:uid="{00000000-0005-0000-0000-00001A0A0000}"/>
    <cellStyle name="Normal 113 2 2 2 2 2" xfId="2669" xr:uid="{00000000-0005-0000-0000-00001B0A0000}"/>
    <cellStyle name="Normal 113 2 2 2 2 2 2" xfId="7186" xr:uid="{00000000-0005-0000-0000-00001C0A0000}"/>
    <cellStyle name="Normal 113 2 2 2 2 2 2 2" xfId="16227" xr:uid="{00000000-0005-0000-0000-00001D0A0000}"/>
    <cellStyle name="Normal 113 2 2 2 2 2 3" xfId="11714" xr:uid="{00000000-0005-0000-0000-00001E0A0000}"/>
    <cellStyle name="Normal 113 2 2 2 2 3" xfId="6601" xr:uid="{00000000-0005-0000-0000-00001F0A0000}"/>
    <cellStyle name="Normal 113 2 2 2 2 3 2" xfId="15642" xr:uid="{00000000-0005-0000-0000-0000200A0000}"/>
    <cellStyle name="Normal 113 2 2 2 2 4" xfId="11129" xr:uid="{00000000-0005-0000-0000-0000210A0000}"/>
    <cellStyle name="Normal 113 2 2 2 3" xfId="2668" xr:uid="{00000000-0005-0000-0000-0000220A0000}"/>
    <cellStyle name="Normal 113 2 2 2 3 2" xfId="7185" xr:uid="{00000000-0005-0000-0000-0000230A0000}"/>
    <cellStyle name="Normal 113 2 2 2 3 2 2" xfId="16226" xr:uid="{00000000-0005-0000-0000-0000240A0000}"/>
    <cellStyle name="Normal 113 2 2 2 3 3" xfId="11713" xr:uid="{00000000-0005-0000-0000-0000250A0000}"/>
    <cellStyle name="Normal 113 2 2 2 4" xfId="5473" xr:uid="{00000000-0005-0000-0000-0000260A0000}"/>
    <cellStyle name="Normal 113 2 2 2 4 2" xfId="14514" xr:uid="{00000000-0005-0000-0000-0000270A0000}"/>
    <cellStyle name="Normal 113 2 2 2 5" xfId="10001" xr:uid="{00000000-0005-0000-0000-0000280A0000}"/>
    <cellStyle name="Normal 113 2 2 3" xfId="1514" xr:uid="{00000000-0005-0000-0000-0000290A0000}"/>
    <cellStyle name="Normal 113 2 2 3 2" xfId="2670" xr:uid="{00000000-0005-0000-0000-00002A0A0000}"/>
    <cellStyle name="Normal 113 2 2 3 2 2" xfId="7187" xr:uid="{00000000-0005-0000-0000-00002B0A0000}"/>
    <cellStyle name="Normal 113 2 2 3 2 2 2" xfId="16228" xr:uid="{00000000-0005-0000-0000-00002C0A0000}"/>
    <cellStyle name="Normal 113 2 2 3 2 3" xfId="11715" xr:uid="{00000000-0005-0000-0000-00002D0A0000}"/>
    <cellStyle name="Normal 113 2 2 3 3" xfId="6037" xr:uid="{00000000-0005-0000-0000-00002E0A0000}"/>
    <cellStyle name="Normal 113 2 2 3 3 2" xfId="15078" xr:uid="{00000000-0005-0000-0000-00002F0A0000}"/>
    <cellStyle name="Normal 113 2 2 3 4" xfId="10565" xr:uid="{00000000-0005-0000-0000-0000300A0000}"/>
    <cellStyle name="Normal 113 2 2 4" xfId="2667" xr:uid="{00000000-0005-0000-0000-0000310A0000}"/>
    <cellStyle name="Normal 113 2 2 4 2" xfId="7184" xr:uid="{00000000-0005-0000-0000-0000320A0000}"/>
    <cellStyle name="Normal 113 2 2 4 2 2" xfId="16225" xr:uid="{00000000-0005-0000-0000-0000330A0000}"/>
    <cellStyle name="Normal 113 2 2 4 3" xfId="11712" xr:uid="{00000000-0005-0000-0000-0000340A0000}"/>
    <cellStyle name="Normal 113 2 2 5" xfId="4909" xr:uid="{00000000-0005-0000-0000-0000350A0000}"/>
    <cellStyle name="Normal 113 2 2 5 2" xfId="13950" xr:uid="{00000000-0005-0000-0000-0000360A0000}"/>
    <cellStyle name="Normal 113 2 2 6" xfId="9437" xr:uid="{00000000-0005-0000-0000-0000370A0000}"/>
    <cellStyle name="Normal 113 2 3" xfId="532" xr:uid="{00000000-0005-0000-0000-0000380A0000}"/>
    <cellStyle name="Normal 113 2 3 2" xfId="1096" xr:uid="{00000000-0005-0000-0000-0000390A0000}"/>
    <cellStyle name="Normal 113 2 3 2 2" xfId="2266" xr:uid="{00000000-0005-0000-0000-00003A0A0000}"/>
    <cellStyle name="Normal 113 2 3 2 2 2" xfId="2673" xr:uid="{00000000-0005-0000-0000-00003B0A0000}"/>
    <cellStyle name="Normal 113 2 3 2 2 2 2" xfId="7190" xr:uid="{00000000-0005-0000-0000-00003C0A0000}"/>
    <cellStyle name="Normal 113 2 3 2 2 2 2 2" xfId="16231" xr:uid="{00000000-0005-0000-0000-00003D0A0000}"/>
    <cellStyle name="Normal 113 2 3 2 2 2 3" xfId="11718" xr:uid="{00000000-0005-0000-0000-00003E0A0000}"/>
    <cellStyle name="Normal 113 2 3 2 2 3" xfId="6789" xr:uid="{00000000-0005-0000-0000-00003F0A0000}"/>
    <cellStyle name="Normal 113 2 3 2 2 3 2" xfId="15830" xr:uid="{00000000-0005-0000-0000-0000400A0000}"/>
    <cellStyle name="Normal 113 2 3 2 2 4" xfId="11317" xr:uid="{00000000-0005-0000-0000-0000410A0000}"/>
    <cellStyle name="Normal 113 2 3 2 3" xfId="2672" xr:uid="{00000000-0005-0000-0000-0000420A0000}"/>
    <cellStyle name="Normal 113 2 3 2 3 2" xfId="7189" xr:uid="{00000000-0005-0000-0000-0000430A0000}"/>
    <cellStyle name="Normal 113 2 3 2 3 2 2" xfId="16230" xr:uid="{00000000-0005-0000-0000-0000440A0000}"/>
    <cellStyle name="Normal 113 2 3 2 3 3" xfId="11717" xr:uid="{00000000-0005-0000-0000-0000450A0000}"/>
    <cellStyle name="Normal 113 2 3 2 4" xfId="5661" xr:uid="{00000000-0005-0000-0000-0000460A0000}"/>
    <cellStyle name="Normal 113 2 3 2 4 2" xfId="14702" xr:uid="{00000000-0005-0000-0000-0000470A0000}"/>
    <cellStyle name="Normal 113 2 3 2 5" xfId="10189" xr:uid="{00000000-0005-0000-0000-0000480A0000}"/>
    <cellStyle name="Normal 113 2 3 3" xfId="1702" xr:uid="{00000000-0005-0000-0000-0000490A0000}"/>
    <cellStyle name="Normal 113 2 3 3 2" xfId="2674" xr:uid="{00000000-0005-0000-0000-00004A0A0000}"/>
    <cellStyle name="Normal 113 2 3 3 2 2" xfId="7191" xr:uid="{00000000-0005-0000-0000-00004B0A0000}"/>
    <cellStyle name="Normal 113 2 3 3 2 2 2" xfId="16232" xr:uid="{00000000-0005-0000-0000-00004C0A0000}"/>
    <cellStyle name="Normal 113 2 3 3 2 3" xfId="11719" xr:uid="{00000000-0005-0000-0000-00004D0A0000}"/>
    <cellStyle name="Normal 113 2 3 3 3" xfId="6225" xr:uid="{00000000-0005-0000-0000-00004E0A0000}"/>
    <cellStyle name="Normal 113 2 3 3 3 2" xfId="15266" xr:uid="{00000000-0005-0000-0000-00004F0A0000}"/>
    <cellStyle name="Normal 113 2 3 3 4" xfId="10753" xr:uid="{00000000-0005-0000-0000-0000500A0000}"/>
    <cellStyle name="Normal 113 2 3 4" xfId="2671" xr:uid="{00000000-0005-0000-0000-0000510A0000}"/>
    <cellStyle name="Normal 113 2 3 4 2" xfId="7188" xr:uid="{00000000-0005-0000-0000-0000520A0000}"/>
    <cellStyle name="Normal 113 2 3 4 2 2" xfId="16229" xr:uid="{00000000-0005-0000-0000-0000530A0000}"/>
    <cellStyle name="Normal 113 2 3 4 3" xfId="11716" xr:uid="{00000000-0005-0000-0000-0000540A0000}"/>
    <cellStyle name="Normal 113 2 3 5" xfId="5097" xr:uid="{00000000-0005-0000-0000-0000550A0000}"/>
    <cellStyle name="Normal 113 2 3 5 2" xfId="14138" xr:uid="{00000000-0005-0000-0000-0000560A0000}"/>
    <cellStyle name="Normal 113 2 3 6" xfId="9625" xr:uid="{00000000-0005-0000-0000-0000570A0000}"/>
    <cellStyle name="Normal 113 2 4" xfId="720" xr:uid="{00000000-0005-0000-0000-0000580A0000}"/>
    <cellStyle name="Normal 113 2 4 2" xfId="1890" xr:uid="{00000000-0005-0000-0000-0000590A0000}"/>
    <cellStyle name="Normal 113 2 4 2 2" xfId="2676" xr:uid="{00000000-0005-0000-0000-00005A0A0000}"/>
    <cellStyle name="Normal 113 2 4 2 2 2" xfId="7193" xr:uid="{00000000-0005-0000-0000-00005B0A0000}"/>
    <cellStyle name="Normal 113 2 4 2 2 2 2" xfId="16234" xr:uid="{00000000-0005-0000-0000-00005C0A0000}"/>
    <cellStyle name="Normal 113 2 4 2 2 3" xfId="11721" xr:uid="{00000000-0005-0000-0000-00005D0A0000}"/>
    <cellStyle name="Normal 113 2 4 2 3" xfId="6413" xr:uid="{00000000-0005-0000-0000-00005E0A0000}"/>
    <cellStyle name="Normal 113 2 4 2 3 2" xfId="15454" xr:uid="{00000000-0005-0000-0000-00005F0A0000}"/>
    <cellStyle name="Normal 113 2 4 2 4" xfId="10941" xr:uid="{00000000-0005-0000-0000-0000600A0000}"/>
    <cellStyle name="Normal 113 2 4 3" xfId="2675" xr:uid="{00000000-0005-0000-0000-0000610A0000}"/>
    <cellStyle name="Normal 113 2 4 3 2" xfId="7192" xr:uid="{00000000-0005-0000-0000-0000620A0000}"/>
    <cellStyle name="Normal 113 2 4 3 2 2" xfId="16233" xr:uid="{00000000-0005-0000-0000-0000630A0000}"/>
    <cellStyle name="Normal 113 2 4 3 3" xfId="11720" xr:uid="{00000000-0005-0000-0000-0000640A0000}"/>
    <cellStyle name="Normal 113 2 4 4" xfId="5285" xr:uid="{00000000-0005-0000-0000-0000650A0000}"/>
    <cellStyle name="Normal 113 2 4 4 2" xfId="14326" xr:uid="{00000000-0005-0000-0000-0000660A0000}"/>
    <cellStyle name="Normal 113 2 4 5" xfId="9813" xr:uid="{00000000-0005-0000-0000-0000670A0000}"/>
    <cellStyle name="Normal 113 2 5" xfId="1326" xr:uid="{00000000-0005-0000-0000-0000680A0000}"/>
    <cellStyle name="Normal 113 2 5 2" xfId="2677" xr:uid="{00000000-0005-0000-0000-0000690A0000}"/>
    <cellStyle name="Normal 113 2 5 2 2" xfId="7194" xr:uid="{00000000-0005-0000-0000-00006A0A0000}"/>
    <cellStyle name="Normal 113 2 5 2 2 2" xfId="16235" xr:uid="{00000000-0005-0000-0000-00006B0A0000}"/>
    <cellStyle name="Normal 113 2 5 2 3" xfId="11722" xr:uid="{00000000-0005-0000-0000-00006C0A0000}"/>
    <cellStyle name="Normal 113 2 5 3" xfId="5849" xr:uid="{00000000-0005-0000-0000-00006D0A0000}"/>
    <cellStyle name="Normal 113 2 5 3 2" xfId="14890" xr:uid="{00000000-0005-0000-0000-00006E0A0000}"/>
    <cellStyle name="Normal 113 2 5 4" xfId="10377" xr:uid="{00000000-0005-0000-0000-00006F0A0000}"/>
    <cellStyle name="Normal 113 2 6" xfId="2666" xr:uid="{00000000-0005-0000-0000-0000700A0000}"/>
    <cellStyle name="Normal 113 2 6 2" xfId="7183" xr:uid="{00000000-0005-0000-0000-0000710A0000}"/>
    <cellStyle name="Normal 113 2 6 2 2" xfId="16224" xr:uid="{00000000-0005-0000-0000-0000720A0000}"/>
    <cellStyle name="Normal 113 2 6 3" xfId="11711" xr:uid="{00000000-0005-0000-0000-0000730A0000}"/>
    <cellStyle name="Normal 113 2 7" xfId="4721" xr:uid="{00000000-0005-0000-0000-0000740A0000}"/>
    <cellStyle name="Normal 113 2 7 2" xfId="13762" xr:uid="{00000000-0005-0000-0000-0000750A0000}"/>
    <cellStyle name="Normal 113 2 8" xfId="9249" xr:uid="{00000000-0005-0000-0000-0000760A0000}"/>
    <cellStyle name="Normal 113 3" xfId="250" xr:uid="{00000000-0005-0000-0000-0000770A0000}"/>
    <cellStyle name="Normal 113 3 2" xfId="814" xr:uid="{00000000-0005-0000-0000-0000780A0000}"/>
    <cellStyle name="Normal 113 3 2 2" xfId="1984" xr:uid="{00000000-0005-0000-0000-0000790A0000}"/>
    <cellStyle name="Normal 113 3 2 2 2" xfId="2680" xr:uid="{00000000-0005-0000-0000-00007A0A0000}"/>
    <cellStyle name="Normal 113 3 2 2 2 2" xfId="7197" xr:uid="{00000000-0005-0000-0000-00007B0A0000}"/>
    <cellStyle name="Normal 113 3 2 2 2 2 2" xfId="16238" xr:uid="{00000000-0005-0000-0000-00007C0A0000}"/>
    <cellStyle name="Normal 113 3 2 2 2 3" xfId="11725" xr:uid="{00000000-0005-0000-0000-00007D0A0000}"/>
    <cellStyle name="Normal 113 3 2 2 3" xfId="6507" xr:uid="{00000000-0005-0000-0000-00007E0A0000}"/>
    <cellStyle name="Normal 113 3 2 2 3 2" xfId="15548" xr:uid="{00000000-0005-0000-0000-00007F0A0000}"/>
    <cellStyle name="Normal 113 3 2 2 4" xfId="11035" xr:uid="{00000000-0005-0000-0000-0000800A0000}"/>
    <cellStyle name="Normal 113 3 2 3" xfId="2679" xr:uid="{00000000-0005-0000-0000-0000810A0000}"/>
    <cellStyle name="Normal 113 3 2 3 2" xfId="7196" xr:uid="{00000000-0005-0000-0000-0000820A0000}"/>
    <cellStyle name="Normal 113 3 2 3 2 2" xfId="16237" xr:uid="{00000000-0005-0000-0000-0000830A0000}"/>
    <cellStyle name="Normal 113 3 2 3 3" xfId="11724" xr:uid="{00000000-0005-0000-0000-0000840A0000}"/>
    <cellStyle name="Normal 113 3 2 4" xfId="5379" xr:uid="{00000000-0005-0000-0000-0000850A0000}"/>
    <cellStyle name="Normal 113 3 2 4 2" xfId="14420" xr:uid="{00000000-0005-0000-0000-0000860A0000}"/>
    <cellStyle name="Normal 113 3 2 5" xfId="9907" xr:uid="{00000000-0005-0000-0000-0000870A0000}"/>
    <cellStyle name="Normal 113 3 3" xfId="1420" xr:uid="{00000000-0005-0000-0000-0000880A0000}"/>
    <cellStyle name="Normal 113 3 3 2" xfId="2681" xr:uid="{00000000-0005-0000-0000-0000890A0000}"/>
    <cellStyle name="Normal 113 3 3 2 2" xfId="7198" xr:uid="{00000000-0005-0000-0000-00008A0A0000}"/>
    <cellStyle name="Normal 113 3 3 2 2 2" xfId="16239" xr:uid="{00000000-0005-0000-0000-00008B0A0000}"/>
    <cellStyle name="Normal 113 3 3 2 3" xfId="11726" xr:uid="{00000000-0005-0000-0000-00008C0A0000}"/>
    <cellStyle name="Normal 113 3 3 3" xfId="5943" xr:uid="{00000000-0005-0000-0000-00008D0A0000}"/>
    <cellStyle name="Normal 113 3 3 3 2" xfId="14984" xr:uid="{00000000-0005-0000-0000-00008E0A0000}"/>
    <cellStyle name="Normal 113 3 3 4" xfId="10471" xr:uid="{00000000-0005-0000-0000-00008F0A0000}"/>
    <cellStyle name="Normal 113 3 4" xfId="2678" xr:uid="{00000000-0005-0000-0000-0000900A0000}"/>
    <cellStyle name="Normal 113 3 4 2" xfId="7195" xr:uid="{00000000-0005-0000-0000-0000910A0000}"/>
    <cellStyle name="Normal 113 3 4 2 2" xfId="16236" xr:uid="{00000000-0005-0000-0000-0000920A0000}"/>
    <cellStyle name="Normal 113 3 4 3" xfId="11723" xr:uid="{00000000-0005-0000-0000-0000930A0000}"/>
    <cellStyle name="Normal 113 3 5" xfId="4815" xr:uid="{00000000-0005-0000-0000-0000940A0000}"/>
    <cellStyle name="Normal 113 3 5 2" xfId="13856" xr:uid="{00000000-0005-0000-0000-0000950A0000}"/>
    <cellStyle name="Normal 113 3 6" xfId="9343" xr:uid="{00000000-0005-0000-0000-0000960A0000}"/>
    <cellStyle name="Normal 113 4" xfId="438" xr:uid="{00000000-0005-0000-0000-0000970A0000}"/>
    <cellStyle name="Normal 113 4 2" xfId="1002" xr:uid="{00000000-0005-0000-0000-0000980A0000}"/>
    <cellStyle name="Normal 113 4 2 2" xfId="2172" xr:uid="{00000000-0005-0000-0000-0000990A0000}"/>
    <cellStyle name="Normal 113 4 2 2 2" xfId="2684" xr:uid="{00000000-0005-0000-0000-00009A0A0000}"/>
    <cellStyle name="Normal 113 4 2 2 2 2" xfId="7201" xr:uid="{00000000-0005-0000-0000-00009B0A0000}"/>
    <cellStyle name="Normal 113 4 2 2 2 2 2" xfId="16242" xr:uid="{00000000-0005-0000-0000-00009C0A0000}"/>
    <cellStyle name="Normal 113 4 2 2 2 3" xfId="11729" xr:uid="{00000000-0005-0000-0000-00009D0A0000}"/>
    <cellStyle name="Normal 113 4 2 2 3" xfId="6695" xr:uid="{00000000-0005-0000-0000-00009E0A0000}"/>
    <cellStyle name="Normal 113 4 2 2 3 2" xfId="15736" xr:uid="{00000000-0005-0000-0000-00009F0A0000}"/>
    <cellStyle name="Normal 113 4 2 2 4" xfId="11223" xr:uid="{00000000-0005-0000-0000-0000A00A0000}"/>
    <cellStyle name="Normal 113 4 2 3" xfId="2683" xr:uid="{00000000-0005-0000-0000-0000A10A0000}"/>
    <cellStyle name="Normal 113 4 2 3 2" xfId="7200" xr:uid="{00000000-0005-0000-0000-0000A20A0000}"/>
    <cellStyle name="Normal 113 4 2 3 2 2" xfId="16241" xr:uid="{00000000-0005-0000-0000-0000A30A0000}"/>
    <cellStyle name="Normal 113 4 2 3 3" xfId="11728" xr:uid="{00000000-0005-0000-0000-0000A40A0000}"/>
    <cellStyle name="Normal 113 4 2 4" xfId="5567" xr:uid="{00000000-0005-0000-0000-0000A50A0000}"/>
    <cellStyle name="Normal 113 4 2 4 2" xfId="14608" xr:uid="{00000000-0005-0000-0000-0000A60A0000}"/>
    <cellStyle name="Normal 113 4 2 5" xfId="10095" xr:uid="{00000000-0005-0000-0000-0000A70A0000}"/>
    <cellStyle name="Normal 113 4 3" xfId="1608" xr:uid="{00000000-0005-0000-0000-0000A80A0000}"/>
    <cellStyle name="Normal 113 4 3 2" xfId="2685" xr:uid="{00000000-0005-0000-0000-0000A90A0000}"/>
    <cellStyle name="Normal 113 4 3 2 2" xfId="7202" xr:uid="{00000000-0005-0000-0000-0000AA0A0000}"/>
    <cellStyle name="Normal 113 4 3 2 2 2" xfId="16243" xr:uid="{00000000-0005-0000-0000-0000AB0A0000}"/>
    <cellStyle name="Normal 113 4 3 2 3" xfId="11730" xr:uid="{00000000-0005-0000-0000-0000AC0A0000}"/>
    <cellStyle name="Normal 113 4 3 3" xfId="6131" xr:uid="{00000000-0005-0000-0000-0000AD0A0000}"/>
    <cellStyle name="Normal 113 4 3 3 2" xfId="15172" xr:uid="{00000000-0005-0000-0000-0000AE0A0000}"/>
    <cellStyle name="Normal 113 4 3 4" xfId="10659" xr:uid="{00000000-0005-0000-0000-0000AF0A0000}"/>
    <cellStyle name="Normal 113 4 4" xfId="2682" xr:uid="{00000000-0005-0000-0000-0000B00A0000}"/>
    <cellStyle name="Normal 113 4 4 2" xfId="7199" xr:uid="{00000000-0005-0000-0000-0000B10A0000}"/>
    <cellStyle name="Normal 113 4 4 2 2" xfId="16240" xr:uid="{00000000-0005-0000-0000-0000B20A0000}"/>
    <cellStyle name="Normal 113 4 4 3" xfId="11727" xr:uid="{00000000-0005-0000-0000-0000B30A0000}"/>
    <cellStyle name="Normal 113 4 5" xfId="5003" xr:uid="{00000000-0005-0000-0000-0000B40A0000}"/>
    <cellStyle name="Normal 113 4 5 2" xfId="14044" xr:uid="{00000000-0005-0000-0000-0000B50A0000}"/>
    <cellStyle name="Normal 113 4 6" xfId="9531" xr:uid="{00000000-0005-0000-0000-0000B60A0000}"/>
    <cellStyle name="Normal 113 5" xfId="626" xr:uid="{00000000-0005-0000-0000-0000B70A0000}"/>
    <cellStyle name="Normal 113 5 2" xfId="1796" xr:uid="{00000000-0005-0000-0000-0000B80A0000}"/>
    <cellStyle name="Normal 113 5 2 2" xfId="2687" xr:uid="{00000000-0005-0000-0000-0000B90A0000}"/>
    <cellStyle name="Normal 113 5 2 2 2" xfId="7204" xr:uid="{00000000-0005-0000-0000-0000BA0A0000}"/>
    <cellStyle name="Normal 113 5 2 2 2 2" xfId="16245" xr:uid="{00000000-0005-0000-0000-0000BB0A0000}"/>
    <cellStyle name="Normal 113 5 2 2 3" xfId="11732" xr:uid="{00000000-0005-0000-0000-0000BC0A0000}"/>
    <cellStyle name="Normal 113 5 2 3" xfId="6319" xr:uid="{00000000-0005-0000-0000-0000BD0A0000}"/>
    <cellStyle name="Normal 113 5 2 3 2" xfId="15360" xr:uid="{00000000-0005-0000-0000-0000BE0A0000}"/>
    <cellStyle name="Normal 113 5 2 4" xfId="10847" xr:uid="{00000000-0005-0000-0000-0000BF0A0000}"/>
    <cellStyle name="Normal 113 5 3" xfId="2686" xr:uid="{00000000-0005-0000-0000-0000C00A0000}"/>
    <cellStyle name="Normal 113 5 3 2" xfId="7203" xr:uid="{00000000-0005-0000-0000-0000C10A0000}"/>
    <cellStyle name="Normal 113 5 3 2 2" xfId="16244" xr:uid="{00000000-0005-0000-0000-0000C20A0000}"/>
    <cellStyle name="Normal 113 5 3 3" xfId="11731" xr:uid="{00000000-0005-0000-0000-0000C30A0000}"/>
    <cellStyle name="Normal 113 5 4" xfId="5191" xr:uid="{00000000-0005-0000-0000-0000C40A0000}"/>
    <cellStyle name="Normal 113 5 4 2" xfId="14232" xr:uid="{00000000-0005-0000-0000-0000C50A0000}"/>
    <cellStyle name="Normal 113 5 5" xfId="9719" xr:uid="{00000000-0005-0000-0000-0000C60A0000}"/>
    <cellStyle name="Normal 113 6" xfId="1232" xr:uid="{00000000-0005-0000-0000-0000C70A0000}"/>
    <cellStyle name="Normal 113 6 2" xfId="2688" xr:uid="{00000000-0005-0000-0000-0000C80A0000}"/>
    <cellStyle name="Normal 113 6 2 2" xfId="7205" xr:uid="{00000000-0005-0000-0000-0000C90A0000}"/>
    <cellStyle name="Normal 113 6 2 2 2" xfId="16246" xr:uid="{00000000-0005-0000-0000-0000CA0A0000}"/>
    <cellStyle name="Normal 113 6 2 3" xfId="11733" xr:uid="{00000000-0005-0000-0000-0000CB0A0000}"/>
    <cellStyle name="Normal 113 6 3" xfId="5755" xr:uid="{00000000-0005-0000-0000-0000CC0A0000}"/>
    <cellStyle name="Normal 113 6 3 2" xfId="14796" xr:uid="{00000000-0005-0000-0000-0000CD0A0000}"/>
    <cellStyle name="Normal 113 6 4" xfId="10283" xr:uid="{00000000-0005-0000-0000-0000CE0A0000}"/>
    <cellStyle name="Normal 113 7" xfId="2665" xr:uid="{00000000-0005-0000-0000-0000CF0A0000}"/>
    <cellStyle name="Normal 113 7 2" xfId="7182" xr:uid="{00000000-0005-0000-0000-0000D00A0000}"/>
    <cellStyle name="Normal 113 7 2 2" xfId="16223" xr:uid="{00000000-0005-0000-0000-0000D10A0000}"/>
    <cellStyle name="Normal 113 7 3" xfId="11710" xr:uid="{00000000-0005-0000-0000-0000D20A0000}"/>
    <cellStyle name="Normal 113 8" xfId="4627" xr:uid="{00000000-0005-0000-0000-0000D30A0000}"/>
    <cellStyle name="Normal 113 8 2" xfId="13668" xr:uid="{00000000-0005-0000-0000-0000D40A0000}"/>
    <cellStyle name="Normal 113 9" xfId="9155" xr:uid="{00000000-0005-0000-0000-0000D50A0000}"/>
    <cellStyle name="Normal 114" xfId="20" xr:uid="{00000000-0005-0000-0000-0000D60A0000}"/>
    <cellStyle name="Normal 114 2" xfId="116" xr:uid="{00000000-0005-0000-0000-0000D70A0000}"/>
    <cellStyle name="Normal 114 2 2" xfId="345" xr:uid="{00000000-0005-0000-0000-0000D80A0000}"/>
    <cellStyle name="Normal 114 2 2 2" xfId="909" xr:uid="{00000000-0005-0000-0000-0000D90A0000}"/>
    <cellStyle name="Normal 114 2 2 2 2" xfId="2079" xr:uid="{00000000-0005-0000-0000-0000DA0A0000}"/>
    <cellStyle name="Normal 114 2 2 2 2 2" xfId="2693" xr:uid="{00000000-0005-0000-0000-0000DB0A0000}"/>
    <cellStyle name="Normal 114 2 2 2 2 2 2" xfId="7210" xr:uid="{00000000-0005-0000-0000-0000DC0A0000}"/>
    <cellStyle name="Normal 114 2 2 2 2 2 2 2" xfId="16251" xr:uid="{00000000-0005-0000-0000-0000DD0A0000}"/>
    <cellStyle name="Normal 114 2 2 2 2 2 3" xfId="11738" xr:uid="{00000000-0005-0000-0000-0000DE0A0000}"/>
    <cellStyle name="Normal 114 2 2 2 2 3" xfId="6602" xr:uid="{00000000-0005-0000-0000-0000DF0A0000}"/>
    <cellStyle name="Normal 114 2 2 2 2 3 2" xfId="15643" xr:uid="{00000000-0005-0000-0000-0000E00A0000}"/>
    <cellStyle name="Normal 114 2 2 2 2 4" xfId="11130" xr:uid="{00000000-0005-0000-0000-0000E10A0000}"/>
    <cellStyle name="Normal 114 2 2 2 3" xfId="2692" xr:uid="{00000000-0005-0000-0000-0000E20A0000}"/>
    <cellStyle name="Normal 114 2 2 2 3 2" xfId="7209" xr:uid="{00000000-0005-0000-0000-0000E30A0000}"/>
    <cellStyle name="Normal 114 2 2 2 3 2 2" xfId="16250" xr:uid="{00000000-0005-0000-0000-0000E40A0000}"/>
    <cellStyle name="Normal 114 2 2 2 3 3" xfId="11737" xr:uid="{00000000-0005-0000-0000-0000E50A0000}"/>
    <cellStyle name="Normal 114 2 2 2 4" xfId="5474" xr:uid="{00000000-0005-0000-0000-0000E60A0000}"/>
    <cellStyle name="Normal 114 2 2 2 4 2" xfId="14515" xr:uid="{00000000-0005-0000-0000-0000E70A0000}"/>
    <cellStyle name="Normal 114 2 2 2 5" xfId="10002" xr:uid="{00000000-0005-0000-0000-0000E80A0000}"/>
    <cellStyle name="Normal 114 2 2 3" xfId="1515" xr:uid="{00000000-0005-0000-0000-0000E90A0000}"/>
    <cellStyle name="Normal 114 2 2 3 2" xfId="2694" xr:uid="{00000000-0005-0000-0000-0000EA0A0000}"/>
    <cellStyle name="Normal 114 2 2 3 2 2" xfId="7211" xr:uid="{00000000-0005-0000-0000-0000EB0A0000}"/>
    <cellStyle name="Normal 114 2 2 3 2 2 2" xfId="16252" xr:uid="{00000000-0005-0000-0000-0000EC0A0000}"/>
    <cellStyle name="Normal 114 2 2 3 2 3" xfId="11739" xr:uid="{00000000-0005-0000-0000-0000ED0A0000}"/>
    <cellStyle name="Normal 114 2 2 3 3" xfId="6038" xr:uid="{00000000-0005-0000-0000-0000EE0A0000}"/>
    <cellStyle name="Normal 114 2 2 3 3 2" xfId="15079" xr:uid="{00000000-0005-0000-0000-0000EF0A0000}"/>
    <cellStyle name="Normal 114 2 2 3 4" xfId="10566" xr:uid="{00000000-0005-0000-0000-0000F00A0000}"/>
    <cellStyle name="Normal 114 2 2 4" xfId="2691" xr:uid="{00000000-0005-0000-0000-0000F10A0000}"/>
    <cellStyle name="Normal 114 2 2 4 2" xfId="7208" xr:uid="{00000000-0005-0000-0000-0000F20A0000}"/>
    <cellStyle name="Normal 114 2 2 4 2 2" xfId="16249" xr:uid="{00000000-0005-0000-0000-0000F30A0000}"/>
    <cellStyle name="Normal 114 2 2 4 3" xfId="11736" xr:uid="{00000000-0005-0000-0000-0000F40A0000}"/>
    <cellStyle name="Normal 114 2 2 5" xfId="4910" xr:uid="{00000000-0005-0000-0000-0000F50A0000}"/>
    <cellStyle name="Normal 114 2 2 5 2" xfId="13951" xr:uid="{00000000-0005-0000-0000-0000F60A0000}"/>
    <cellStyle name="Normal 114 2 2 6" xfId="9438" xr:uid="{00000000-0005-0000-0000-0000F70A0000}"/>
    <cellStyle name="Normal 114 2 3" xfId="533" xr:uid="{00000000-0005-0000-0000-0000F80A0000}"/>
    <cellStyle name="Normal 114 2 3 2" xfId="1097" xr:uid="{00000000-0005-0000-0000-0000F90A0000}"/>
    <cellStyle name="Normal 114 2 3 2 2" xfId="2267" xr:uid="{00000000-0005-0000-0000-0000FA0A0000}"/>
    <cellStyle name="Normal 114 2 3 2 2 2" xfId="2697" xr:uid="{00000000-0005-0000-0000-0000FB0A0000}"/>
    <cellStyle name="Normal 114 2 3 2 2 2 2" xfId="7214" xr:uid="{00000000-0005-0000-0000-0000FC0A0000}"/>
    <cellStyle name="Normal 114 2 3 2 2 2 2 2" xfId="16255" xr:uid="{00000000-0005-0000-0000-0000FD0A0000}"/>
    <cellStyle name="Normal 114 2 3 2 2 2 3" xfId="11742" xr:uid="{00000000-0005-0000-0000-0000FE0A0000}"/>
    <cellStyle name="Normal 114 2 3 2 2 3" xfId="6790" xr:uid="{00000000-0005-0000-0000-0000FF0A0000}"/>
    <cellStyle name="Normal 114 2 3 2 2 3 2" xfId="15831" xr:uid="{00000000-0005-0000-0000-0000000B0000}"/>
    <cellStyle name="Normal 114 2 3 2 2 4" xfId="11318" xr:uid="{00000000-0005-0000-0000-0000010B0000}"/>
    <cellStyle name="Normal 114 2 3 2 3" xfId="2696" xr:uid="{00000000-0005-0000-0000-0000020B0000}"/>
    <cellStyle name="Normal 114 2 3 2 3 2" xfId="7213" xr:uid="{00000000-0005-0000-0000-0000030B0000}"/>
    <cellStyle name="Normal 114 2 3 2 3 2 2" xfId="16254" xr:uid="{00000000-0005-0000-0000-0000040B0000}"/>
    <cellStyle name="Normal 114 2 3 2 3 3" xfId="11741" xr:uid="{00000000-0005-0000-0000-0000050B0000}"/>
    <cellStyle name="Normal 114 2 3 2 4" xfId="5662" xr:uid="{00000000-0005-0000-0000-0000060B0000}"/>
    <cellStyle name="Normal 114 2 3 2 4 2" xfId="14703" xr:uid="{00000000-0005-0000-0000-0000070B0000}"/>
    <cellStyle name="Normal 114 2 3 2 5" xfId="10190" xr:uid="{00000000-0005-0000-0000-0000080B0000}"/>
    <cellStyle name="Normal 114 2 3 3" xfId="1703" xr:uid="{00000000-0005-0000-0000-0000090B0000}"/>
    <cellStyle name="Normal 114 2 3 3 2" xfId="2698" xr:uid="{00000000-0005-0000-0000-00000A0B0000}"/>
    <cellStyle name="Normal 114 2 3 3 2 2" xfId="7215" xr:uid="{00000000-0005-0000-0000-00000B0B0000}"/>
    <cellStyle name="Normal 114 2 3 3 2 2 2" xfId="16256" xr:uid="{00000000-0005-0000-0000-00000C0B0000}"/>
    <cellStyle name="Normal 114 2 3 3 2 3" xfId="11743" xr:uid="{00000000-0005-0000-0000-00000D0B0000}"/>
    <cellStyle name="Normal 114 2 3 3 3" xfId="6226" xr:uid="{00000000-0005-0000-0000-00000E0B0000}"/>
    <cellStyle name="Normal 114 2 3 3 3 2" xfId="15267" xr:uid="{00000000-0005-0000-0000-00000F0B0000}"/>
    <cellStyle name="Normal 114 2 3 3 4" xfId="10754" xr:uid="{00000000-0005-0000-0000-0000100B0000}"/>
    <cellStyle name="Normal 114 2 3 4" xfId="2695" xr:uid="{00000000-0005-0000-0000-0000110B0000}"/>
    <cellStyle name="Normal 114 2 3 4 2" xfId="7212" xr:uid="{00000000-0005-0000-0000-0000120B0000}"/>
    <cellStyle name="Normal 114 2 3 4 2 2" xfId="16253" xr:uid="{00000000-0005-0000-0000-0000130B0000}"/>
    <cellStyle name="Normal 114 2 3 4 3" xfId="11740" xr:uid="{00000000-0005-0000-0000-0000140B0000}"/>
    <cellStyle name="Normal 114 2 3 5" xfId="5098" xr:uid="{00000000-0005-0000-0000-0000150B0000}"/>
    <cellStyle name="Normal 114 2 3 5 2" xfId="14139" xr:uid="{00000000-0005-0000-0000-0000160B0000}"/>
    <cellStyle name="Normal 114 2 3 6" xfId="9626" xr:uid="{00000000-0005-0000-0000-0000170B0000}"/>
    <cellStyle name="Normal 114 2 4" xfId="721" xr:uid="{00000000-0005-0000-0000-0000180B0000}"/>
    <cellStyle name="Normal 114 2 4 2" xfId="1891" xr:uid="{00000000-0005-0000-0000-0000190B0000}"/>
    <cellStyle name="Normal 114 2 4 2 2" xfId="2700" xr:uid="{00000000-0005-0000-0000-00001A0B0000}"/>
    <cellStyle name="Normal 114 2 4 2 2 2" xfId="7217" xr:uid="{00000000-0005-0000-0000-00001B0B0000}"/>
    <cellStyle name="Normal 114 2 4 2 2 2 2" xfId="16258" xr:uid="{00000000-0005-0000-0000-00001C0B0000}"/>
    <cellStyle name="Normal 114 2 4 2 2 3" xfId="11745" xr:uid="{00000000-0005-0000-0000-00001D0B0000}"/>
    <cellStyle name="Normal 114 2 4 2 3" xfId="6414" xr:uid="{00000000-0005-0000-0000-00001E0B0000}"/>
    <cellStyle name="Normal 114 2 4 2 3 2" xfId="15455" xr:uid="{00000000-0005-0000-0000-00001F0B0000}"/>
    <cellStyle name="Normal 114 2 4 2 4" xfId="10942" xr:uid="{00000000-0005-0000-0000-0000200B0000}"/>
    <cellStyle name="Normal 114 2 4 3" xfId="2699" xr:uid="{00000000-0005-0000-0000-0000210B0000}"/>
    <cellStyle name="Normal 114 2 4 3 2" xfId="7216" xr:uid="{00000000-0005-0000-0000-0000220B0000}"/>
    <cellStyle name="Normal 114 2 4 3 2 2" xfId="16257" xr:uid="{00000000-0005-0000-0000-0000230B0000}"/>
    <cellStyle name="Normal 114 2 4 3 3" xfId="11744" xr:uid="{00000000-0005-0000-0000-0000240B0000}"/>
    <cellStyle name="Normal 114 2 4 4" xfId="5286" xr:uid="{00000000-0005-0000-0000-0000250B0000}"/>
    <cellStyle name="Normal 114 2 4 4 2" xfId="14327" xr:uid="{00000000-0005-0000-0000-0000260B0000}"/>
    <cellStyle name="Normal 114 2 4 5" xfId="9814" xr:uid="{00000000-0005-0000-0000-0000270B0000}"/>
    <cellStyle name="Normal 114 2 5" xfId="1327" xr:uid="{00000000-0005-0000-0000-0000280B0000}"/>
    <cellStyle name="Normal 114 2 5 2" xfId="2701" xr:uid="{00000000-0005-0000-0000-0000290B0000}"/>
    <cellStyle name="Normal 114 2 5 2 2" xfId="7218" xr:uid="{00000000-0005-0000-0000-00002A0B0000}"/>
    <cellStyle name="Normal 114 2 5 2 2 2" xfId="16259" xr:uid="{00000000-0005-0000-0000-00002B0B0000}"/>
    <cellStyle name="Normal 114 2 5 2 3" xfId="11746" xr:uid="{00000000-0005-0000-0000-00002C0B0000}"/>
    <cellStyle name="Normal 114 2 5 3" xfId="5850" xr:uid="{00000000-0005-0000-0000-00002D0B0000}"/>
    <cellStyle name="Normal 114 2 5 3 2" xfId="14891" xr:uid="{00000000-0005-0000-0000-00002E0B0000}"/>
    <cellStyle name="Normal 114 2 5 4" xfId="10378" xr:uid="{00000000-0005-0000-0000-00002F0B0000}"/>
    <cellStyle name="Normal 114 2 6" xfId="2690" xr:uid="{00000000-0005-0000-0000-0000300B0000}"/>
    <cellStyle name="Normal 114 2 6 2" xfId="7207" xr:uid="{00000000-0005-0000-0000-0000310B0000}"/>
    <cellStyle name="Normal 114 2 6 2 2" xfId="16248" xr:uid="{00000000-0005-0000-0000-0000320B0000}"/>
    <cellStyle name="Normal 114 2 6 3" xfId="11735" xr:uid="{00000000-0005-0000-0000-0000330B0000}"/>
    <cellStyle name="Normal 114 2 7" xfId="4722" xr:uid="{00000000-0005-0000-0000-0000340B0000}"/>
    <cellStyle name="Normal 114 2 7 2" xfId="13763" xr:uid="{00000000-0005-0000-0000-0000350B0000}"/>
    <cellStyle name="Normal 114 2 8" xfId="9250" xr:uid="{00000000-0005-0000-0000-0000360B0000}"/>
    <cellStyle name="Normal 114 3" xfId="251" xr:uid="{00000000-0005-0000-0000-0000370B0000}"/>
    <cellStyle name="Normal 114 3 2" xfId="815" xr:uid="{00000000-0005-0000-0000-0000380B0000}"/>
    <cellStyle name="Normal 114 3 2 2" xfId="1985" xr:uid="{00000000-0005-0000-0000-0000390B0000}"/>
    <cellStyle name="Normal 114 3 2 2 2" xfId="2704" xr:uid="{00000000-0005-0000-0000-00003A0B0000}"/>
    <cellStyle name="Normal 114 3 2 2 2 2" xfId="7221" xr:uid="{00000000-0005-0000-0000-00003B0B0000}"/>
    <cellStyle name="Normal 114 3 2 2 2 2 2" xfId="16262" xr:uid="{00000000-0005-0000-0000-00003C0B0000}"/>
    <cellStyle name="Normal 114 3 2 2 2 3" xfId="11749" xr:uid="{00000000-0005-0000-0000-00003D0B0000}"/>
    <cellStyle name="Normal 114 3 2 2 3" xfId="6508" xr:uid="{00000000-0005-0000-0000-00003E0B0000}"/>
    <cellStyle name="Normal 114 3 2 2 3 2" xfId="15549" xr:uid="{00000000-0005-0000-0000-00003F0B0000}"/>
    <cellStyle name="Normal 114 3 2 2 4" xfId="11036" xr:uid="{00000000-0005-0000-0000-0000400B0000}"/>
    <cellStyle name="Normal 114 3 2 3" xfId="2703" xr:uid="{00000000-0005-0000-0000-0000410B0000}"/>
    <cellStyle name="Normal 114 3 2 3 2" xfId="7220" xr:uid="{00000000-0005-0000-0000-0000420B0000}"/>
    <cellStyle name="Normal 114 3 2 3 2 2" xfId="16261" xr:uid="{00000000-0005-0000-0000-0000430B0000}"/>
    <cellStyle name="Normal 114 3 2 3 3" xfId="11748" xr:uid="{00000000-0005-0000-0000-0000440B0000}"/>
    <cellStyle name="Normal 114 3 2 4" xfId="5380" xr:uid="{00000000-0005-0000-0000-0000450B0000}"/>
    <cellStyle name="Normal 114 3 2 4 2" xfId="14421" xr:uid="{00000000-0005-0000-0000-0000460B0000}"/>
    <cellStyle name="Normal 114 3 2 5" xfId="9908" xr:uid="{00000000-0005-0000-0000-0000470B0000}"/>
    <cellStyle name="Normal 114 3 3" xfId="1421" xr:uid="{00000000-0005-0000-0000-0000480B0000}"/>
    <cellStyle name="Normal 114 3 3 2" xfId="2705" xr:uid="{00000000-0005-0000-0000-0000490B0000}"/>
    <cellStyle name="Normal 114 3 3 2 2" xfId="7222" xr:uid="{00000000-0005-0000-0000-00004A0B0000}"/>
    <cellStyle name="Normal 114 3 3 2 2 2" xfId="16263" xr:uid="{00000000-0005-0000-0000-00004B0B0000}"/>
    <cellStyle name="Normal 114 3 3 2 3" xfId="11750" xr:uid="{00000000-0005-0000-0000-00004C0B0000}"/>
    <cellStyle name="Normal 114 3 3 3" xfId="5944" xr:uid="{00000000-0005-0000-0000-00004D0B0000}"/>
    <cellStyle name="Normal 114 3 3 3 2" xfId="14985" xr:uid="{00000000-0005-0000-0000-00004E0B0000}"/>
    <cellStyle name="Normal 114 3 3 4" xfId="10472" xr:uid="{00000000-0005-0000-0000-00004F0B0000}"/>
    <cellStyle name="Normal 114 3 4" xfId="2702" xr:uid="{00000000-0005-0000-0000-0000500B0000}"/>
    <cellStyle name="Normal 114 3 4 2" xfId="7219" xr:uid="{00000000-0005-0000-0000-0000510B0000}"/>
    <cellStyle name="Normal 114 3 4 2 2" xfId="16260" xr:uid="{00000000-0005-0000-0000-0000520B0000}"/>
    <cellStyle name="Normal 114 3 4 3" xfId="11747" xr:uid="{00000000-0005-0000-0000-0000530B0000}"/>
    <cellStyle name="Normal 114 3 5" xfId="4816" xr:uid="{00000000-0005-0000-0000-0000540B0000}"/>
    <cellStyle name="Normal 114 3 5 2" xfId="13857" xr:uid="{00000000-0005-0000-0000-0000550B0000}"/>
    <cellStyle name="Normal 114 3 6" xfId="9344" xr:uid="{00000000-0005-0000-0000-0000560B0000}"/>
    <cellStyle name="Normal 114 4" xfId="439" xr:uid="{00000000-0005-0000-0000-0000570B0000}"/>
    <cellStyle name="Normal 114 4 2" xfId="1003" xr:uid="{00000000-0005-0000-0000-0000580B0000}"/>
    <cellStyle name="Normal 114 4 2 2" xfId="2173" xr:uid="{00000000-0005-0000-0000-0000590B0000}"/>
    <cellStyle name="Normal 114 4 2 2 2" xfId="2708" xr:uid="{00000000-0005-0000-0000-00005A0B0000}"/>
    <cellStyle name="Normal 114 4 2 2 2 2" xfId="7225" xr:uid="{00000000-0005-0000-0000-00005B0B0000}"/>
    <cellStyle name="Normal 114 4 2 2 2 2 2" xfId="16266" xr:uid="{00000000-0005-0000-0000-00005C0B0000}"/>
    <cellStyle name="Normal 114 4 2 2 2 3" xfId="11753" xr:uid="{00000000-0005-0000-0000-00005D0B0000}"/>
    <cellStyle name="Normal 114 4 2 2 3" xfId="6696" xr:uid="{00000000-0005-0000-0000-00005E0B0000}"/>
    <cellStyle name="Normal 114 4 2 2 3 2" xfId="15737" xr:uid="{00000000-0005-0000-0000-00005F0B0000}"/>
    <cellStyle name="Normal 114 4 2 2 4" xfId="11224" xr:uid="{00000000-0005-0000-0000-0000600B0000}"/>
    <cellStyle name="Normal 114 4 2 3" xfId="2707" xr:uid="{00000000-0005-0000-0000-0000610B0000}"/>
    <cellStyle name="Normal 114 4 2 3 2" xfId="7224" xr:uid="{00000000-0005-0000-0000-0000620B0000}"/>
    <cellStyle name="Normal 114 4 2 3 2 2" xfId="16265" xr:uid="{00000000-0005-0000-0000-0000630B0000}"/>
    <cellStyle name="Normal 114 4 2 3 3" xfId="11752" xr:uid="{00000000-0005-0000-0000-0000640B0000}"/>
    <cellStyle name="Normal 114 4 2 4" xfId="5568" xr:uid="{00000000-0005-0000-0000-0000650B0000}"/>
    <cellStyle name="Normal 114 4 2 4 2" xfId="14609" xr:uid="{00000000-0005-0000-0000-0000660B0000}"/>
    <cellStyle name="Normal 114 4 2 5" xfId="10096" xr:uid="{00000000-0005-0000-0000-0000670B0000}"/>
    <cellStyle name="Normal 114 4 3" xfId="1609" xr:uid="{00000000-0005-0000-0000-0000680B0000}"/>
    <cellStyle name="Normal 114 4 3 2" xfId="2709" xr:uid="{00000000-0005-0000-0000-0000690B0000}"/>
    <cellStyle name="Normal 114 4 3 2 2" xfId="7226" xr:uid="{00000000-0005-0000-0000-00006A0B0000}"/>
    <cellStyle name="Normal 114 4 3 2 2 2" xfId="16267" xr:uid="{00000000-0005-0000-0000-00006B0B0000}"/>
    <cellStyle name="Normal 114 4 3 2 3" xfId="11754" xr:uid="{00000000-0005-0000-0000-00006C0B0000}"/>
    <cellStyle name="Normal 114 4 3 3" xfId="6132" xr:uid="{00000000-0005-0000-0000-00006D0B0000}"/>
    <cellStyle name="Normal 114 4 3 3 2" xfId="15173" xr:uid="{00000000-0005-0000-0000-00006E0B0000}"/>
    <cellStyle name="Normal 114 4 3 4" xfId="10660" xr:uid="{00000000-0005-0000-0000-00006F0B0000}"/>
    <cellStyle name="Normal 114 4 4" xfId="2706" xr:uid="{00000000-0005-0000-0000-0000700B0000}"/>
    <cellStyle name="Normal 114 4 4 2" xfId="7223" xr:uid="{00000000-0005-0000-0000-0000710B0000}"/>
    <cellStyle name="Normal 114 4 4 2 2" xfId="16264" xr:uid="{00000000-0005-0000-0000-0000720B0000}"/>
    <cellStyle name="Normal 114 4 4 3" xfId="11751" xr:uid="{00000000-0005-0000-0000-0000730B0000}"/>
    <cellStyle name="Normal 114 4 5" xfId="5004" xr:uid="{00000000-0005-0000-0000-0000740B0000}"/>
    <cellStyle name="Normal 114 4 5 2" xfId="14045" xr:uid="{00000000-0005-0000-0000-0000750B0000}"/>
    <cellStyle name="Normal 114 4 6" xfId="9532" xr:uid="{00000000-0005-0000-0000-0000760B0000}"/>
    <cellStyle name="Normal 114 5" xfId="627" xr:uid="{00000000-0005-0000-0000-0000770B0000}"/>
    <cellStyle name="Normal 114 5 2" xfId="1797" xr:uid="{00000000-0005-0000-0000-0000780B0000}"/>
    <cellStyle name="Normal 114 5 2 2" xfId="2711" xr:uid="{00000000-0005-0000-0000-0000790B0000}"/>
    <cellStyle name="Normal 114 5 2 2 2" xfId="7228" xr:uid="{00000000-0005-0000-0000-00007A0B0000}"/>
    <cellStyle name="Normal 114 5 2 2 2 2" xfId="16269" xr:uid="{00000000-0005-0000-0000-00007B0B0000}"/>
    <cellStyle name="Normal 114 5 2 2 3" xfId="11756" xr:uid="{00000000-0005-0000-0000-00007C0B0000}"/>
    <cellStyle name="Normal 114 5 2 3" xfId="6320" xr:uid="{00000000-0005-0000-0000-00007D0B0000}"/>
    <cellStyle name="Normal 114 5 2 3 2" xfId="15361" xr:uid="{00000000-0005-0000-0000-00007E0B0000}"/>
    <cellStyle name="Normal 114 5 2 4" xfId="10848" xr:uid="{00000000-0005-0000-0000-00007F0B0000}"/>
    <cellStyle name="Normal 114 5 3" xfId="2710" xr:uid="{00000000-0005-0000-0000-0000800B0000}"/>
    <cellStyle name="Normal 114 5 3 2" xfId="7227" xr:uid="{00000000-0005-0000-0000-0000810B0000}"/>
    <cellStyle name="Normal 114 5 3 2 2" xfId="16268" xr:uid="{00000000-0005-0000-0000-0000820B0000}"/>
    <cellStyle name="Normal 114 5 3 3" xfId="11755" xr:uid="{00000000-0005-0000-0000-0000830B0000}"/>
    <cellStyle name="Normal 114 5 4" xfId="5192" xr:uid="{00000000-0005-0000-0000-0000840B0000}"/>
    <cellStyle name="Normal 114 5 4 2" xfId="14233" xr:uid="{00000000-0005-0000-0000-0000850B0000}"/>
    <cellStyle name="Normal 114 5 5" xfId="9720" xr:uid="{00000000-0005-0000-0000-0000860B0000}"/>
    <cellStyle name="Normal 114 6" xfId="1233" xr:uid="{00000000-0005-0000-0000-0000870B0000}"/>
    <cellStyle name="Normal 114 6 2" xfId="2712" xr:uid="{00000000-0005-0000-0000-0000880B0000}"/>
    <cellStyle name="Normal 114 6 2 2" xfId="7229" xr:uid="{00000000-0005-0000-0000-0000890B0000}"/>
    <cellStyle name="Normal 114 6 2 2 2" xfId="16270" xr:uid="{00000000-0005-0000-0000-00008A0B0000}"/>
    <cellStyle name="Normal 114 6 2 3" xfId="11757" xr:uid="{00000000-0005-0000-0000-00008B0B0000}"/>
    <cellStyle name="Normal 114 6 3" xfId="5756" xr:uid="{00000000-0005-0000-0000-00008C0B0000}"/>
    <cellStyle name="Normal 114 6 3 2" xfId="14797" xr:uid="{00000000-0005-0000-0000-00008D0B0000}"/>
    <cellStyle name="Normal 114 6 4" xfId="10284" xr:uid="{00000000-0005-0000-0000-00008E0B0000}"/>
    <cellStyle name="Normal 114 7" xfId="2689" xr:uid="{00000000-0005-0000-0000-00008F0B0000}"/>
    <cellStyle name="Normal 114 7 2" xfId="7206" xr:uid="{00000000-0005-0000-0000-0000900B0000}"/>
    <cellStyle name="Normal 114 7 2 2" xfId="16247" xr:uid="{00000000-0005-0000-0000-0000910B0000}"/>
    <cellStyle name="Normal 114 7 3" xfId="11734" xr:uid="{00000000-0005-0000-0000-0000920B0000}"/>
    <cellStyle name="Normal 114 8" xfId="4628" xr:uid="{00000000-0005-0000-0000-0000930B0000}"/>
    <cellStyle name="Normal 114 8 2" xfId="13669" xr:uid="{00000000-0005-0000-0000-0000940B0000}"/>
    <cellStyle name="Normal 114 9" xfId="9156" xr:uid="{00000000-0005-0000-0000-0000950B0000}"/>
    <cellStyle name="Normal 115" xfId="21" xr:uid="{00000000-0005-0000-0000-0000960B0000}"/>
    <cellStyle name="Normal 115 2" xfId="117" xr:uid="{00000000-0005-0000-0000-0000970B0000}"/>
    <cellStyle name="Normal 115 2 2" xfId="346" xr:uid="{00000000-0005-0000-0000-0000980B0000}"/>
    <cellStyle name="Normal 115 2 2 2" xfId="910" xr:uid="{00000000-0005-0000-0000-0000990B0000}"/>
    <cellStyle name="Normal 115 2 2 2 2" xfId="2080" xr:uid="{00000000-0005-0000-0000-00009A0B0000}"/>
    <cellStyle name="Normal 115 2 2 2 2 2" xfId="2717" xr:uid="{00000000-0005-0000-0000-00009B0B0000}"/>
    <cellStyle name="Normal 115 2 2 2 2 2 2" xfId="7234" xr:uid="{00000000-0005-0000-0000-00009C0B0000}"/>
    <cellStyle name="Normal 115 2 2 2 2 2 2 2" xfId="16275" xr:uid="{00000000-0005-0000-0000-00009D0B0000}"/>
    <cellStyle name="Normal 115 2 2 2 2 2 3" xfId="11762" xr:uid="{00000000-0005-0000-0000-00009E0B0000}"/>
    <cellStyle name="Normal 115 2 2 2 2 3" xfId="6603" xr:uid="{00000000-0005-0000-0000-00009F0B0000}"/>
    <cellStyle name="Normal 115 2 2 2 2 3 2" xfId="15644" xr:uid="{00000000-0005-0000-0000-0000A00B0000}"/>
    <cellStyle name="Normal 115 2 2 2 2 4" xfId="11131" xr:uid="{00000000-0005-0000-0000-0000A10B0000}"/>
    <cellStyle name="Normal 115 2 2 2 3" xfId="2716" xr:uid="{00000000-0005-0000-0000-0000A20B0000}"/>
    <cellStyle name="Normal 115 2 2 2 3 2" xfId="7233" xr:uid="{00000000-0005-0000-0000-0000A30B0000}"/>
    <cellStyle name="Normal 115 2 2 2 3 2 2" xfId="16274" xr:uid="{00000000-0005-0000-0000-0000A40B0000}"/>
    <cellStyle name="Normal 115 2 2 2 3 3" xfId="11761" xr:uid="{00000000-0005-0000-0000-0000A50B0000}"/>
    <cellStyle name="Normal 115 2 2 2 4" xfId="5475" xr:uid="{00000000-0005-0000-0000-0000A60B0000}"/>
    <cellStyle name="Normal 115 2 2 2 4 2" xfId="14516" xr:uid="{00000000-0005-0000-0000-0000A70B0000}"/>
    <cellStyle name="Normal 115 2 2 2 5" xfId="10003" xr:uid="{00000000-0005-0000-0000-0000A80B0000}"/>
    <cellStyle name="Normal 115 2 2 3" xfId="1516" xr:uid="{00000000-0005-0000-0000-0000A90B0000}"/>
    <cellStyle name="Normal 115 2 2 3 2" xfId="2718" xr:uid="{00000000-0005-0000-0000-0000AA0B0000}"/>
    <cellStyle name="Normal 115 2 2 3 2 2" xfId="7235" xr:uid="{00000000-0005-0000-0000-0000AB0B0000}"/>
    <cellStyle name="Normal 115 2 2 3 2 2 2" xfId="16276" xr:uid="{00000000-0005-0000-0000-0000AC0B0000}"/>
    <cellStyle name="Normal 115 2 2 3 2 3" xfId="11763" xr:uid="{00000000-0005-0000-0000-0000AD0B0000}"/>
    <cellStyle name="Normal 115 2 2 3 3" xfId="6039" xr:uid="{00000000-0005-0000-0000-0000AE0B0000}"/>
    <cellStyle name="Normal 115 2 2 3 3 2" xfId="15080" xr:uid="{00000000-0005-0000-0000-0000AF0B0000}"/>
    <cellStyle name="Normal 115 2 2 3 4" xfId="10567" xr:uid="{00000000-0005-0000-0000-0000B00B0000}"/>
    <cellStyle name="Normal 115 2 2 4" xfId="2715" xr:uid="{00000000-0005-0000-0000-0000B10B0000}"/>
    <cellStyle name="Normal 115 2 2 4 2" xfId="7232" xr:uid="{00000000-0005-0000-0000-0000B20B0000}"/>
    <cellStyle name="Normal 115 2 2 4 2 2" xfId="16273" xr:uid="{00000000-0005-0000-0000-0000B30B0000}"/>
    <cellStyle name="Normal 115 2 2 4 3" xfId="11760" xr:uid="{00000000-0005-0000-0000-0000B40B0000}"/>
    <cellStyle name="Normal 115 2 2 5" xfId="4911" xr:uid="{00000000-0005-0000-0000-0000B50B0000}"/>
    <cellStyle name="Normal 115 2 2 5 2" xfId="13952" xr:uid="{00000000-0005-0000-0000-0000B60B0000}"/>
    <cellStyle name="Normal 115 2 2 6" xfId="9439" xr:uid="{00000000-0005-0000-0000-0000B70B0000}"/>
    <cellStyle name="Normal 115 2 3" xfId="534" xr:uid="{00000000-0005-0000-0000-0000B80B0000}"/>
    <cellStyle name="Normal 115 2 3 2" xfId="1098" xr:uid="{00000000-0005-0000-0000-0000B90B0000}"/>
    <cellStyle name="Normal 115 2 3 2 2" xfId="2268" xr:uid="{00000000-0005-0000-0000-0000BA0B0000}"/>
    <cellStyle name="Normal 115 2 3 2 2 2" xfId="2721" xr:uid="{00000000-0005-0000-0000-0000BB0B0000}"/>
    <cellStyle name="Normal 115 2 3 2 2 2 2" xfId="7238" xr:uid="{00000000-0005-0000-0000-0000BC0B0000}"/>
    <cellStyle name="Normal 115 2 3 2 2 2 2 2" xfId="16279" xr:uid="{00000000-0005-0000-0000-0000BD0B0000}"/>
    <cellStyle name="Normal 115 2 3 2 2 2 3" xfId="11766" xr:uid="{00000000-0005-0000-0000-0000BE0B0000}"/>
    <cellStyle name="Normal 115 2 3 2 2 3" xfId="6791" xr:uid="{00000000-0005-0000-0000-0000BF0B0000}"/>
    <cellStyle name="Normal 115 2 3 2 2 3 2" xfId="15832" xr:uid="{00000000-0005-0000-0000-0000C00B0000}"/>
    <cellStyle name="Normal 115 2 3 2 2 4" xfId="11319" xr:uid="{00000000-0005-0000-0000-0000C10B0000}"/>
    <cellStyle name="Normal 115 2 3 2 3" xfId="2720" xr:uid="{00000000-0005-0000-0000-0000C20B0000}"/>
    <cellStyle name="Normal 115 2 3 2 3 2" xfId="7237" xr:uid="{00000000-0005-0000-0000-0000C30B0000}"/>
    <cellStyle name="Normal 115 2 3 2 3 2 2" xfId="16278" xr:uid="{00000000-0005-0000-0000-0000C40B0000}"/>
    <cellStyle name="Normal 115 2 3 2 3 3" xfId="11765" xr:uid="{00000000-0005-0000-0000-0000C50B0000}"/>
    <cellStyle name="Normal 115 2 3 2 4" xfId="5663" xr:uid="{00000000-0005-0000-0000-0000C60B0000}"/>
    <cellStyle name="Normal 115 2 3 2 4 2" xfId="14704" xr:uid="{00000000-0005-0000-0000-0000C70B0000}"/>
    <cellStyle name="Normal 115 2 3 2 5" xfId="10191" xr:uid="{00000000-0005-0000-0000-0000C80B0000}"/>
    <cellStyle name="Normal 115 2 3 3" xfId="1704" xr:uid="{00000000-0005-0000-0000-0000C90B0000}"/>
    <cellStyle name="Normal 115 2 3 3 2" xfId="2722" xr:uid="{00000000-0005-0000-0000-0000CA0B0000}"/>
    <cellStyle name="Normal 115 2 3 3 2 2" xfId="7239" xr:uid="{00000000-0005-0000-0000-0000CB0B0000}"/>
    <cellStyle name="Normal 115 2 3 3 2 2 2" xfId="16280" xr:uid="{00000000-0005-0000-0000-0000CC0B0000}"/>
    <cellStyle name="Normal 115 2 3 3 2 3" xfId="11767" xr:uid="{00000000-0005-0000-0000-0000CD0B0000}"/>
    <cellStyle name="Normal 115 2 3 3 3" xfId="6227" xr:uid="{00000000-0005-0000-0000-0000CE0B0000}"/>
    <cellStyle name="Normal 115 2 3 3 3 2" xfId="15268" xr:uid="{00000000-0005-0000-0000-0000CF0B0000}"/>
    <cellStyle name="Normal 115 2 3 3 4" xfId="10755" xr:uid="{00000000-0005-0000-0000-0000D00B0000}"/>
    <cellStyle name="Normal 115 2 3 4" xfId="2719" xr:uid="{00000000-0005-0000-0000-0000D10B0000}"/>
    <cellStyle name="Normal 115 2 3 4 2" xfId="7236" xr:uid="{00000000-0005-0000-0000-0000D20B0000}"/>
    <cellStyle name="Normal 115 2 3 4 2 2" xfId="16277" xr:uid="{00000000-0005-0000-0000-0000D30B0000}"/>
    <cellStyle name="Normal 115 2 3 4 3" xfId="11764" xr:uid="{00000000-0005-0000-0000-0000D40B0000}"/>
    <cellStyle name="Normal 115 2 3 5" xfId="5099" xr:uid="{00000000-0005-0000-0000-0000D50B0000}"/>
    <cellStyle name="Normal 115 2 3 5 2" xfId="14140" xr:uid="{00000000-0005-0000-0000-0000D60B0000}"/>
    <cellStyle name="Normal 115 2 3 6" xfId="9627" xr:uid="{00000000-0005-0000-0000-0000D70B0000}"/>
    <cellStyle name="Normal 115 2 4" xfId="722" xr:uid="{00000000-0005-0000-0000-0000D80B0000}"/>
    <cellStyle name="Normal 115 2 4 2" xfId="1892" xr:uid="{00000000-0005-0000-0000-0000D90B0000}"/>
    <cellStyle name="Normal 115 2 4 2 2" xfId="2724" xr:uid="{00000000-0005-0000-0000-0000DA0B0000}"/>
    <cellStyle name="Normal 115 2 4 2 2 2" xfId="7241" xr:uid="{00000000-0005-0000-0000-0000DB0B0000}"/>
    <cellStyle name="Normal 115 2 4 2 2 2 2" xfId="16282" xr:uid="{00000000-0005-0000-0000-0000DC0B0000}"/>
    <cellStyle name="Normal 115 2 4 2 2 3" xfId="11769" xr:uid="{00000000-0005-0000-0000-0000DD0B0000}"/>
    <cellStyle name="Normal 115 2 4 2 3" xfId="6415" xr:uid="{00000000-0005-0000-0000-0000DE0B0000}"/>
    <cellStyle name="Normal 115 2 4 2 3 2" xfId="15456" xr:uid="{00000000-0005-0000-0000-0000DF0B0000}"/>
    <cellStyle name="Normal 115 2 4 2 4" xfId="10943" xr:uid="{00000000-0005-0000-0000-0000E00B0000}"/>
    <cellStyle name="Normal 115 2 4 3" xfId="2723" xr:uid="{00000000-0005-0000-0000-0000E10B0000}"/>
    <cellStyle name="Normal 115 2 4 3 2" xfId="7240" xr:uid="{00000000-0005-0000-0000-0000E20B0000}"/>
    <cellStyle name="Normal 115 2 4 3 2 2" xfId="16281" xr:uid="{00000000-0005-0000-0000-0000E30B0000}"/>
    <cellStyle name="Normal 115 2 4 3 3" xfId="11768" xr:uid="{00000000-0005-0000-0000-0000E40B0000}"/>
    <cellStyle name="Normal 115 2 4 4" xfId="5287" xr:uid="{00000000-0005-0000-0000-0000E50B0000}"/>
    <cellStyle name="Normal 115 2 4 4 2" xfId="14328" xr:uid="{00000000-0005-0000-0000-0000E60B0000}"/>
    <cellStyle name="Normal 115 2 4 5" xfId="9815" xr:uid="{00000000-0005-0000-0000-0000E70B0000}"/>
    <cellStyle name="Normal 115 2 5" xfId="1328" xr:uid="{00000000-0005-0000-0000-0000E80B0000}"/>
    <cellStyle name="Normal 115 2 5 2" xfId="2725" xr:uid="{00000000-0005-0000-0000-0000E90B0000}"/>
    <cellStyle name="Normal 115 2 5 2 2" xfId="7242" xr:uid="{00000000-0005-0000-0000-0000EA0B0000}"/>
    <cellStyle name="Normal 115 2 5 2 2 2" xfId="16283" xr:uid="{00000000-0005-0000-0000-0000EB0B0000}"/>
    <cellStyle name="Normal 115 2 5 2 3" xfId="11770" xr:uid="{00000000-0005-0000-0000-0000EC0B0000}"/>
    <cellStyle name="Normal 115 2 5 3" xfId="5851" xr:uid="{00000000-0005-0000-0000-0000ED0B0000}"/>
    <cellStyle name="Normal 115 2 5 3 2" xfId="14892" xr:uid="{00000000-0005-0000-0000-0000EE0B0000}"/>
    <cellStyle name="Normal 115 2 5 4" xfId="10379" xr:uid="{00000000-0005-0000-0000-0000EF0B0000}"/>
    <cellStyle name="Normal 115 2 6" xfId="2714" xr:uid="{00000000-0005-0000-0000-0000F00B0000}"/>
    <cellStyle name="Normal 115 2 6 2" xfId="7231" xr:uid="{00000000-0005-0000-0000-0000F10B0000}"/>
    <cellStyle name="Normal 115 2 6 2 2" xfId="16272" xr:uid="{00000000-0005-0000-0000-0000F20B0000}"/>
    <cellStyle name="Normal 115 2 6 3" xfId="11759" xr:uid="{00000000-0005-0000-0000-0000F30B0000}"/>
    <cellStyle name="Normal 115 2 7" xfId="4723" xr:uid="{00000000-0005-0000-0000-0000F40B0000}"/>
    <cellStyle name="Normal 115 2 7 2" xfId="13764" xr:uid="{00000000-0005-0000-0000-0000F50B0000}"/>
    <cellStyle name="Normal 115 2 8" xfId="9251" xr:uid="{00000000-0005-0000-0000-0000F60B0000}"/>
    <cellStyle name="Normal 115 3" xfId="252" xr:uid="{00000000-0005-0000-0000-0000F70B0000}"/>
    <cellStyle name="Normal 115 3 2" xfId="816" xr:uid="{00000000-0005-0000-0000-0000F80B0000}"/>
    <cellStyle name="Normal 115 3 2 2" xfId="1986" xr:uid="{00000000-0005-0000-0000-0000F90B0000}"/>
    <cellStyle name="Normal 115 3 2 2 2" xfId="2728" xr:uid="{00000000-0005-0000-0000-0000FA0B0000}"/>
    <cellStyle name="Normal 115 3 2 2 2 2" xfId="7245" xr:uid="{00000000-0005-0000-0000-0000FB0B0000}"/>
    <cellStyle name="Normal 115 3 2 2 2 2 2" xfId="16286" xr:uid="{00000000-0005-0000-0000-0000FC0B0000}"/>
    <cellStyle name="Normal 115 3 2 2 2 3" xfId="11773" xr:uid="{00000000-0005-0000-0000-0000FD0B0000}"/>
    <cellStyle name="Normal 115 3 2 2 3" xfId="6509" xr:uid="{00000000-0005-0000-0000-0000FE0B0000}"/>
    <cellStyle name="Normal 115 3 2 2 3 2" xfId="15550" xr:uid="{00000000-0005-0000-0000-0000FF0B0000}"/>
    <cellStyle name="Normal 115 3 2 2 4" xfId="11037" xr:uid="{00000000-0005-0000-0000-0000000C0000}"/>
    <cellStyle name="Normal 115 3 2 3" xfId="2727" xr:uid="{00000000-0005-0000-0000-0000010C0000}"/>
    <cellStyle name="Normal 115 3 2 3 2" xfId="7244" xr:uid="{00000000-0005-0000-0000-0000020C0000}"/>
    <cellStyle name="Normal 115 3 2 3 2 2" xfId="16285" xr:uid="{00000000-0005-0000-0000-0000030C0000}"/>
    <cellStyle name="Normal 115 3 2 3 3" xfId="11772" xr:uid="{00000000-0005-0000-0000-0000040C0000}"/>
    <cellStyle name="Normal 115 3 2 4" xfId="5381" xr:uid="{00000000-0005-0000-0000-0000050C0000}"/>
    <cellStyle name="Normal 115 3 2 4 2" xfId="14422" xr:uid="{00000000-0005-0000-0000-0000060C0000}"/>
    <cellStyle name="Normal 115 3 2 5" xfId="9909" xr:uid="{00000000-0005-0000-0000-0000070C0000}"/>
    <cellStyle name="Normal 115 3 3" xfId="1422" xr:uid="{00000000-0005-0000-0000-0000080C0000}"/>
    <cellStyle name="Normal 115 3 3 2" xfId="2729" xr:uid="{00000000-0005-0000-0000-0000090C0000}"/>
    <cellStyle name="Normal 115 3 3 2 2" xfId="7246" xr:uid="{00000000-0005-0000-0000-00000A0C0000}"/>
    <cellStyle name="Normal 115 3 3 2 2 2" xfId="16287" xr:uid="{00000000-0005-0000-0000-00000B0C0000}"/>
    <cellStyle name="Normal 115 3 3 2 3" xfId="11774" xr:uid="{00000000-0005-0000-0000-00000C0C0000}"/>
    <cellStyle name="Normal 115 3 3 3" xfId="5945" xr:uid="{00000000-0005-0000-0000-00000D0C0000}"/>
    <cellStyle name="Normal 115 3 3 3 2" xfId="14986" xr:uid="{00000000-0005-0000-0000-00000E0C0000}"/>
    <cellStyle name="Normal 115 3 3 4" xfId="10473" xr:uid="{00000000-0005-0000-0000-00000F0C0000}"/>
    <cellStyle name="Normal 115 3 4" xfId="2726" xr:uid="{00000000-0005-0000-0000-0000100C0000}"/>
    <cellStyle name="Normal 115 3 4 2" xfId="7243" xr:uid="{00000000-0005-0000-0000-0000110C0000}"/>
    <cellStyle name="Normal 115 3 4 2 2" xfId="16284" xr:uid="{00000000-0005-0000-0000-0000120C0000}"/>
    <cellStyle name="Normal 115 3 4 3" xfId="11771" xr:uid="{00000000-0005-0000-0000-0000130C0000}"/>
    <cellStyle name="Normal 115 3 5" xfId="4817" xr:uid="{00000000-0005-0000-0000-0000140C0000}"/>
    <cellStyle name="Normal 115 3 5 2" xfId="13858" xr:uid="{00000000-0005-0000-0000-0000150C0000}"/>
    <cellStyle name="Normal 115 3 6" xfId="9345" xr:uid="{00000000-0005-0000-0000-0000160C0000}"/>
    <cellStyle name="Normal 115 4" xfId="440" xr:uid="{00000000-0005-0000-0000-0000170C0000}"/>
    <cellStyle name="Normal 115 4 2" xfId="1004" xr:uid="{00000000-0005-0000-0000-0000180C0000}"/>
    <cellStyle name="Normal 115 4 2 2" xfId="2174" xr:uid="{00000000-0005-0000-0000-0000190C0000}"/>
    <cellStyle name="Normal 115 4 2 2 2" xfId="2732" xr:uid="{00000000-0005-0000-0000-00001A0C0000}"/>
    <cellStyle name="Normal 115 4 2 2 2 2" xfId="7249" xr:uid="{00000000-0005-0000-0000-00001B0C0000}"/>
    <cellStyle name="Normal 115 4 2 2 2 2 2" xfId="16290" xr:uid="{00000000-0005-0000-0000-00001C0C0000}"/>
    <cellStyle name="Normal 115 4 2 2 2 3" xfId="11777" xr:uid="{00000000-0005-0000-0000-00001D0C0000}"/>
    <cellStyle name="Normal 115 4 2 2 3" xfId="6697" xr:uid="{00000000-0005-0000-0000-00001E0C0000}"/>
    <cellStyle name="Normal 115 4 2 2 3 2" xfId="15738" xr:uid="{00000000-0005-0000-0000-00001F0C0000}"/>
    <cellStyle name="Normal 115 4 2 2 4" xfId="11225" xr:uid="{00000000-0005-0000-0000-0000200C0000}"/>
    <cellStyle name="Normal 115 4 2 3" xfId="2731" xr:uid="{00000000-0005-0000-0000-0000210C0000}"/>
    <cellStyle name="Normal 115 4 2 3 2" xfId="7248" xr:uid="{00000000-0005-0000-0000-0000220C0000}"/>
    <cellStyle name="Normal 115 4 2 3 2 2" xfId="16289" xr:uid="{00000000-0005-0000-0000-0000230C0000}"/>
    <cellStyle name="Normal 115 4 2 3 3" xfId="11776" xr:uid="{00000000-0005-0000-0000-0000240C0000}"/>
    <cellStyle name="Normal 115 4 2 4" xfId="5569" xr:uid="{00000000-0005-0000-0000-0000250C0000}"/>
    <cellStyle name="Normal 115 4 2 4 2" xfId="14610" xr:uid="{00000000-0005-0000-0000-0000260C0000}"/>
    <cellStyle name="Normal 115 4 2 5" xfId="10097" xr:uid="{00000000-0005-0000-0000-0000270C0000}"/>
    <cellStyle name="Normal 115 4 3" xfId="1610" xr:uid="{00000000-0005-0000-0000-0000280C0000}"/>
    <cellStyle name="Normal 115 4 3 2" xfId="2733" xr:uid="{00000000-0005-0000-0000-0000290C0000}"/>
    <cellStyle name="Normal 115 4 3 2 2" xfId="7250" xr:uid="{00000000-0005-0000-0000-00002A0C0000}"/>
    <cellStyle name="Normal 115 4 3 2 2 2" xfId="16291" xr:uid="{00000000-0005-0000-0000-00002B0C0000}"/>
    <cellStyle name="Normal 115 4 3 2 3" xfId="11778" xr:uid="{00000000-0005-0000-0000-00002C0C0000}"/>
    <cellStyle name="Normal 115 4 3 3" xfId="6133" xr:uid="{00000000-0005-0000-0000-00002D0C0000}"/>
    <cellStyle name="Normal 115 4 3 3 2" xfId="15174" xr:uid="{00000000-0005-0000-0000-00002E0C0000}"/>
    <cellStyle name="Normal 115 4 3 4" xfId="10661" xr:uid="{00000000-0005-0000-0000-00002F0C0000}"/>
    <cellStyle name="Normal 115 4 4" xfId="2730" xr:uid="{00000000-0005-0000-0000-0000300C0000}"/>
    <cellStyle name="Normal 115 4 4 2" xfId="7247" xr:uid="{00000000-0005-0000-0000-0000310C0000}"/>
    <cellStyle name="Normal 115 4 4 2 2" xfId="16288" xr:uid="{00000000-0005-0000-0000-0000320C0000}"/>
    <cellStyle name="Normal 115 4 4 3" xfId="11775" xr:uid="{00000000-0005-0000-0000-0000330C0000}"/>
    <cellStyle name="Normal 115 4 5" xfId="5005" xr:uid="{00000000-0005-0000-0000-0000340C0000}"/>
    <cellStyle name="Normal 115 4 5 2" xfId="14046" xr:uid="{00000000-0005-0000-0000-0000350C0000}"/>
    <cellStyle name="Normal 115 4 6" xfId="9533" xr:uid="{00000000-0005-0000-0000-0000360C0000}"/>
    <cellStyle name="Normal 115 5" xfId="628" xr:uid="{00000000-0005-0000-0000-0000370C0000}"/>
    <cellStyle name="Normal 115 5 2" xfId="1798" xr:uid="{00000000-0005-0000-0000-0000380C0000}"/>
    <cellStyle name="Normal 115 5 2 2" xfId="2735" xr:uid="{00000000-0005-0000-0000-0000390C0000}"/>
    <cellStyle name="Normal 115 5 2 2 2" xfId="7252" xr:uid="{00000000-0005-0000-0000-00003A0C0000}"/>
    <cellStyle name="Normal 115 5 2 2 2 2" xfId="16293" xr:uid="{00000000-0005-0000-0000-00003B0C0000}"/>
    <cellStyle name="Normal 115 5 2 2 3" xfId="11780" xr:uid="{00000000-0005-0000-0000-00003C0C0000}"/>
    <cellStyle name="Normal 115 5 2 3" xfId="6321" xr:uid="{00000000-0005-0000-0000-00003D0C0000}"/>
    <cellStyle name="Normal 115 5 2 3 2" xfId="15362" xr:uid="{00000000-0005-0000-0000-00003E0C0000}"/>
    <cellStyle name="Normal 115 5 2 4" xfId="10849" xr:uid="{00000000-0005-0000-0000-00003F0C0000}"/>
    <cellStyle name="Normal 115 5 3" xfId="2734" xr:uid="{00000000-0005-0000-0000-0000400C0000}"/>
    <cellStyle name="Normal 115 5 3 2" xfId="7251" xr:uid="{00000000-0005-0000-0000-0000410C0000}"/>
    <cellStyle name="Normal 115 5 3 2 2" xfId="16292" xr:uid="{00000000-0005-0000-0000-0000420C0000}"/>
    <cellStyle name="Normal 115 5 3 3" xfId="11779" xr:uid="{00000000-0005-0000-0000-0000430C0000}"/>
    <cellStyle name="Normal 115 5 4" xfId="5193" xr:uid="{00000000-0005-0000-0000-0000440C0000}"/>
    <cellStyle name="Normal 115 5 4 2" xfId="14234" xr:uid="{00000000-0005-0000-0000-0000450C0000}"/>
    <cellStyle name="Normal 115 5 5" xfId="9721" xr:uid="{00000000-0005-0000-0000-0000460C0000}"/>
    <cellStyle name="Normal 115 6" xfId="1234" xr:uid="{00000000-0005-0000-0000-0000470C0000}"/>
    <cellStyle name="Normal 115 6 2" xfId="2736" xr:uid="{00000000-0005-0000-0000-0000480C0000}"/>
    <cellStyle name="Normal 115 6 2 2" xfId="7253" xr:uid="{00000000-0005-0000-0000-0000490C0000}"/>
    <cellStyle name="Normal 115 6 2 2 2" xfId="16294" xr:uid="{00000000-0005-0000-0000-00004A0C0000}"/>
    <cellStyle name="Normal 115 6 2 3" xfId="11781" xr:uid="{00000000-0005-0000-0000-00004B0C0000}"/>
    <cellStyle name="Normal 115 6 3" xfId="5757" xr:uid="{00000000-0005-0000-0000-00004C0C0000}"/>
    <cellStyle name="Normal 115 6 3 2" xfId="14798" xr:uid="{00000000-0005-0000-0000-00004D0C0000}"/>
    <cellStyle name="Normal 115 6 4" xfId="10285" xr:uid="{00000000-0005-0000-0000-00004E0C0000}"/>
    <cellStyle name="Normal 115 7" xfId="2713" xr:uid="{00000000-0005-0000-0000-00004F0C0000}"/>
    <cellStyle name="Normal 115 7 2" xfId="7230" xr:uid="{00000000-0005-0000-0000-0000500C0000}"/>
    <cellStyle name="Normal 115 7 2 2" xfId="16271" xr:uid="{00000000-0005-0000-0000-0000510C0000}"/>
    <cellStyle name="Normal 115 7 3" xfId="11758" xr:uid="{00000000-0005-0000-0000-0000520C0000}"/>
    <cellStyle name="Normal 115 8" xfId="4629" xr:uid="{00000000-0005-0000-0000-0000530C0000}"/>
    <cellStyle name="Normal 115 8 2" xfId="13670" xr:uid="{00000000-0005-0000-0000-0000540C0000}"/>
    <cellStyle name="Normal 115 9" xfId="9157" xr:uid="{00000000-0005-0000-0000-0000550C0000}"/>
    <cellStyle name="Normal 116" xfId="22" xr:uid="{00000000-0005-0000-0000-0000560C0000}"/>
    <cellStyle name="Normal 116 2" xfId="118" xr:uid="{00000000-0005-0000-0000-0000570C0000}"/>
    <cellStyle name="Normal 116 2 2" xfId="347" xr:uid="{00000000-0005-0000-0000-0000580C0000}"/>
    <cellStyle name="Normal 116 2 2 2" xfId="911" xr:uid="{00000000-0005-0000-0000-0000590C0000}"/>
    <cellStyle name="Normal 116 2 2 2 2" xfId="2081" xr:uid="{00000000-0005-0000-0000-00005A0C0000}"/>
    <cellStyle name="Normal 116 2 2 2 2 2" xfId="2741" xr:uid="{00000000-0005-0000-0000-00005B0C0000}"/>
    <cellStyle name="Normal 116 2 2 2 2 2 2" xfId="7258" xr:uid="{00000000-0005-0000-0000-00005C0C0000}"/>
    <cellStyle name="Normal 116 2 2 2 2 2 2 2" xfId="16299" xr:uid="{00000000-0005-0000-0000-00005D0C0000}"/>
    <cellStyle name="Normal 116 2 2 2 2 2 3" xfId="11786" xr:uid="{00000000-0005-0000-0000-00005E0C0000}"/>
    <cellStyle name="Normal 116 2 2 2 2 3" xfId="6604" xr:uid="{00000000-0005-0000-0000-00005F0C0000}"/>
    <cellStyle name="Normal 116 2 2 2 2 3 2" xfId="15645" xr:uid="{00000000-0005-0000-0000-0000600C0000}"/>
    <cellStyle name="Normal 116 2 2 2 2 4" xfId="11132" xr:uid="{00000000-0005-0000-0000-0000610C0000}"/>
    <cellStyle name="Normal 116 2 2 2 3" xfId="2740" xr:uid="{00000000-0005-0000-0000-0000620C0000}"/>
    <cellStyle name="Normal 116 2 2 2 3 2" xfId="7257" xr:uid="{00000000-0005-0000-0000-0000630C0000}"/>
    <cellStyle name="Normal 116 2 2 2 3 2 2" xfId="16298" xr:uid="{00000000-0005-0000-0000-0000640C0000}"/>
    <cellStyle name="Normal 116 2 2 2 3 3" xfId="11785" xr:uid="{00000000-0005-0000-0000-0000650C0000}"/>
    <cellStyle name="Normal 116 2 2 2 4" xfId="5476" xr:uid="{00000000-0005-0000-0000-0000660C0000}"/>
    <cellStyle name="Normal 116 2 2 2 4 2" xfId="14517" xr:uid="{00000000-0005-0000-0000-0000670C0000}"/>
    <cellStyle name="Normal 116 2 2 2 5" xfId="10004" xr:uid="{00000000-0005-0000-0000-0000680C0000}"/>
    <cellStyle name="Normal 116 2 2 3" xfId="1517" xr:uid="{00000000-0005-0000-0000-0000690C0000}"/>
    <cellStyle name="Normal 116 2 2 3 2" xfId="2742" xr:uid="{00000000-0005-0000-0000-00006A0C0000}"/>
    <cellStyle name="Normal 116 2 2 3 2 2" xfId="7259" xr:uid="{00000000-0005-0000-0000-00006B0C0000}"/>
    <cellStyle name="Normal 116 2 2 3 2 2 2" xfId="16300" xr:uid="{00000000-0005-0000-0000-00006C0C0000}"/>
    <cellStyle name="Normal 116 2 2 3 2 3" xfId="11787" xr:uid="{00000000-0005-0000-0000-00006D0C0000}"/>
    <cellStyle name="Normal 116 2 2 3 3" xfId="6040" xr:uid="{00000000-0005-0000-0000-00006E0C0000}"/>
    <cellStyle name="Normal 116 2 2 3 3 2" xfId="15081" xr:uid="{00000000-0005-0000-0000-00006F0C0000}"/>
    <cellStyle name="Normal 116 2 2 3 4" xfId="10568" xr:uid="{00000000-0005-0000-0000-0000700C0000}"/>
    <cellStyle name="Normal 116 2 2 4" xfId="2739" xr:uid="{00000000-0005-0000-0000-0000710C0000}"/>
    <cellStyle name="Normal 116 2 2 4 2" xfId="7256" xr:uid="{00000000-0005-0000-0000-0000720C0000}"/>
    <cellStyle name="Normal 116 2 2 4 2 2" xfId="16297" xr:uid="{00000000-0005-0000-0000-0000730C0000}"/>
    <cellStyle name="Normal 116 2 2 4 3" xfId="11784" xr:uid="{00000000-0005-0000-0000-0000740C0000}"/>
    <cellStyle name="Normal 116 2 2 5" xfId="4912" xr:uid="{00000000-0005-0000-0000-0000750C0000}"/>
    <cellStyle name="Normal 116 2 2 5 2" xfId="13953" xr:uid="{00000000-0005-0000-0000-0000760C0000}"/>
    <cellStyle name="Normal 116 2 2 6" xfId="9440" xr:uid="{00000000-0005-0000-0000-0000770C0000}"/>
    <cellStyle name="Normal 116 2 3" xfId="535" xr:uid="{00000000-0005-0000-0000-0000780C0000}"/>
    <cellStyle name="Normal 116 2 3 2" xfId="1099" xr:uid="{00000000-0005-0000-0000-0000790C0000}"/>
    <cellStyle name="Normal 116 2 3 2 2" xfId="2269" xr:uid="{00000000-0005-0000-0000-00007A0C0000}"/>
    <cellStyle name="Normal 116 2 3 2 2 2" xfId="2745" xr:uid="{00000000-0005-0000-0000-00007B0C0000}"/>
    <cellStyle name="Normal 116 2 3 2 2 2 2" xfId="7262" xr:uid="{00000000-0005-0000-0000-00007C0C0000}"/>
    <cellStyle name="Normal 116 2 3 2 2 2 2 2" xfId="16303" xr:uid="{00000000-0005-0000-0000-00007D0C0000}"/>
    <cellStyle name="Normal 116 2 3 2 2 2 3" xfId="11790" xr:uid="{00000000-0005-0000-0000-00007E0C0000}"/>
    <cellStyle name="Normal 116 2 3 2 2 3" xfId="6792" xr:uid="{00000000-0005-0000-0000-00007F0C0000}"/>
    <cellStyle name="Normal 116 2 3 2 2 3 2" xfId="15833" xr:uid="{00000000-0005-0000-0000-0000800C0000}"/>
    <cellStyle name="Normal 116 2 3 2 2 4" xfId="11320" xr:uid="{00000000-0005-0000-0000-0000810C0000}"/>
    <cellStyle name="Normal 116 2 3 2 3" xfId="2744" xr:uid="{00000000-0005-0000-0000-0000820C0000}"/>
    <cellStyle name="Normal 116 2 3 2 3 2" xfId="7261" xr:uid="{00000000-0005-0000-0000-0000830C0000}"/>
    <cellStyle name="Normal 116 2 3 2 3 2 2" xfId="16302" xr:uid="{00000000-0005-0000-0000-0000840C0000}"/>
    <cellStyle name="Normal 116 2 3 2 3 3" xfId="11789" xr:uid="{00000000-0005-0000-0000-0000850C0000}"/>
    <cellStyle name="Normal 116 2 3 2 4" xfId="5664" xr:uid="{00000000-0005-0000-0000-0000860C0000}"/>
    <cellStyle name="Normal 116 2 3 2 4 2" xfId="14705" xr:uid="{00000000-0005-0000-0000-0000870C0000}"/>
    <cellStyle name="Normal 116 2 3 2 5" xfId="10192" xr:uid="{00000000-0005-0000-0000-0000880C0000}"/>
    <cellStyle name="Normal 116 2 3 3" xfId="1705" xr:uid="{00000000-0005-0000-0000-0000890C0000}"/>
    <cellStyle name="Normal 116 2 3 3 2" xfId="2746" xr:uid="{00000000-0005-0000-0000-00008A0C0000}"/>
    <cellStyle name="Normal 116 2 3 3 2 2" xfId="7263" xr:uid="{00000000-0005-0000-0000-00008B0C0000}"/>
    <cellStyle name="Normal 116 2 3 3 2 2 2" xfId="16304" xr:uid="{00000000-0005-0000-0000-00008C0C0000}"/>
    <cellStyle name="Normal 116 2 3 3 2 3" xfId="11791" xr:uid="{00000000-0005-0000-0000-00008D0C0000}"/>
    <cellStyle name="Normal 116 2 3 3 3" xfId="6228" xr:uid="{00000000-0005-0000-0000-00008E0C0000}"/>
    <cellStyle name="Normal 116 2 3 3 3 2" xfId="15269" xr:uid="{00000000-0005-0000-0000-00008F0C0000}"/>
    <cellStyle name="Normal 116 2 3 3 4" xfId="10756" xr:uid="{00000000-0005-0000-0000-0000900C0000}"/>
    <cellStyle name="Normal 116 2 3 4" xfId="2743" xr:uid="{00000000-0005-0000-0000-0000910C0000}"/>
    <cellStyle name="Normal 116 2 3 4 2" xfId="7260" xr:uid="{00000000-0005-0000-0000-0000920C0000}"/>
    <cellStyle name="Normal 116 2 3 4 2 2" xfId="16301" xr:uid="{00000000-0005-0000-0000-0000930C0000}"/>
    <cellStyle name="Normal 116 2 3 4 3" xfId="11788" xr:uid="{00000000-0005-0000-0000-0000940C0000}"/>
    <cellStyle name="Normal 116 2 3 5" xfId="5100" xr:uid="{00000000-0005-0000-0000-0000950C0000}"/>
    <cellStyle name="Normal 116 2 3 5 2" xfId="14141" xr:uid="{00000000-0005-0000-0000-0000960C0000}"/>
    <cellStyle name="Normal 116 2 3 6" xfId="9628" xr:uid="{00000000-0005-0000-0000-0000970C0000}"/>
    <cellStyle name="Normal 116 2 4" xfId="723" xr:uid="{00000000-0005-0000-0000-0000980C0000}"/>
    <cellStyle name="Normal 116 2 4 2" xfId="1893" xr:uid="{00000000-0005-0000-0000-0000990C0000}"/>
    <cellStyle name="Normal 116 2 4 2 2" xfId="2748" xr:uid="{00000000-0005-0000-0000-00009A0C0000}"/>
    <cellStyle name="Normal 116 2 4 2 2 2" xfId="7265" xr:uid="{00000000-0005-0000-0000-00009B0C0000}"/>
    <cellStyle name="Normal 116 2 4 2 2 2 2" xfId="16306" xr:uid="{00000000-0005-0000-0000-00009C0C0000}"/>
    <cellStyle name="Normal 116 2 4 2 2 3" xfId="11793" xr:uid="{00000000-0005-0000-0000-00009D0C0000}"/>
    <cellStyle name="Normal 116 2 4 2 3" xfId="6416" xr:uid="{00000000-0005-0000-0000-00009E0C0000}"/>
    <cellStyle name="Normal 116 2 4 2 3 2" xfId="15457" xr:uid="{00000000-0005-0000-0000-00009F0C0000}"/>
    <cellStyle name="Normal 116 2 4 2 4" xfId="10944" xr:uid="{00000000-0005-0000-0000-0000A00C0000}"/>
    <cellStyle name="Normal 116 2 4 3" xfId="2747" xr:uid="{00000000-0005-0000-0000-0000A10C0000}"/>
    <cellStyle name="Normal 116 2 4 3 2" xfId="7264" xr:uid="{00000000-0005-0000-0000-0000A20C0000}"/>
    <cellStyle name="Normal 116 2 4 3 2 2" xfId="16305" xr:uid="{00000000-0005-0000-0000-0000A30C0000}"/>
    <cellStyle name="Normal 116 2 4 3 3" xfId="11792" xr:uid="{00000000-0005-0000-0000-0000A40C0000}"/>
    <cellStyle name="Normal 116 2 4 4" xfId="5288" xr:uid="{00000000-0005-0000-0000-0000A50C0000}"/>
    <cellStyle name="Normal 116 2 4 4 2" xfId="14329" xr:uid="{00000000-0005-0000-0000-0000A60C0000}"/>
    <cellStyle name="Normal 116 2 4 5" xfId="9816" xr:uid="{00000000-0005-0000-0000-0000A70C0000}"/>
    <cellStyle name="Normal 116 2 5" xfId="1329" xr:uid="{00000000-0005-0000-0000-0000A80C0000}"/>
    <cellStyle name="Normal 116 2 5 2" xfId="2749" xr:uid="{00000000-0005-0000-0000-0000A90C0000}"/>
    <cellStyle name="Normal 116 2 5 2 2" xfId="7266" xr:uid="{00000000-0005-0000-0000-0000AA0C0000}"/>
    <cellStyle name="Normal 116 2 5 2 2 2" xfId="16307" xr:uid="{00000000-0005-0000-0000-0000AB0C0000}"/>
    <cellStyle name="Normal 116 2 5 2 3" xfId="11794" xr:uid="{00000000-0005-0000-0000-0000AC0C0000}"/>
    <cellStyle name="Normal 116 2 5 3" xfId="5852" xr:uid="{00000000-0005-0000-0000-0000AD0C0000}"/>
    <cellStyle name="Normal 116 2 5 3 2" xfId="14893" xr:uid="{00000000-0005-0000-0000-0000AE0C0000}"/>
    <cellStyle name="Normal 116 2 5 4" xfId="10380" xr:uid="{00000000-0005-0000-0000-0000AF0C0000}"/>
    <cellStyle name="Normal 116 2 6" xfId="2738" xr:uid="{00000000-0005-0000-0000-0000B00C0000}"/>
    <cellStyle name="Normal 116 2 6 2" xfId="7255" xr:uid="{00000000-0005-0000-0000-0000B10C0000}"/>
    <cellStyle name="Normal 116 2 6 2 2" xfId="16296" xr:uid="{00000000-0005-0000-0000-0000B20C0000}"/>
    <cellStyle name="Normal 116 2 6 3" xfId="11783" xr:uid="{00000000-0005-0000-0000-0000B30C0000}"/>
    <cellStyle name="Normal 116 2 7" xfId="4724" xr:uid="{00000000-0005-0000-0000-0000B40C0000}"/>
    <cellStyle name="Normal 116 2 7 2" xfId="13765" xr:uid="{00000000-0005-0000-0000-0000B50C0000}"/>
    <cellStyle name="Normal 116 2 8" xfId="9252" xr:uid="{00000000-0005-0000-0000-0000B60C0000}"/>
    <cellStyle name="Normal 116 3" xfId="253" xr:uid="{00000000-0005-0000-0000-0000B70C0000}"/>
    <cellStyle name="Normal 116 3 2" xfId="817" xr:uid="{00000000-0005-0000-0000-0000B80C0000}"/>
    <cellStyle name="Normal 116 3 2 2" xfId="1987" xr:uid="{00000000-0005-0000-0000-0000B90C0000}"/>
    <cellStyle name="Normal 116 3 2 2 2" xfId="2752" xr:uid="{00000000-0005-0000-0000-0000BA0C0000}"/>
    <cellStyle name="Normal 116 3 2 2 2 2" xfId="7269" xr:uid="{00000000-0005-0000-0000-0000BB0C0000}"/>
    <cellStyle name="Normal 116 3 2 2 2 2 2" xfId="16310" xr:uid="{00000000-0005-0000-0000-0000BC0C0000}"/>
    <cellStyle name="Normal 116 3 2 2 2 3" xfId="11797" xr:uid="{00000000-0005-0000-0000-0000BD0C0000}"/>
    <cellStyle name="Normal 116 3 2 2 3" xfId="6510" xr:uid="{00000000-0005-0000-0000-0000BE0C0000}"/>
    <cellStyle name="Normal 116 3 2 2 3 2" xfId="15551" xr:uid="{00000000-0005-0000-0000-0000BF0C0000}"/>
    <cellStyle name="Normal 116 3 2 2 4" xfId="11038" xr:uid="{00000000-0005-0000-0000-0000C00C0000}"/>
    <cellStyle name="Normal 116 3 2 3" xfId="2751" xr:uid="{00000000-0005-0000-0000-0000C10C0000}"/>
    <cellStyle name="Normal 116 3 2 3 2" xfId="7268" xr:uid="{00000000-0005-0000-0000-0000C20C0000}"/>
    <cellStyle name="Normal 116 3 2 3 2 2" xfId="16309" xr:uid="{00000000-0005-0000-0000-0000C30C0000}"/>
    <cellStyle name="Normal 116 3 2 3 3" xfId="11796" xr:uid="{00000000-0005-0000-0000-0000C40C0000}"/>
    <cellStyle name="Normal 116 3 2 4" xfId="5382" xr:uid="{00000000-0005-0000-0000-0000C50C0000}"/>
    <cellStyle name="Normal 116 3 2 4 2" xfId="14423" xr:uid="{00000000-0005-0000-0000-0000C60C0000}"/>
    <cellStyle name="Normal 116 3 2 5" xfId="9910" xr:uid="{00000000-0005-0000-0000-0000C70C0000}"/>
    <cellStyle name="Normal 116 3 3" xfId="1423" xr:uid="{00000000-0005-0000-0000-0000C80C0000}"/>
    <cellStyle name="Normal 116 3 3 2" xfId="2753" xr:uid="{00000000-0005-0000-0000-0000C90C0000}"/>
    <cellStyle name="Normal 116 3 3 2 2" xfId="7270" xr:uid="{00000000-0005-0000-0000-0000CA0C0000}"/>
    <cellStyle name="Normal 116 3 3 2 2 2" xfId="16311" xr:uid="{00000000-0005-0000-0000-0000CB0C0000}"/>
    <cellStyle name="Normal 116 3 3 2 3" xfId="11798" xr:uid="{00000000-0005-0000-0000-0000CC0C0000}"/>
    <cellStyle name="Normal 116 3 3 3" xfId="5946" xr:uid="{00000000-0005-0000-0000-0000CD0C0000}"/>
    <cellStyle name="Normal 116 3 3 3 2" xfId="14987" xr:uid="{00000000-0005-0000-0000-0000CE0C0000}"/>
    <cellStyle name="Normal 116 3 3 4" xfId="10474" xr:uid="{00000000-0005-0000-0000-0000CF0C0000}"/>
    <cellStyle name="Normal 116 3 4" xfId="2750" xr:uid="{00000000-0005-0000-0000-0000D00C0000}"/>
    <cellStyle name="Normal 116 3 4 2" xfId="7267" xr:uid="{00000000-0005-0000-0000-0000D10C0000}"/>
    <cellStyle name="Normal 116 3 4 2 2" xfId="16308" xr:uid="{00000000-0005-0000-0000-0000D20C0000}"/>
    <cellStyle name="Normal 116 3 4 3" xfId="11795" xr:uid="{00000000-0005-0000-0000-0000D30C0000}"/>
    <cellStyle name="Normal 116 3 5" xfId="4818" xr:uid="{00000000-0005-0000-0000-0000D40C0000}"/>
    <cellStyle name="Normal 116 3 5 2" xfId="13859" xr:uid="{00000000-0005-0000-0000-0000D50C0000}"/>
    <cellStyle name="Normal 116 3 6" xfId="9346" xr:uid="{00000000-0005-0000-0000-0000D60C0000}"/>
    <cellStyle name="Normal 116 4" xfId="441" xr:uid="{00000000-0005-0000-0000-0000D70C0000}"/>
    <cellStyle name="Normal 116 4 2" xfId="1005" xr:uid="{00000000-0005-0000-0000-0000D80C0000}"/>
    <cellStyle name="Normal 116 4 2 2" xfId="2175" xr:uid="{00000000-0005-0000-0000-0000D90C0000}"/>
    <cellStyle name="Normal 116 4 2 2 2" xfId="2756" xr:uid="{00000000-0005-0000-0000-0000DA0C0000}"/>
    <cellStyle name="Normal 116 4 2 2 2 2" xfId="7273" xr:uid="{00000000-0005-0000-0000-0000DB0C0000}"/>
    <cellStyle name="Normal 116 4 2 2 2 2 2" xfId="16314" xr:uid="{00000000-0005-0000-0000-0000DC0C0000}"/>
    <cellStyle name="Normal 116 4 2 2 2 3" xfId="11801" xr:uid="{00000000-0005-0000-0000-0000DD0C0000}"/>
    <cellStyle name="Normal 116 4 2 2 3" xfId="6698" xr:uid="{00000000-0005-0000-0000-0000DE0C0000}"/>
    <cellStyle name="Normal 116 4 2 2 3 2" xfId="15739" xr:uid="{00000000-0005-0000-0000-0000DF0C0000}"/>
    <cellStyle name="Normal 116 4 2 2 4" xfId="11226" xr:uid="{00000000-0005-0000-0000-0000E00C0000}"/>
    <cellStyle name="Normal 116 4 2 3" xfId="2755" xr:uid="{00000000-0005-0000-0000-0000E10C0000}"/>
    <cellStyle name="Normal 116 4 2 3 2" xfId="7272" xr:uid="{00000000-0005-0000-0000-0000E20C0000}"/>
    <cellStyle name="Normal 116 4 2 3 2 2" xfId="16313" xr:uid="{00000000-0005-0000-0000-0000E30C0000}"/>
    <cellStyle name="Normal 116 4 2 3 3" xfId="11800" xr:uid="{00000000-0005-0000-0000-0000E40C0000}"/>
    <cellStyle name="Normal 116 4 2 4" xfId="5570" xr:uid="{00000000-0005-0000-0000-0000E50C0000}"/>
    <cellStyle name="Normal 116 4 2 4 2" xfId="14611" xr:uid="{00000000-0005-0000-0000-0000E60C0000}"/>
    <cellStyle name="Normal 116 4 2 5" xfId="10098" xr:uid="{00000000-0005-0000-0000-0000E70C0000}"/>
    <cellStyle name="Normal 116 4 3" xfId="1611" xr:uid="{00000000-0005-0000-0000-0000E80C0000}"/>
    <cellStyle name="Normal 116 4 3 2" xfId="2757" xr:uid="{00000000-0005-0000-0000-0000E90C0000}"/>
    <cellStyle name="Normal 116 4 3 2 2" xfId="7274" xr:uid="{00000000-0005-0000-0000-0000EA0C0000}"/>
    <cellStyle name="Normal 116 4 3 2 2 2" xfId="16315" xr:uid="{00000000-0005-0000-0000-0000EB0C0000}"/>
    <cellStyle name="Normal 116 4 3 2 3" xfId="11802" xr:uid="{00000000-0005-0000-0000-0000EC0C0000}"/>
    <cellStyle name="Normal 116 4 3 3" xfId="6134" xr:uid="{00000000-0005-0000-0000-0000ED0C0000}"/>
    <cellStyle name="Normal 116 4 3 3 2" xfId="15175" xr:uid="{00000000-0005-0000-0000-0000EE0C0000}"/>
    <cellStyle name="Normal 116 4 3 4" xfId="10662" xr:uid="{00000000-0005-0000-0000-0000EF0C0000}"/>
    <cellStyle name="Normal 116 4 4" xfId="2754" xr:uid="{00000000-0005-0000-0000-0000F00C0000}"/>
    <cellStyle name="Normal 116 4 4 2" xfId="7271" xr:uid="{00000000-0005-0000-0000-0000F10C0000}"/>
    <cellStyle name="Normal 116 4 4 2 2" xfId="16312" xr:uid="{00000000-0005-0000-0000-0000F20C0000}"/>
    <cellStyle name="Normal 116 4 4 3" xfId="11799" xr:uid="{00000000-0005-0000-0000-0000F30C0000}"/>
    <cellStyle name="Normal 116 4 5" xfId="5006" xr:uid="{00000000-0005-0000-0000-0000F40C0000}"/>
    <cellStyle name="Normal 116 4 5 2" xfId="14047" xr:uid="{00000000-0005-0000-0000-0000F50C0000}"/>
    <cellStyle name="Normal 116 4 6" xfId="9534" xr:uid="{00000000-0005-0000-0000-0000F60C0000}"/>
    <cellStyle name="Normal 116 5" xfId="629" xr:uid="{00000000-0005-0000-0000-0000F70C0000}"/>
    <cellStyle name="Normal 116 5 2" xfId="1799" xr:uid="{00000000-0005-0000-0000-0000F80C0000}"/>
    <cellStyle name="Normal 116 5 2 2" xfId="2759" xr:uid="{00000000-0005-0000-0000-0000F90C0000}"/>
    <cellStyle name="Normal 116 5 2 2 2" xfId="7276" xr:uid="{00000000-0005-0000-0000-0000FA0C0000}"/>
    <cellStyle name="Normal 116 5 2 2 2 2" xfId="16317" xr:uid="{00000000-0005-0000-0000-0000FB0C0000}"/>
    <cellStyle name="Normal 116 5 2 2 3" xfId="11804" xr:uid="{00000000-0005-0000-0000-0000FC0C0000}"/>
    <cellStyle name="Normal 116 5 2 3" xfId="6322" xr:uid="{00000000-0005-0000-0000-0000FD0C0000}"/>
    <cellStyle name="Normal 116 5 2 3 2" xfId="15363" xr:uid="{00000000-0005-0000-0000-0000FE0C0000}"/>
    <cellStyle name="Normal 116 5 2 4" xfId="10850" xr:uid="{00000000-0005-0000-0000-0000FF0C0000}"/>
    <cellStyle name="Normal 116 5 3" xfId="2758" xr:uid="{00000000-0005-0000-0000-0000000D0000}"/>
    <cellStyle name="Normal 116 5 3 2" xfId="7275" xr:uid="{00000000-0005-0000-0000-0000010D0000}"/>
    <cellStyle name="Normal 116 5 3 2 2" xfId="16316" xr:uid="{00000000-0005-0000-0000-0000020D0000}"/>
    <cellStyle name="Normal 116 5 3 3" xfId="11803" xr:uid="{00000000-0005-0000-0000-0000030D0000}"/>
    <cellStyle name="Normal 116 5 4" xfId="5194" xr:uid="{00000000-0005-0000-0000-0000040D0000}"/>
    <cellStyle name="Normal 116 5 4 2" xfId="14235" xr:uid="{00000000-0005-0000-0000-0000050D0000}"/>
    <cellStyle name="Normal 116 5 5" xfId="9722" xr:uid="{00000000-0005-0000-0000-0000060D0000}"/>
    <cellStyle name="Normal 116 6" xfId="1235" xr:uid="{00000000-0005-0000-0000-0000070D0000}"/>
    <cellStyle name="Normal 116 6 2" xfId="2760" xr:uid="{00000000-0005-0000-0000-0000080D0000}"/>
    <cellStyle name="Normal 116 6 2 2" xfId="7277" xr:uid="{00000000-0005-0000-0000-0000090D0000}"/>
    <cellStyle name="Normal 116 6 2 2 2" xfId="16318" xr:uid="{00000000-0005-0000-0000-00000A0D0000}"/>
    <cellStyle name="Normal 116 6 2 3" xfId="11805" xr:uid="{00000000-0005-0000-0000-00000B0D0000}"/>
    <cellStyle name="Normal 116 6 3" xfId="5758" xr:uid="{00000000-0005-0000-0000-00000C0D0000}"/>
    <cellStyle name="Normal 116 6 3 2" xfId="14799" xr:uid="{00000000-0005-0000-0000-00000D0D0000}"/>
    <cellStyle name="Normal 116 6 4" xfId="10286" xr:uid="{00000000-0005-0000-0000-00000E0D0000}"/>
    <cellStyle name="Normal 116 7" xfId="2737" xr:uid="{00000000-0005-0000-0000-00000F0D0000}"/>
    <cellStyle name="Normal 116 7 2" xfId="7254" xr:uid="{00000000-0005-0000-0000-0000100D0000}"/>
    <cellStyle name="Normal 116 7 2 2" xfId="16295" xr:uid="{00000000-0005-0000-0000-0000110D0000}"/>
    <cellStyle name="Normal 116 7 3" xfId="11782" xr:uid="{00000000-0005-0000-0000-0000120D0000}"/>
    <cellStyle name="Normal 116 8" xfId="4630" xr:uid="{00000000-0005-0000-0000-0000130D0000}"/>
    <cellStyle name="Normal 116 8 2" xfId="13671" xr:uid="{00000000-0005-0000-0000-0000140D0000}"/>
    <cellStyle name="Normal 116 9" xfId="9158" xr:uid="{00000000-0005-0000-0000-0000150D0000}"/>
    <cellStyle name="Normal 117" xfId="23" xr:uid="{00000000-0005-0000-0000-0000160D0000}"/>
    <cellStyle name="Normal 117 2" xfId="119" xr:uid="{00000000-0005-0000-0000-0000170D0000}"/>
    <cellStyle name="Normal 117 2 2" xfId="348" xr:uid="{00000000-0005-0000-0000-0000180D0000}"/>
    <cellStyle name="Normal 117 2 2 2" xfId="912" xr:uid="{00000000-0005-0000-0000-0000190D0000}"/>
    <cellStyle name="Normal 117 2 2 2 2" xfId="2082" xr:uid="{00000000-0005-0000-0000-00001A0D0000}"/>
    <cellStyle name="Normal 117 2 2 2 2 2" xfId="2765" xr:uid="{00000000-0005-0000-0000-00001B0D0000}"/>
    <cellStyle name="Normal 117 2 2 2 2 2 2" xfId="7282" xr:uid="{00000000-0005-0000-0000-00001C0D0000}"/>
    <cellStyle name="Normal 117 2 2 2 2 2 2 2" xfId="16323" xr:uid="{00000000-0005-0000-0000-00001D0D0000}"/>
    <cellStyle name="Normal 117 2 2 2 2 2 3" xfId="11810" xr:uid="{00000000-0005-0000-0000-00001E0D0000}"/>
    <cellStyle name="Normal 117 2 2 2 2 3" xfId="6605" xr:uid="{00000000-0005-0000-0000-00001F0D0000}"/>
    <cellStyle name="Normal 117 2 2 2 2 3 2" xfId="15646" xr:uid="{00000000-0005-0000-0000-0000200D0000}"/>
    <cellStyle name="Normal 117 2 2 2 2 4" xfId="11133" xr:uid="{00000000-0005-0000-0000-0000210D0000}"/>
    <cellStyle name="Normal 117 2 2 2 3" xfId="2764" xr:uid="{00000000-0005-0000-0000-0000220D0000}"/>
    <cellStyle name="Normal 117 2 2 2 3 2" xfId="7281" xr:uid="{00000000-0005-0000-0000-0000230D0000}"/>
    <cellStyle name="Normal 117 2 2 2 3 2 2" xfId="16322" xr:uid="{00000000-0005-0000-0000-0000240D0000}"/>
    <cellStyle name="Normal 117 2 2 2 3 3" xfId="11809" xr:uid="{00000000-0005-0000-0000-0000250D0000}"/>
    <cellStyle name="Normal 117 2 2 2 4" xfId="5477" xr:uid="{00000000-0005-0000-0000-0000260D0000}"/>
    <cellStyle name="Normal 117 2 2 2 4 2" xfId="14518" xr:uid="{00000000-0005-0000-0000-0000270D0000}"/>
    <cellStyle name="Normal 117 2 2 2 5" xfId="10005" xr:uid="{00000000-0005-0000-0000-0000280D0000}"/>
    <cellStyle name="Normal 117 2 2 3" xfId="1518" xr:uid="{00000000-0005-0000-0000-0000290D0000}"/>
    <cellStyle name="Normal 117 2 2 3 2" xfId="2766" xr:uid="{00000000-0005-0000-0000-00002A0D0000}"/>
    <cellStyle name="Normal 117 2 2 3 2 2" xfId="7283" xr:uid="{00000000-0005-0000-0000-00002B0D0000}"/>
    <cellStyle name="Normal 117 2 2 3 2 2 2" xfId="16324" xr:uid="{00000000-0005-0000-0000-00002C0D0000}"/>
    <cellStyle name="Normal 117 2 2 3 2 3" xfId="11811" xr:uid="{00000000-0005-0000-0000-00002D0D0000}"/>
    <cellStyle name="Normal 117 2 2 3 3" xfId="6041" xr:uid="{00000000-0005-0000-0000-00002E0D0000}"/>
    <cellStyle name="Normal 117 2 2 3 3 2" xfId="15082" xr:uid="{00000000-0005-0000-0000-00002F0D0000}"/>
    <cellStyle name="Normal 117 2 2 3 4" xfId="10569" xr:uid="{00000000-0005-0000-0000-0000300D0000}"/>
    <cellStyle name="Normal 117 2 2 4" xfId="2763" xr:uid="{00000000-0005-0000-0000-0000310D0000}"/>
    <cellStyle name="Normal 117 2 2 4 2" xfId="7280" xr:uid="{00000000-0005-0000-0000-0000320D0000}"/>
    <cellStyle name="Normal 117 2 2 4 2 2" xfId="16321" xr:uid="{00000000-0005-0000-0000-0000330D0000}"/>
    <cellStyle name="Normal 117 2 2 4 3" xfId="11808" xr:uid="{00000000-0005-0000-0000-0000340D0000}"/>
    <cellStyle name="Normal 117 2 2 5" xfId="4913" xr:uid="{00000000-0005-0000-0000-0000350D0000}"/>
    <cellStyle name="Normal 117 2 2 5 2" xfId="13954" xr:uid="{00000000-0005-0000-0000-0000360D0000}"/>
    <cellStyle name="Normal 117 2 2 6" xfId="9441" xr:uid="{00000000-0005-0000-0000-0000370D0000}"/>
    <cellStyle name="Normal 117 2 3" xfId="536" xr:uid="{00000000-0005-0000-0000-0000380D0000}"/>
    <cellStyle name="Normal 117 2 3 2" xfId="1100" xr:uid="{00000000-0005-0000-0000-0000390D0000}"/>
    <cellStyle name="Normal 117 2 3 2 2" xfId="2270" xr:uid="{00000000-0005-0000-0000-00003A0D0000}"/>
    <cellStyle name="Normal 117 2 3 2 2 2" xfId="2769" xr:uid="{00000000-0005-0000-0000-00003B0D0000}"/>
    <cellStyle name="Normal 117 2 3 2 2 2 2" xfId="7286" xr:uid="{00000000-0005-0000-0000-00003C0D0000}"/>
    <cellStyle name="Normal 117 2 3 2 2 2 2 2" xfId="16327" xr:uid="{00000000-0005-0000-0000-00003D0D0000}"/>
    <cellStyle name="Normal 117 2 3 2 2 2 3" xfId="11814" xr:uid="{00000000-0005-0000-0000-00003E0D0000}"/>
    <cellStyle name="Normal 117 2 3 2 2 3" xfId="6793" xr:uid="{00000000-0005-0000-0000-00003F0D0000}"/>
    <cellStyle name="Normal 117 2 3 2 2 3 2" xfId="15834" xr:uid="{00000000-0005-0000-0000-0000400D0000}"/>
    <cellStyle name="Normal 117 2 3 2 2 4" xfId="11321" xr:uid="{00000000-0005-0000-0000-0000410D0000}"/>
    <cellStyle name="Normal 117 2 3 2 3" xfId="2768" xr:uid="{00000000-0005-0000-0000-0000420D0000}"/>
    <cellStyle name="Normal 117 2 3 2 3 2" xfId="7285" xr:uid="{00000000-0005-0000-0000-0000430D0000}"/>
    <cellStyle name="Normal 117 2 3 2 3 2 2" xfId="16326" xr:uid="{00000000-0005-0000-0000-0000440D0000}"/>
    <cellStyle name="Normal 117 2 3 2 3 3" xfId="11813" xr:uid="{00000000-0005-0000-0000-0000450D0000}"/>
    <cellStyle name="Normal 117 2 3 2 4" xfId="5665" xr:uid="{00000000-0005-0000-0000-0000460D0000}"/>
    <cellStyle name="Normal 117 2 3 2 4 2" xfId="14706" xr:uid="{00000000-0005-0000-0000-0000470D0000}"/>
    <cellStyle name="Normal 117 2 3 2 5" xfId="10193" xr:uid="{00000000-0005-0000-0000-0000480D0000}"/>
    <cellStyle name="Normal 117 2 3 3" xfId="1706" xr:uid="{00000000-0005-0000-0000-0000490D0000}"/>
    <cellStyle name="Normal 117 2 3 3 2" xfId="2770" xr:uid="{00000000-0005-0000-0000-00004A0D0000}"/>
    <cellStyle name="Normal 117 2 3 3 2 2" xfId="7287" xr:uid="{00000000-0005-0000-0000-00004B0D0000}"/>
    <cellStyle name="Normal 117 2 3 3 2 2 2" xfId="16328" xr:uid="{00000000-0005-0000-0000-00004C0D0000}"/>
    <cellStyle name="Normal 117 2 3 3 2 3" xfId="11815" xr:uid="{00000000-0005-0000-0000-00004D0D0000}"/>
    <cellStyle name="Normal 117 2 3 3 3" xfId="6229" xr:uid="{00000000-0005-0000-0000-00004E0D0000}"/>
    <cellStyle name="Normal 117 2 3 3 3 2" xfId="15270" xr:uid="{00000000-0005-0000-0000-00004F0D0000}"/>
    <cellStyle name="Normal 117 2 3 3 4" xfId="10757" xr:uid="{00000000-0005-0000-0000-0000500D0000}"/>
    <cellStyle name="Normal 117 2 3 4" xfId="2767" xr:uid="{00000000-0005-0000-0000-0000510D0000}"/>
    <cellStyle name="Normal 117 2 3 4 2" xfId="7284" xr:uid="{00000000-0005-0000-0000-0000520D0000}"/>
    <cellStyle name="Normal 117 2 3 4 2 2" xfId="16325" xr:uid="{00000000-0005-0000-0000-0000530D0000}"/>
    <cellStyle name="Normal 117 2 3 4 3" xfId="11812" xr:uid="{00000000-0005-0000-0000-0000540D0000}"/>
    <cellStyle name="Normal 117 2 3 5" xfId="5101" xr:uid="{00000000-0005-0000-0000-0000550D0000}"/>
    <cellStyle name="Normal 117 2 3 5 2" xfId="14142" xr:uid="{00000000-0005-0000-0000-0000560D0000}"/>
    <cellStyle name="Normal 117 2 3 6" xfId="9629" xr:uid="{00000000-0005-0000-0000-0000570D0000}"/>
    <cellStyle name="Normal 117 2 4" xfId="724" xr:uid="{00000000-0005-0000-0000-0000580D0000}"/>
    <cellStyle name="Normal 117 2 4 2" xfId="1894" xr:uid="{00000000-0005-0000-0000-0000590D0000}"/>
    <cellStyle name="Normal 117 2 4 2 2" xfId="2772" xr:uid="{00000000-0005-0000-0000-00005A0D0000}"/>
    <cellStyle name="Normal 117 2 4 2 2 2" xfId="7289" xr:uid="{00000000-0005-0000-0000-00005B0D0000}"/>
    <cellStyle name="Normal 117 2 4 2 2 2 2" xfId="16330" xr:uid="{00000000-0005-0000-0000-00005C0D0000}"/>
    <cellStyle name="Normal 117 2 4 2 2 3" xfId="11817" xr:uid="{00000000-0005-0000-0000-00005D0D0000}"/>
    <cellStyle name="Normal 117 2 4 2 3" xfId="6417" xr:uid="{00000000-0005-0000-0000-00005E0D0000}"/>
    <cellStyle name="Normal 117 2 4 2 3 2" xfId="15458" xr:uid="{00000000-0005-0000-0000-00005F0D0000}"/>
    <cellStyle name="Normal 117 2 4 2 4" xfId="10945" xr:uid="{00000000-0005-0000-0000-0000600D0000}"/>
    <cellStyle name="Normal 117 2 4 3" xfId="2771" xr:uid="{00000000-0005-0000-0000-0000610D0000}"/>
    <cellStyle name="Normal 117 2 4 3 2" xfId="7288" xr:uid="{00000000-0005-0000-0000-0000620D0000}"/>
    <cellStyle name="Normal 117 2 4 3 2 2" xfId="16329" xr:uid="{00000000-0005-0000-0000-0000630D0000}"/>
    <cellStyle name="Normal 117 2 4 3 3" xfId="11816" xr:uid="{00000000-0005-0000-0000-0000640D0000}"/>
    <cellStyle name="Normal 117 2 4 4" xfId="5289" xr:uid="{00000000-0005-0000-0000-0000650D0000}"/>
    <cellStyle name="Normal 117 2 4 4 2" xfId="14330" xr:uid="{00000000-0005-0000-0000-0000660D0000}"/>
    <cellStyle name="Normal 117 2 4 5" xfId="9817" xr:uid="{00000000-0005-0000-0000-0000670D0000}"/>
    <cellStyle name="Normal 117 2 5" xfId="1330" xr:uid="{00000000-0005-0000-0000-0000680D0000}"/>
    <cellStyle name="Normal 117 2 5 2" xfId="2773" xr:uid="{00000000-0005-0000-0000-0000690D0000}"/>
    <cellStyle name="Normal 117 2 5 2 2" xfId="7290" xr:uid="{00000000-0005-0000-0000-00006A0D0000}"/>
    <cellStyle name="Normal 117 2 5 2 2 2" xfId="16331" xr:uid="{00000000-0005-0000-0000-00006B0D0000}"/>
    <cellStyle name="Normal 117 2 5 2 3" xfId="11818" xr:uid="{00000000-0005-0000-0000-00006C0D0000}"/>
    <cellStyle name="Normal 117 2 5 3" xfId="5853" xr:uid="{00000000-0005-0000-0000-00006D0D0000}"/>
    <cellStyle name="Normal 117 2 5 3 2" xfId="14894" xr:uid="{00000000-0005-0000-0000-00006E0D0000}"/>
    <cellStyle name="Normal 117 2 5 4" xfId="10381" xr:uid="{00000000-0005-0000-0000-00006F0D0000}"/>
    <cellStyle name="Normal 117 2 6" xfId="2762" xr:uid="{00000000-0005-0000-0000-0000700D0000}"/>
    <cellStyle name="Normal 117 2 6 2" xfId="7279" xr:uid="{00000000-0005-0000-0000-0000710D0000}"/>
    <cellStyle name="Normal 117 2 6 2 2" xfId="16320" xr:uid="{00000000-0005-0000-0000-0000720D0000}"/>
    <cellStyle name="Normal 117 2 6 3" xfId="11807" xr:uid="{00000000-0005-0000-0000-0000730D0000}"/>
    <cellStyle name="Normal 117 2 7" xfId="4725" xr:uid="{00000000-0005-0000-0000-0000740D0000}"/>
    <cellStyle name="Normal 117 2 7 2" xfId="13766" xr:uid="{00000000-0005-0000-0000-0000750D0000}"/>
    <cellStyle name="Normal 117 2 8" xfId="9253" xr:uid="{00000000-0005-0000-0000-0000760D0000}"/>
    <cellStyle name="Normal 117 3" xfId="254" xr:uid="{00000000-0005-0000-0000-0000770D0000}"/>
    <cellStyle name="Normal 117 3 2" xfId="818" xr:uid="{00000000-0005-0000-0000-0000780D0000}"/>
    <cellStyle name="Normal 117 3 2 2" xfId="1988" xr:uid="{00000000-0005-0000-0000-0000790D0000}"/>
    <cellStyle name="Normal 117 3 2 2 2" xfId="2776" xr:uid="{00000000-0005-0000-0000-00007A0D0000}"/>
    <cellStyle name="Normal 117 3 2 2 2 2" xfId="7293" xr:uid="{00000000-0005-0000-0000-00007B0D0000}"/>
    <cellStyle name="Normal 117 3 2 2 2 2 2" xfId="16334" xr:uid="{00000000-0005-0000-0000-00007C0D0000}"/>
    <cellStyle name="Normal 117 3 2 2 2 3" xfId="11821" xr:uid="{00000000-0005-0000-0000-00007D0D0000}"/>
    <cellStyle name="Normal 117 3 2 2 3" xfId="6511" xr:uid="{00000000-0005-0000-0000-00007E0D0000}"/>
    <cellStyle name="Normal 117 3 2 2 3 2" xfId="15552" xr:uid="{00000000-0005-0000-0000-00007F0D0000}"/>
    <cellStyle name="Normal 117 3 2 2 4" xfId="11039" xr:uid="{00000000-0005-0000-0000-0000800D0000}"/>
    <cellStyle name="Normal 117 3 2 3" xfId="2775" xr:uid="{00000000-0005-0000-0000-0000810D0000}"/>
    <cellStyle name="Normal 117 3 2 3 2" xfId="7292" xr:uid="{00000000-0005-0000-0000-0000820D0000}"/>
    <cellStyle name="Normal 117 3 2 3 2 2" xfId="16333" xr:uid="{00000000-0005-0000-0000-0000830D0000}"/>
    <cellStyle name="Normal 117 3 2 3 3" xfId="11820" xr:uid="{00000000-0005-0000-0000-0000840D0000}"/>
    <cellStyle name="Normal 117 3 2 4" xfId="5383" xr:uid="{00000000-0005-0000-0000-0000850D0000}"/>
    <cellStyle name="Normal 117 3 2 4 2" xfId="14424" xr:uid="{00000000-0005-0000-0000-0000860D0000}"/>
    <cellStyle name="Normal 117 3 2 5" xfId="9911" xr:uid="{00000000-0005-0000-0000-0000870D0000}"/>
    <cellStyle name="Normal 117 3 3" xfId="1424" xr:uid="{00000000-0005-0000-0000-0000880D0000}"/>
    <cellStyle name="Normal 117 3 3 2" xfId="2777" xr:uid="{00000000-0005-0000-0000-0000890D0000}"/>
    <cellStyle name="Normal 117 3 3 2 2" xfId="7294" xr:uid="{00000000-0005-0000-0000-00008A0D0000}"/>
    <cellStyle name="Normal 117 3 3 2 2 2" xfId="16335" xr:uid="{00000000-0005-0000-0000-00008B0D0000}"/>
    <cellStyle name="Normal 117 3 3 2 3" xfId="11822" xr:uid="{00000000-0005-0000-0000-00008C0D0000}"/>
    <cellStyle name="Normal 117 3 3 3" xfId="5947" xr:uid="{00000000-0005-0000-0000-00008D0D0000}"/>
    <cellStyle name="Normal 117 3 3 3 2" xfId="14988" xr:uid="{00000000-0005-0000-0000-00008E0D0000}"/>
    <cellStyle name="Normal 117 3 3 4" xfId="10475" xr:uid="{00000000-0005-0000-0000-00008F0D0000}"/>
    <cellStyle name="Normal 117 3 4" xfId="2774" xr:uid="{00000000-0005-0000-0000-0000900D0000}"/>
    <cellStyle name="Normal 117 3 4 2" xfId="7291" xr:uid="{00000000-0005-0000-0000-0000910D0000}"/>
    <cellStyle name="Normal 117 3 4 2 2" xfId="16332" xr:uid="{00000000-0005-0000-0000-0000920D0000}"/>
    <cellStyle name="Normal 117 3 4 3" xfId="11819" xr:uid="{00000000-0005-0000-0000-0000930D0000}"/>
    <cellStyle name="Normal 117 3 5" xfId="4819" xr:uid="{00000000-0005-0000-0000-0000940D0000}"/>
    <cellStyle name="Normal 117 3 5 2" xfId="13860" xr:uid="{00000000-0005-0000-0000-0000950D0000}"/>
    <cellStyle name="Normal 117 3 6" xfId="9347" xr:uid="{00000000-0005-0000-0000-0000960D0000}"/>
    <cellStyle name="Normal 117 4" xfId="442" xr:uid="{00000000-0005-0000-0000-0000970D0000}"/>
    <cellStyle name="Normal 117 4 2" xfId="1006" xr:uid="{00000000-0005-0000-0000-0000980D0000}"/>
    <cellStyle name="Normal 117 4 2 2" xfId="2176" xr:uid="{00000000-0005-0000-0000-0000990D0000}"/>
    <cellStyle name="Normal 117 4 2 2 2" xfId="2780" xr:uid="{00000000-0005-0000-0000-00009A0D0000}"/>
    <cellStyle name="Normal 117 4 2 2 2 2" xfId="7297" xr:uid="{00000000-0005-0000-0000-00009B0D0000}"/>
    <cellStyle name="Normal 117 4 2 2 2 2 2" xfId="16338" xr:uid="{00000000-0005-0000-0000-00009C0D0000}"/>
    <cellStyle name="Normal 117 4 2 2 2 3" xfId="11825" xr:uid="{00000000-0005-0000-0000-00009D0D0000}"/>
    <cellStyle name="Normal 117 4 2 2 3" xfId="6699" xr:uid="{00000000-0005-0000-0000-00009E0D0000}"/>
    <cellStyle name="Normal 117 4 2 2 3 2" xfId="15740" xr:uid="{00000000-0005-0000-0000-00009F0D0000}"/>
    <cellStyle name="Normal 117 4 2 2 4" xfId="11227" xr:uid="{00000000-0005-0000-0000-0000A00D0000}"/>
    <cellStyle name="Normal 117 4 2 3" xfId="2779" xr:uid="{00000000-0005-0000-0000-0000A10D0000}"/>
    <cellStyle name="Normal 117 4 2 3 2" xfId="7296" xr:uid="{00000000-0005-0000-0000-0000A20D0000}"/>
    <cellStyle name="Normal 117 4 2 3 2 2" xfId="16337" xr:uid="{00000000-0005-0000-0000-0000A30D0000}"/>
    <cellStyle name="Normal 117 4 2 3 3" xfId="11824" xr:uid="{00000000-0005-0000-0000-0000A40D0000}"/>
    <cellStyle name="Normal 117 4 2 4" xfId="5571" xr:uid="{00000000-0005-0000-0000-0000A50D0000}"/>
    <cellStyle name="Normal 117 4 2 4 2" xfId="14612" xr:uid="{00000000-0005-0000-0000-0000A60D0000}"/>
    <cellStyle name="Normal 117 4 2 5" xfId="10099" xr:uid="{00000000-0005-0000-0000-0000A70D0000}"/>
    <cellStyle name="Normal 117 4 3" xfId="1612" xr:uid="{00000000-0005-0000-0000-0000A80D0000}"/>
    <cellStyle name="Normal 117 4 3 2" xfId="2781" xr:uid="{00000000-0005-0000-0000-0000A90D0000}"/>
    <cellStyle name="Normal 117 4 3 2 2" xfId="7298" xr:uid="{00000000-0005-0000-0000-0000AA0D0000}"/>
    <cellStyle name="Normal 117 4 3 2 2 2" xfId="16339" xr:uid="{00000000-0005-0000-0000-0000AB0D0000}"/>
    <cellStyle name="Normal 117 4 3 2 3" xfId="11826" xr:uid="{00000000-0005-0000-0000-0000AC0D0000}"/>
    <cellStyle name="Normal 117 4 3 3" xfId="6135" xr:uid="{00000000-0005-0000-0000-0000AD0D0000}"/>
    <cellStyle name="Normal 117 4 3 3 2" xfId="15176" xr:uid="{00000000-0005-0000-0000-0000AE0D0000}"/>
    <cellStyle name="Normal 117 4 3 4" xfId="10663" xr:uid="{00000000-0005-0000-0000-0000AF0D0000}"/>
    <cellStyle name="Normal 117 4 4" xfId="2778" xr:uid="{00000000-0005-0000-0000-0000B00D0000}"/>
    <cellStyle name="Normal 117 4 4 2" xfId="7295" xr:uid="{00000000-0005-0000-0000-0000B10D0000}"/>
    <cellStyle name="Normal 117 4 4 2 2" xfId="16336" xr:uid="{00000000-0005-0000-0000-0000B20D0000}"/>
    <cellStyle name="Normal 117 4 4 3" xfId="11823" xr:uid="{00000000-0005-0000-0000-0000B30D0000}"/>
    <cellStyle name="Normal 117 4 5" xfId="5007" xr:uid="{00000000-0005-0000-0000-0000B40D0000}"/>
    <cellStyle name="Normal 117 4 5 2" xfId="14048" xr:uid="{00000000-0005-0000-0000-0000B50D0000}"/>
    <cellStyle name="Normal 117 4 6" xfId="9535" xr:uid="{00000000-0005-0000-0000-0000B60D0000}"/>
    <cellStyle name="Normal 117 5" xfId="630" xr:uid="{00000000-0005-0000-0000-0000B70D0000}"/>
    <cellStyle name="Normal 117 5 2" xfId="1800" xr:uid="{00000000-0005-0000-0000-0000B80D0000}"/>
    <cellStyle name="Normal 117 5 2 2" xfId="2783" xr:uid="{00000000-0005-0000-0000-0000B90D0000}"/>
    <cellStyle name="Normal 117 5 2 2 2" xfId="7300" xr:uid="{00000000-0005-0000-0000-0000BA0D0000}"/>
    <cellStyle name="Normal 117 5 2 2 2 2" xfId="16341" xr:uid="{00000000-0005-0000-0000-0000BB0D0000}"/>
    <cellStyle name="Normal 117 5 2 2 3" xfId="11828" xr:uid="{00000000-0005-0000-0000-0000BC0D0000}"/>
    <cellStyle name="Normal 117 5 2 3" xfId="6323" xr:uid="{00000000-0005-0000-0000-0000BD0D0000}"/>
    <cellStyle name="Normal 117 5 2 3 2" xfId="15364" xr:uid="{00000000-0005-0000-0000-0000BE0D0000}"/>
    <cellStyle name="Normal 117 5 2 4" xfId="10851" xr:uid="{00000000-0005-0000-0000-0000BF0D0000}"/>
    <cellStyle name="Normal 117 5 3" xfId="2782" xr:uid="{00000000-0005-0000-0000-0000C00D0000}"/>
    <cellStyle name="Normal 117 5 3 2" xfId="7299" xr:uid="{00000000-0005-0000-0000-0000C10D0000}"/>
    <cellStyle name="Normal 117 5 3 2 2" xfId="16340" xr:uid="{00000000-0005-0000-0000-0000C20D0000}"/>
    <cellStyle name="Normal 117 5 3 3" xfId="11827" xr:uid="{00000000-0005-0000-0000-0000C30D0000}"/>
    <cellStyle name="Normal 117 5 4" xfId="5195" xr:uid="{00000000-0005-0000-0000-0000C40D0000}"/>
    <cellStyle name="Normal 117 5 4 2" xfId="14236" xr:uid="{00000000-0005-0000-0000-0000C50D0000}"/>
    <cellStyle name="Normal 117 5 5" xfId="9723" xr:uid="{00000000-0005-0000-0000-0000C60D0000}"/>
    <cellStyle name="Normal 117 6" xfId="1236" xr:uid="{00000000-0005-0000-0000-0000C70D0000}"/>
    <cellStyle name="Normal 117 6 2" xfId="2784" xr:uid="{00000000-0005-0000-0000-0000C80D0000}"/>
    <cellStyle name="Normal 117 6 2 2" xfId="7301" xr:uid="{00000000-0005-0000-0000-0000C90D0000}"/>
    <cellStyle name="Normal 117 6 2 2 2" xfId="16342" xr:uid="{00000000-0005-0000-0000-0000CA0D0000}"/>
    <cellStyle name="Normal 117 6 2 3" xfId="11829" xr:uid="{00000000-0005-0000-0000-0000CB0D0000}"/>
    <cellStyle name="Normal 117 6 3" xfId="5759" xr:uid="{00000000-0005-0000-0000-0000CC0D0000}"/>
    <cellStyle name="Normal 117 6 3 2" xfId="14800" xr:uid="{00000000-0005-0000-0000-0000CD0D0000}"/>
    <cellStyle name="Normal 117 6 4" xfId="10287" xr:uid="{00000000-0005-0000-0000-0000CE0D0000}"/>
    <cellStyle name="Normal 117 7" xfId="2761" xr:uid="{00000000-0005-0000-0000-0000CF0D0000}"/>
    <cellStyle name="Normal 117 7 2" xfId="7278" xr:uid="{00000000-0005-0000-0000-0000D00D0000}"/>
    <cellStyle name="Normal 117 7 2 2" xfId="16319" xr:uid="{00000000-0005-0000-0000-0000D10D0000}"/>
    <cellStyle name="Normal 117 7 3" xfId="11806" xr:uid="{00000000-0005-0000-0000-0000D20D0000}"/>
    <cellStyle name="Normal 117 8" xfId="4631" xr:uid="{00000000-0005-0000-0000-0000D30D0000}"/>
    <cellStyle name="Normal 117 8 2" xfId="13672" xr:uid="{00000000-0005-0000-0000-0000D40D0000}"/>
    <cellStyle name="Normal 117 9" xfId="9159" xr:uid="{00000000-0005-0000-0000-0000D50D0000}"/>
    <cellStyle name="Normal 118" xfId="24" xr:uid="{00000000-0005-0000-0000-0000D60D0000}"/>
    <cellStyle name="Normal 118 2" xfId="120" xr:uid="{00000000-0005-0000-0000-0000D70D0000}"/>
    <cellStyle name="Normal 118 2 2" xfId="349" xr:uid="{00000000-0005-0000-0000-0000D80D0000}"/>
    <cellStyle name="Normal 118 2 2 2" xfId="913" xr:uid="{00000000-0005-0000-0000-0000D90D0000}"/>
    <cellStyle name="Normal 118 2 2 2 2" xfId="2083" xr:uid="{00000000-0005-0000-0000-0000DA0D0000}"/>
    <cellStyle name="Normal 118 2 2 2 2 2" xfId="2789" xr:uid="{00000000-0005-0000-0000-0000DB0D0000}"/>
    <cellStyle name="Normal 118 2 2 2 2 2 2" xfId="7306" xr:uid="{00000000-0005-0000-0000-0000DC0D0000}"/>
    <cellStyle name="Normal 118 2 2 2 2 2 2 2" xfId="16347" xr:uid="{00000000-0005-0000-0000-0000DD0D0000}"/>
    <cellStyle name="Normal 118 2 2 2 2 2 3" xfId="11834" xr:uid="{00000000-0005-0000-0000-0000DE0D0000}"/>
    <cellStyle name="Normal 118 2 2 2 2 3" xfId="6606" xr:uid="{00000000-0005-0000-0000-0000DF0D0000}"/>
    <cellStyle name="Normal 118 2 2 2 2 3 2" xfId="15647" xr:uid="{00000000-0005-0000-0000-0000E00D0000}"/>
    <cellStyle name="Normal 118 2 2 2 2 4" xfId="11134" xr:uid="{00000000-0005-0000-0000-0000E10D0000}"/>
    <cellStyle name="Normal 118 2 2 2 3" xfId="2788" xr:uid="{00000000-0005-0000-0000-0000E20D0000}"/>
    <cellStyle name="Normal 118 2 2 2 3 2" xfId="7305" xr:uid="{00000000-0005-0000-0000-0000E30D0000}"/>
    <cellStyle name="Normal 118 2 2 2 3 2 2" xfId="16346" xr:uid="{00000000-0005-0000-0000-0000E40D0000}"/>
    <cellStyle name="Normal 118 2 2 2 3 3" xfId="11833" xr:uid="{00000000-0005-0000-0000-0000E50D0000}"/>
    <cellStyle name="Normal 118 2 2 2 4" xfId="5478" xr:uid="{00000000-0005-0000-0000-0000E60D0000}"/>
    <cellStyle name="Normal 118 2 2 2 4 2" xfId="14519" xr:uid="{00000000-0005-0000-0000-0000E70D0000}"/>
    <cellStyle name="Normal 118 2 2 2 5" xfId="10006" xr:uid="{00000000-0005-0000-0000-0000E80D0000}"/>
    <cellStyle name="Normal 118 2 2 3" xfId="1519" xr:uid="{00000000-0005-0000-0000-0000E90D0000}"/>
    <cellStyle name="Normal 118 2 2 3 2" xfId="2790" xr:uid="{00000000-0005-0000-0000-0000EA0D0000}"/>
    <cellStyle name="Normal 118 2 2 3 2 2" xfId="7307" xr:uid="{00000000-0005-0000-0000-0000EB0D0000}"/>
    <cellStyle name="Normal 118 2 2 3 2 2 2" xfId="16348" xr:uid="{00000000-0005-0000-0000-0000EC0D0000}"/>
    <cellStyle name="Normal 118 2 2 3 2 3" xfId="11835" xr:uid="{00000000-0005-0000-0000-0000ED0D0000}"/>
    <cellStyle name="Normal 118 2 2 3 3" xfId="6042" xr:uid="{00000000-0005-0000-0000-0000EE0D0000}"/>
    <cellStyle name="Normal 118 2 2 3 3 2" xfId="15083" xr:uid="{00000000-0005-0000-0000-0000EF0D0000}"/>
    <cellStyle name="Normal 118 2 2 3 4" xfId="10570" xr:uid="{00000000-0005-0000-0000-0000F00D0000}"/>
    <cellStyle name="Normal 118 2 2 4" xfId="2787" xr:uid="{00000000-0005-0000-0000-0000F10D0000}"/>
    <cellStyle name="Normal 118 2 2 4 2" xfId="7304" xr:uid="{00000000-0005-0000-0000-0000F20D0000}"/>
    <cellStyle name="Normal 118 2 2 4 2 2" xfId="16345" xr:uid="{00000000-0005-0000-0000-0000F30D0000}"/>
    <cellStyle name="Normal 118 2 2 4 3" xfId="11832" xr:uid="{00000000-0005-0000-0000-0000F40D0000}"/>
    <cellStyle name="Normal 118 2 2 5" xfId="4914" xr:uid="{00000000-0005-0000-0000-0000F50D0000}"/>
    <cellStyle name="Normal 118 2 2 5 2" xfId="13955" xr:uid="{00000000-0005-0000-0000-0000F60D0000}"/>
    <cellStyle name="Normal 118 2 2 6" xfId="9442" xr:uid="{00000000-0005-0000-0000-0000F70D0000}"/>
    <cellStyle name="Normal 118 2 3" xfId="537" xr:uid="{00000000-0005-0000-0000-0000F80D0000}"/>
    <cellStyle name="Normal 118 2 3 2" xfId="1101" xr:uid="{00000000-0005-0000-0000-0000F90D0000}"/>
    <cellStyle name="Normal 118 2 3 2 2" xfId="2271" xr:uid="{00000000-0005-0000-0000-0000FA0D0000}"/>
    <cellStyle name="Normal 118 2 3 2 2 2" xfId="2793" xr:uid="{00000000-0005-0000-0000-0000FB0D0000}"/>
    <cellStyle name="Normal 118 2 3 2 2 2 2" xfId="7310" xr:uid="{00000000-0005-0000-0000-0000FC0D0000}"/>
    <cellStyle name="Normal 118 2 3 2 2 2 2 2" xfId="16351" xr:uid="{00000000-0005-0000-0000-0000FD0D0000}"/>
    <cellStyle name="Normal 118 2 3 2 2 2 3" xfId="11838" xr:uid="{00000000-0005-0000-0000-0000FE0D0000}"/>
    <cellStyle name="Normal 118 2 3 2 2 3" xfId="6794" xr:uid="{00000000-0005-0000-0000-0000FF0D0000}"/>
    <cellStyle name="Normal 118 2 3 2 2 3 2" xfId="15835" xr:uid="{00000000-0005-0000-0000-0000000E0000}"/>
    <cellStyle name="Normal 118 2 3 2 2 4" xfId="11322" xr:uid="{00000000-0005-0000-0000-0000010E0000}"/>
    <cellStyle name="Normal 118 2 3 2 3" xfId="2792" xr:uid="{00000000-0005-0000-0000-0000020E0000}"/>
    <cellStyle name="Normal 118 2 3 2 3 2" xfId="7309" xr:uid="{00000000-0005-0000-0000-0000030E0000}"/>
    <cellStyle name="Normal 118 2 3 2 3 2 2" xfId="16350" xr:uid="{00000000-0005-0000-0000-0000040E0000}"/>
    <cellStyle name="Normal 118 2 3 2 3 3" xfId="11837" xr:uid="{00000000-0005-0000-0000-0000050E0000}"/>
    <cellStyle name="Normal 118 2 3 2 4" xfId="5666" xr:uid="{00000000-0005-0000-0000-0000060E0000}"/>
    <cellStyle name="Normal 118 2 3 2 4 2" xfId="14707" xr:uid="{00000000-0005-0000-0000-0000070E0000}"/>
    <cellStyle name="Normal 118 2 3 2 5" xfId="10194" xr:uid="{00000000-0005-0000-0000-0000080E0000}"/>
    <cellStyle name="Normal 118 2 3 3" xfId="1707" xr:uid="{00000000-0005-0000-0000-0000090E0000}"/>
    <cellStyle name="Normal 118 2 3 3 2" xfId="2794" xr:uid="{00000000-0005-0000-0000-00000A0E0000}"/>
    <cellStyle name="Normal 118 2 3 3 2 2" xfId="7311" xr:uid="{00000000-0005-0000-0000-00000B0E0000}"/>
    <cellStyle name="Normal 118 2 3 3 2 2 2" xfId="16352" xr:uid="{00000000-0005-0000-0000-00000C0E0000}"/>
    <cellStyle name="Normal 118 2 3 3 2 3" xfId="11839" xr:uid="{00000000-0005-0000-0000-00000D0E0000}"/>
    <cellStyle name="Normal 118 2 3 3 3" xfId="6230" xr:uid="{00000000-0005-0000-0000-00000E0E0000}"/>
    <cellStyle name="Normal 118 2 3 3 3 2" xfId="15271" xr:uid="{00000000-0005-0000-0000-00000F0E0000}"/>
    <cellStyle name="Normal 118 2 3 3 4" xfId="10758" xr:uid="{00000000-0005-0000-0000-0000100E0000}"/>
    <cellStyle name="Normal 118 2 3 4" xfId="2791" xr:uid="{00000000-0005-0000-0000-0000110E0000}"/>
    <cellStyle name="Normal 118 2 3 4 2" xfId="7308" xr:uid="{00000000-0005-0000-0000-0000120E0000}"/>
    <cellStyle name="Normal 118 2 3 4 2 2" xfId="16349" xr:uid="{00000000-0005-0000-0000-0000130E0000}"/>
    <cellStyle name="Normal 118 2 3 4 3" xfId="11836" xr:uid="{00000000-0005-0000-0000-0000140E0000}"/>
    <cellStyle name="Normal 118 2 3 5" xfId="5102" xr:uid="{00000000-0005-0000-0000-0000150E0000}"/>
    <cellStyle name="Normal 118 2 3 5 2" xfId="14143" xr:uid="{00000000-0005-0000-0000-0000160E0000}"/>
    <cellStyle name="Normal 118 2 3 6" xfId="9630" xr:uid="{00000000-0005-0000-0000-0000170E0000}"/>
    <cellStyle name="Normal 118 2 4" xfId="725" xr:uid="{00000000-0005-0000-0000-0000180E0000}"/>
    <cellStyle name="Normal 118 2 4 2" xfId="1895" xr:uid="{00000000-0005-0000-0000-0000190E0000}"/>
    <cellStyle name="Normal 118 2 4 2 2" xfId="2796" xr:uid="{00000000-0005-0000-0000-00001A0E0000}"/>
    <cellStyle name="Normal 118 2 4 2 2 2" xfId="7313" xr:uid="{00000000-0005-0000-0000-00001B0E0000}"/>
    <cellStyle name="Normal 118 2 4 2 2 2 2" xfId="16354" xr:uid="{00000000-0005-0000-0000-00001C0E0000}"/>
    <cellStyle name="Normal 118 2 4 2 2 3" xfId="11841" xr:uid="{00000000-0005-0000-0000-00001D0E0000}"/>
    <cellStyle name="Normal 118 2 4 2 3" xfId="6418" xr:uid="{00000000-0005-0000-0000-00001E0E0000}"/>
    <cellStyle name="Normal 118 2 4 2 3 2" xfId="15459" xr:uid="{00000000-0005-0000-0000-00001F0E0000}"/>
    <cellStyle name="Normal 118 2 4 2 4" xfId="10946" xr:uid="{00000000-0005-0000-0000-0000200E0000}"/>
    <cellStyle name="Normal 118 2 4 3" xfId="2795" xr:uid="{00000000-0005-0000-0000-0000210E0000}"/>
    <cellStyle name="Normal 118 2 4 3 2" xfId="7312" xr:uid="{00000000-0005-0000-0000-0000220E0000}"/>
    <cellStyle name="Normal 118 2 4 3 2 2" xfId="16353" xr:uid="{00000000-0005-0000-0000-0000230E0000}"/>
    <cellStyle name="Normal 118 2 4 3 3" xfId="11840" xr:uid="{00000000-0005-0000-0000-0000240E0000}"/>
    <cellStyle name="Normal 118 2 4 4" xfId="5290" xr:uid="{00000000-0005-0000-0000-0000250E0000}"/>
    <cellStyle name="Normal 118 2 4 4 2" xfId="14331" xr:uid="{00000000-0005-0000-0000-0000260E0000}"/>
    <cellStyle name="Normal 118 2 4 5" xfId="9818" xr:uid="{00000000-0005-0000-0000-0000270E0000}"/>
    <cellStyle name="Normal 118 2 5" xfId="1331" xr:uid="{00000000-0005-0000-0000-0000280E0000}"/>
    <cellStyle name="Normal 118 2 5 2" xfId="2797" xr:uid="{00000000-0005-0000-0000-0000290E0000}"/>
    <cellStyle name="Normal 118 2 5 2 2" xfId="7314" xr:uid="{00000000-0005-0000-0000-00002A0E0000}"/>
    <cellStyle name="Normal 118 2 5 2 2 2" xfId="16355" xr:uid="{00000000-0005-0000-0000-00002B0E0000}"/>
    <cellStyle name="Normal 118 2 5 2 3" xfId="11842" xr:uid="{00000000-0005-0000-0000-00002C0E0000}"/>
    <cellStyle name="Normal 118 2 5 3" xfId="5854" xr:uid="{00000000-0005-0000-0000-00002D0E0000}"/>
    <cellStyle name="Normal 118 2 5 3 2" xfId="14895" xr:uid="{00000000-0005-0000-0000-00002E0E0000}"/>
    <cellStyle name="Normal 118 2 5 4" xfId="10382" xr:uid="{00000000-0005-0000-0000-00002F0E0000}"/>
    <cellStyle name="Normal 118 2 6" xfId="2786" xr:uid="{00000000-0005-0000-0000-0000300E0000}"/>
    <cellStyle name="Normal 118 2 6 2" xfId="7303" xr:uid="{00000000-0005-0000-0000-0000310E0000}"/>
    <cellStyle name="Normal 118 2 6 2 2" xfId="16344" xr:uid="{00000000-0005-0000-0000-0000320E0000}"/>
    <cellStyle name="Normal 118 2 6 3" xfId="11831" xr:uid="{00000000-0005-0000-0000-0000330E0000}"/>
    <cellStyle name="Normal 118 2 7" xfId="4726" xr:uid="{00000000-0005-0000-0000-0000340E0000}"/>
    <cellStyle name="Normal 118 2 7 2" xfId="13767" xr:uid="{00000000-0005-0000-0000-0000350E0000}"/>
    <cellStyle name="Normal 118 2 8" xfId="9254" xr:uid="{00000000-0005-0000-0000-0000360E0000}"/>
    <cellStyle name="Normal 118 3" xfId="255" xr:uid="{00000000-0005-0000-0000-0000370E0000}"/>
    <cellStyle name="Normal 118 3 2" xfId="819" xr:uid="{00000000-0005-0000-0000-0000380E0000}"/>
    <cellStyle name="Normal 118 3 2 2" xfId="1989" xr:uid="{00000000-0005-0000-0000-0000390E0000}"/>
    <cellStyle name="Normal 118 3 2 2 2" xfId="2800" xr:uid="{00000000-0005-0000-0000-00003A0E0000}"/>
    <cellStyle name="Normal 118 3 2 2 2 2" xfId="7317" xr:uid="{00000000-0005-0000-0000-00003B0E0000}"/>
    <cellStyle name="Normal 118 3 2 2 2 2 2" xfId="16358" xr:uid="{00000000-0005-0000-0000-00003C0E0000}"/>
    <cellStyle name="Normal 118 3 2 2 2 3" xfId="11845" xr:uid="{00000000-0005-0000-0000-00003D0E0000}"/>
    <cellStyle name="Normal 118 3 2 2 3" xfId="6512" xr:uid="{00000000-0005-0000-0000-00003E0E0000}"/>
    <cellStyle name="Normal 118 3 2 2 3 2" xfId="15553" xr:uid="{00000000-0005-0000-0000-00003F0E0000}"/>
    <cellStyle name="Normal 118 3 2 2 4" xfId="11040" xr:uid="{00000000-0005-0000-0000-0000400E0000}"/>
    <cellStyle name="Normal 118 3 2 3" xfId="2799" xr:uid="{00000000-0005-0000-0000-0000410E0000}"/>
    <cellStyle name="Normal 118 3 2 3 2" xfId="7316" xr:uid="{00000000-0005-0000-0000-0000420E0000}"/>
    <cellStyle name="Normal 118 3 2 3 2 2" xfId="16357" xr:uid="{00000000-0005-0000-0000-0000430E0000}"/>
    <cellStyle name="Normal 118 3 2 3 3" xfId="11844" xr:uid="{00000000-0005-0000-0000-0000440E0000}"/>
    <cellStyle name="Normal 118 3 2 4" xfId="5384" xr:uid="{00000000-0005-0000-0000-0000450E0000}"/>
    <cellStyle name="Normal 118 3 2 4 2" xfId="14425" xr:uid="{00000000-0005-0000-0000-0000460E0000}"/>
    <cellStyle name="Normal 118 3 2 5" xfId="9912" xr:uid="{00000000-0005-0000-0000-0000470E0000}"/>
    <cellStyle name="Normal 118 3 3" xfId="1425" xr:uid="{00000000-0005-0000-0000-0000480E0000}"/>
    <cellStyle name="Normal 118 3 3 2" xfId="2801" xr:uid="{00000000-0005-0000-0000-0000490E0000}"/>
    <cellStyle name="Normal 118 3 3 2 2" xfId="7318" xr:uid="{00000000-0005-0000-0000-00004A0E0000}"/>
    <cellStyle name="Normal 118 3 3 2 2 2" xfId="16359" xr:uid="{00000000-0005-0000-0000-00004B0E0000}"/>
    <cellStyle name="Normal 118 3 3 2 3" xfId="11846" xr:uid="{00000000-0005-0000-0000-00004C0E0000}"/>
    <cellStyle name="Normal 118 3 3 3" xfId="5948" xr:uid="{00000000-0005-0000-0000-00004D0E0000}"/>
    <cellStyle name="Normal 118 3 3 3 2" xfId="14989" xr:uid="{00000000-0005-0000-0000-00004E0E0000}"/>
    <cellStyle name="Normal 118 3 3 4" xfId="10476" xr:uid="{00000000-0005-0000-0000-00004F0E0000}"/>
    <cellStyle name="Normal 118 3 4" xfId="2798" xr:uid="{00000000-0005-0000-0000-0000500E0000}"/>
    <cellStyle name="Normal 118 3 4 2" xfId="7315" xr:uid="{00000000-0005-0000-0000-0000510E0000}"/>
    <cellStyle name="Normal 118 3 4 2 2" xfId="16356" xr:uid="{00000000-0005-0000-0000-0000520E0000}"/>
    <cellStyle name="Normal 118 3 4 3" xfId="11843" xr:uid="{00000000-0005-0000-0000-0000530E0000}"/>
    <cellStyle name="Normal 118 3 5" xfId="4820" xr:uid="{00000000-0005-0000-0000-0000540E0000}"/>
    <cellStyle name="Normal 118 3 5 2" xfId="13861" xr:uid="{00000000-0005-0000-0000-0000550E0000}"/>
    <cellStyle name="Normal 118 3 6" xfId="9348" xr:uid="{00000000-0005-0000-0000-0000560E0000}"/>
    <cellStyle name="Normal 118 4" xfId="443" xr:uid="{00000000-0005-0000-0000-0000570E0000}"/>
    <cellStyle name="Normal 118 4 2" xfId="1007" xr:uid="{00000000-0005-0000-0000-0000580E0000}"/>
    <cellStyle name="Normal 118 4 2 2" xfId="2177" xr:uid="{00000000-0005-0000-0000-0000590E0000}"/>
    <cellStyle name="Normal 118 4 2 2 2" xfId="2804" xr:uid="{00000000-0005-0000-0000-00005A0E0000}"/>
    <cellStyle name="Normal 118 4 2 2 2 2" xfId="7321" xr:uid="{00000000-0005-0000-0000-00005B0E0000}"/>
    <cellStyle name="Normal 118 4 2 2 2 2 2" xfId="16362" xr:uid="{00000000-0005-0000-0000-00005C0E0000}"/>
    <cellStyle name="Normal 118 4 2 2 2 3" xfId="11849" xr:uid="{00000000-0005-0000-0000-00005D0E0000}"/>
    <cellStyle name="Normal 118 4 2 2 3" xfId="6700" xr:uid="{00000000-0005-0000-0000-00005E0E0000}"/>
    <cellStyle name="Normal 118 4 2 2 3 2" xfId="15741" xr:uid="{00000000-0005-0000-0000-00005F0E0000}"/>
    <cellStyle name="Normal 118 4 2 2 4" xfId="11228" xr:uid="{00000000-0005-0000-0000-0000600E0000}"/>
    <cellStyle name="Normal 118 4 2 3" xfId="2803" xr:uid="{00000000-0005-0000-0000-0000610E0000}"/>
    <cellStyle name="Normal 118 4 2 3 2" xfId="7320" xr:uid="{00000000-0005-0000-0000-0000620E0000}"/>
    <cellStyle name="Normal 118 4 2 3 2 2" xfId="16361" xr:uid="{00000000-0005-0000-0000-0000630E0000}"/>
    <cellStyle name="Normal 118 4 2 3 3" xfId="11848" xr:uid="{00000000-0005-0000-0000-0000640E0000}"/>
    <cellStyle name="Normal 118 4 2 4" xfId="5572" xr:uid="{00000000-0005-0000-0000-0000650E0000}"/>
    <cellStyle name="Normal 118 4 2 4 2" xfId="14613" xr:uid="{00000000-0005-0000-0000-0000660E0000}"/>
    <cellStyle name="Normal 118 4 2 5" xfId="10100" xr:uid="{00000000-0005-0000-0000-0000670E0000}"/>
    <cellStyle name="Normal 118 4 3" xfId="1613" xr:uid="{00000000-0005-0000-0000-0000680E0000}"/>
    <cellStyle name="Normal 118 4 3 2" xfId="2805" xr:uid="{00000000-0005-0000-0000-0000690E0000}"/>
    <cellStyle name="Normal 118 4 3 2 2" xfId="7322" xr:uid="{00000000-0005-0000-0000-00006A0E0000}"/>
    <cellStyle name="Normal 118 4 3 2 2 2" xfId="16363" xr:uid="{00000000-0005-0000-0000-00006B0E0000}"/>
    <cellStyle name="Normal 118 4 3 2 3" xfId="11850" xr:uid="{00000000-0005-0000-0000-00006C0E0000}"/>
    <cellStyle name="Normal 118 4 3 3" xfId="6136" xr:uid="{00000000-0005-0000-0000-00006D0E0000}"/>
    <cellStyle name="Normal 118 4 3 3 2" xfId="15177" xr:uid="{00000000-0005-0000-0000-00006E0E0000}"/>
    <cellStyle name="Normal 118 4 3 4" xfId="10664" xr:uid="{00000000-0005-0000-0000-00006F0E0000}"/>
    <cellStyle name="Normal 118 4 4" xfId="2802" xr:uid="{00000000-0005-0000-0000-0000700E0000}"/>
    <cellStyle name="Normal 118 4 4 2" xfId="7319" xr:uid="{00000000-0005-0000-0000-0000710E0000}"/>
    <cellStyle name="Normal 118 4 4 2 2" xfId="16360" xr:uid="{00000000-0005-0000-0000-0000720E0000}"/>
    <cellStyle name="Normal 118 4 4 3" xfId="11847" xr:uid="{00000000-0005-0000-0000-0000730E0000}"/>
    <cellStyle name="Normal 118 4 5" xfId="5008" xr:uid="{00000000-0005-0000-0000-0000740E0000}"/>
    <cellStyle name="Normal 118 4 5 2" xfId="14049" xr:uid="{00000000-0005-0000-0000-0000750E0000}"/>
    <cellStyle name="Normal 118 4 6" xfId="9536" xr:uid="{00000000-0005-0000-0000-0000760E0000}"/>
    <cellStyle name="Normal 118 5" xfId="631" xr:uid="{00000000-0005-0000-0000-0000770E0000}"/>
    <cellStyle name="Normal 118 5 2" xfId="1801" xr:uid="{00000000-0005-0000-0000-0000780E0000}"/>
    <cellStyle name="Normal 118 5 2 2" xfId="2807" xr:uid="{00000000-0005-0000-0000-0000790E0000}"/>
    <cellStyle name="Normal 118 5 2 2 2" xfId="7324" xr:uid="{00000000-0005-0000-0000-00007A0E0000}"/>
    <cellStyle name="Normal 118 5 2 2 2 2" xfId="16365" xr:uid="{00000000-0005-0000-0000-00007B0E0000}"/>
    <cellStyle name="Normal 118 5 2 2 3" xfId="11852" xr:uid="{00000000-0005-0000-0000-00007C0E0000}"/>
    <cellStyle name="Normal 118 5 2 3" xfId="6324" xr:uid="{00000000-0005-0000-0000-00007D0E0000}"/>
    <cellStyle name="Normal 118 5 2 3 2" xfId="15365" xr:uid="{00000000-0005-0000-0000-00007E0E0000}"/>
    <cellStyle name="Normal 118 5 2 4" xfId="10852" xr:uid="{00000000-0005-0000-0000-00007F0E0000}"/>
    <cellStyle name="Normal 118 5 3" xfId="2806" xr:uid="{00000000-0005-0000-0000-0000800E0000}"/>
    <cellStyle name="Normal 118 5 3 2" xfId="7323" xr:uid="{00000000-0005-0000-0000-0000810E0000}"/>
    <cellStyle name="Normal 118 5 3 2 2" xfId="16364" xr:uid="{00000000-0005-0000-0000-0000820E0000}"/>
    <cellStyle name="Normal 118 5 3 3" xfId="11851" xr:uid="{00000000-0005-0000-0000-0000830E0000}"/>
    <cellStyle name="Normal 118 5 4" xfId="5196" xr:uid="{00000000-0005-0000-0000-0000840E0000}"/>
    <cellStyle name="Normal 118 5 4 2" xfId="14237" xr:uid="{00000000-0005-0000-0000-0000850E0000}"/>
    <cellStyle name="Normal 118 5 5" xfId="9724" xr:uid="{00000000-0005-0000-0000-0000860E0000}"/>
    <cellStyle name="Normal 118 6" xfId="1237" xr:uid="{00000000-0005-0000-0000-0000870E0000}"/>
    <cellStyle name="Normal 118 6 2" xfId="2808" xr:uid="{00000000-0005-0000-0000-0000880E0000}"/>
    <cellStyle name="Normal 118 6 2 2" xfId="7325" xr:uid="{00000000-0005-0000-0000-0000890E0000}"/>
    <cellStyle name="Normal 118 6 2 2 2" xfId="16366" xr:uid="{00000000-0005-0000-0000-00008A0E0000}"/>
    <cellStyle name="Normal 118 6 2 3" xfId="11853" xr:uid="{00000000-0005-0000-0000-00008B0E0000}"/>
    <cellStyle name="Normal 118 6 3" xfId="5760" xr:uid="{00000000-0005-0000-0000-00008C0E0000}"/>
    <cellStyle name="Normal 118 6 3 2" xfId="14801" xr:uid="{00000000-0005-0000-0000-00008D0E0000}"/>
    <cellStyle name="Normal 118 6 4" xfId="10288" xr:uid="{00000000-0005-0000-0000-00008E0E0000}"/>
    <cellStyle name="Normal 118 7" xfId="2785" xr:uid="{00000000-0005-0000-0000-00008F0E0000}"/>
    <cellStyle name="Normal 118 7 2" xfId="7302" xr:uid="{00000000-0005-0000-0000-0000900E0000}"/>
    <cellStyle name="Normal 118 7 2 2" xfId="16343" xr:uid="{00000000-0005-0000-0000-0000910E0000}"/>
    <cellStyle name="Normal 118 7 3" xfId="11830" xr:uid="{00000000-0005-0000-0000-0000920E0000}"/>
    <cellStyle name="Normal 118 8" xfId="4632" xr:uid="{00000000-0005-0000-0000-0000930E0000}"/>
    <cellStyle name="Normal 118 8 2" xfId="13673" xr:uid="{00000000-0005-0000-0000-0000940E0000}"/>
    <cellStyle name="Normal 118 9" xfId="9160" xr:uid="{00000000-0005-0000-0000-0000950E0000}"/>
    <cellStyle name="Normal 119" xfId="25" xr:uid="{00000000-0005-0000-0000-0000960E0000}"/>
    <cellStyle name="Normal 119 2" xfId="121" xr:uid="{00000000-0005-0000-0000-0000970E0000}"/>
    <cellStyle name="Normal 119 2 2" xfId="350" xr:uid="{00000000-0005-0000-0000-0000980E0000}"/>
    <cellStyle name="Normal 119 2 2 2" xfId="914" xr:uid="{00000000-0005-0000-0000-0000990E0000}"/>
    <cellStyle name="Normal 119 2 2 2 2" xfId="2084" xr:uid="{00000000-0005-0000-0000-00009A0E0000}"/>
    <cellStyle name="Normal 119 2 2 2 2 2" xfId="2813" xr:uid="{00000000-0005-0000-0000-00009B0E0000}"/>
    <cellStyle name="Normal 119 2 2 2 2 2 2" xfId="7330" xr:uid="{00000000-0005-0000-0000-00009C0E0000}"/>
    <cellStyle name="Normal 119 2 2 2 2 2 2 2" xfId="16371" xr:uid="{00000000-0005-0000-0000-00009D0E0000}"/>
    <cellStyle name="Normal 119 2 2 2 2 2 3" xfId="11858" xr:uid="{00000000-0005-0000-0000-00009E0E0000}"/>
    <cellStyle name="Normal 119 2 2 2 2 3" xfId="6607" xr:uid="{00000000-0005-0000-0000-00009F0E0000}"/>
    <cellStyle name="Normal 119 2 2 2 2 3 2" xfId="15648" xr:uid="{00000000-0005-0000-0000-0000A00E0000}"/>
    <cellStyle name="Normal 119 2 2 2 2 4" xfId="11135" xr:uid="{00000000-0005-0000-0000-0000A10E0000}"/>
    <cellStyle name="Normal 119 2 2 2 3" xfId="2812" xr:uid="{00000000-0005-0000-0000-0000A20E0000}"/>
    <cellStyle name="Normal 119 2 2 2 3 2" xfId="7329" xr:uid="{00000000-0005-0000-0000-0000A30E0000}"/>
    <cellStyle name="Normal 119 2 2 2 3 2 2" xfId="16370" xr:uid="{00000000-0005-0000-0000-0000A40E0000}"/>
    <cellStyle name="Normal 119 2 2 2 3 3" xfId="11857" xr:uid="{00000000-0005-0000-0000-0000A50E0000}"/>
    <cellStyle name="Normal 119 2 2 2 4" xfId="5479" xr:uid="{00000000-0005-0000-0000-0000A60E0000}"/>
    <cellStyle name="Normal 119 2 2 2 4 2" xfId="14520" xr:uid="{00000000-0005-0000-0000-0000A70E0000}"/>
    <cellStyle name="Normal 119 2 2 2 5" xfId="10007" xr:uid="{00000000-0005-0000-0000-0000A80E0000}"/>
    <cellStyle name="Normal 119 2 2 3" xfId="1520" xr:uid="{00000000-0005-0000-0000-0000A90E0000}"/>
    <cellStyle name="Normal 119 2 2 3 2" xfId="2814" xr:uid="{00000000-0005-0000-0000-0000AA0E0000}"/>
    <cellStyle name="Normal 119 2 2 3 2 2" xfId="7331" xr:uid="{00000000-0005-0000-0000-0000AB0E0000}"/>
    <cellStyle name="Normal 119 2 2 3 2 2 2" xfId="16372" xr:uid="{00000000-0005-0000-0000-0000AC0E0000}"/>
    <cellStyle name="Normal 119 2 2 3 2 3" xfId="11859" xr:uid="{00000000-0005-0000-0000-0000AD0E0000}"/>
    <cellStyle name="Normal 119 2 2 3 3" xfId="6043" xr:uid="{00000000-0005-0000-0000-0000AE0E0000}"/>
    <cellStyle name="Normal 119 2 2 3 3 2" xfId="15084" xr:uid="{00000000-0005-0000-0000-0000AF0E0000}"/>
    <cellStyle name="Normal 119 2 2 3 4" xfId="10571" xr:uid="{00000000-0005-0000-0000-0000B00E0000}"/>
    <cellStyle name="Normal 119 2 2 4" xfId="2811" xr:uid="{00000000-0005-0000-0000-0000B10E0000}"/>
    <cellStyle name="Normal 119 2 2 4 2" xfId="7328" xr:uid="{00000000-0005-0000-0000-0000B20E0000}"/>
    <cellStyle name="Normal 119 2 2 4 2 2" xfId="16369" xr:uid="{00000000-0005-0000-0000-0000B30E0000}"/>
    <cellStyle name="Normal 119 2 2 4 3" xfId="11856" xr:uid="{00000000-0005-0000-0000-0000B40E0000}"/>
    <cellStyle name="Normal 119 2 2 5" xfId="4915" xr:uid="{00000000-0005-0000-0000-0000B50E0000}"/>
    <cellStyle name="Normal 119 2 2 5 2" xfId="13956" xr:uid="{00000000-0005-0000-0000-0000B60E0000}"/>
    <cellStyle name="Normal 119 2 2 6" xfId="9443" xr:uid="{00000000-0005-0000-0000-0000B70E0000}"/>
    <cellStyle name="Normal 119 2 3" xfId="538" xr:uid="{00000000-0005-0000-0000-0000B80E0000}"/>
    <cellStyle name="Normal 119 2 3 2" xfId="1102" xr:uid="{00000000-0005-0000-0000-0000B90E0000}"/>
    <cellStyle name="Normal 119 2 3 2 2" xfId="2272" xr:uid="{00000000-0005-0000-0000-0000BA0E0000}"/>
    <cellStyle name="Normal 119 2 3 2 2 2" xfId="2817" xr:uid="{00000000-0005-0000-0000-0000BB0E0000}"/>
    <cellStyle name="Normal 119 2 3 2 2 2 2" xfId="7334" xr:uid="{00000000-0005-0000-0000-0000BC0E0000}"/>
    <cellStyle name="Normal 119 2 3 2 2 2 2 2" xfId="16375" xr:uid="{00000000-0005-0000-0000-0000BD0E0000}"/>
    <cellStyle name="Normal 119 2 3 2 2 2 3" xfId="11862" xr:uid="{00000000-0005-0000-0000-0000BE0E0000}"/>
    <cellStyle name="Normal 119 2 3 2 2 3" xfId="6795" xr:uid="{00000000-0005-0000-0000-0000BF0E0000}"/>
    <cellStyle name="Normal 119 2 3 2 2 3 2" xfId="15836" xr:uid="{00000000-0005-0000-0000-0000C00E0000}"/>
    <cellStyle name="Normal 119 2 3 2 2 4" xfId="11323" xr:uid="{00000000-0005-0000-0000-0000C10E0000}"/>
    <cellStyle name="Normal 119 2 3 2 3" xfId="2816" xr:uid="{00000000-0005-0000-0000-0000C20E0000}"/>
    <cellStyle name="Normal 119 2 3 2 3 2" xfId="7333" xr:uid="{00000000-0005-0000-0000-0000C30E0000}"/>
    <cellStyle name="Normal 119 2 3 2 3 2 2" xfId="16374" xr:uid="{00000000-0005-0000-0000-0000C40E0000}"/>
    <cellStyle name="Normal 119 2 3 2 3 3" xfId="11861" xr:uid="{00000000-0005-0000-0000-0000C50E0000}"/>
    <cellStyle name="Normal 119 2 3 2 4" xfId="5667" xr:uid="{00000000-0005-0000-0000-0000C60E0000}"/>
    <cellStyle name="Normal 119 2 3 2 4 2" xfId="14708" xr:uid="{00000000-0005-0000-0000-0000C70E0000}"/>
    <cellStyle name="Normal 119 2 3 2 5" xfId="10195" xr:uid="{00000000-0005-0000-0000-0000C80E0000}"/>
    <cellStyle name="Normal 119 2 3 3" xfId="1708" xr:uid="{00000000-0005-0000-0000-0000C90E0000}"/>
    <cellStyle name="Normal 119 2 3 3 2" xfId="2818" xr:uid="{00000000-0005-0000-0000-0000CA0E0000}"/>
    <cellStyle name="Normal 119 2 3 3 2 2" xfId="7335" xr:uid="{00000000-0005-0000-0000-0000CB0E0000}"/>
    <cellStyle name="Normal 119 2 3 3 2 2 2" xfId="16376" xr:uid="{00000000-0005-0000-0000-0000CC0E0000}"/>
    <cellStyle name="Normal 119 2 3 3 2 3" xfId="11863" xr:uid="{00000000-0005-0000-0000-0000CD0E0000}"/>
    <cellStyle name="Normal 119 2 3 3 3" xfId="6231" xr:uid="{00000000-0005-0000-0000-0000CE0E0000}"/>
    <cellStyle name="Normal 119 2 3 3 3 2" xfId="15272" xr:uid="{00000000-0005-0000-0000-0000CF0E0000}"/>
    <cellStyle name="Normal 119 2 3 3 4" xfId="10759" xr:uid="{00000000-0005-0000-0000-0000D00E0000}"/>
    <cellStyle name="Normal 119 2 3 4" xfId="2815" xr:uid="{00000000-0005-0000-0000-0000D10E0000}"/>
    <cellStyle name="Normal 119 2 3 4 2" xfId="7332" xr:uid="{00000000-0005-0000-0000-0000D20E0000}"/>
    <cellStyle name="Normal 119 2 3 4 2 2" xfId="16373" xr:uid="{00000000-0005-0000-0000-0000D30E0000}"/>
    <cellStyle name="Normal 119 2 3 4 3" xfId="11860" xr:uid="{00000000-0005-0000-0000-0000D40E0000}"/>
    <cellStyle name="Normal 119 2 3 5" xfId="5103" xr:uid="{00000000-0005-0000-0000-0000D50E0000}"/>
    <cellStyle name="Normal 119 2 3 5 2" xfId="14144" xr:uid="{00000000-0005-0000-0000-0000D60E0000}"/>
    <cellStyle name="Normal 119 2 3 6" xfId="9631" xr:uid="{00000000-0005-0000-0000-0000D70E0000}"/>
    <cellStyle name="Normal 119 2 4" xfId="726" xr:uid="{00000000-0005-0000-0000-0000D80E0000}"/>
    <cellStyle name="Normal 119 2 4 2" xfId="1896" xr:uid="{00000000-0005-0000-0000-0000D90E0000}"/>
    <cellStyle name="Normal 119 2 4 2 2" xfId="2820" xr:uid="{00000000-0005-0000-0000-0000DA0E0000}"/>
    <cellStyle name="Normal 119 2 4 2 2 2" xfId="7337" xr:uid="{00000000-0005-0000-0000-0000DB0E0000}"/>
    <cellStyle name="Normal 119 2 4 2 2 2 2" xfId="16378" xr:uid="{00000000-0005-0000-0000-0000DC0E0000}"/>
    <cellStyle name="Normal 119 2 4 2 2 3" xfId="11865" xr:uid="{00000000-0005-0000-0000-0000DD0E0000}"/>
    <cellStyle name="Normal 119 2 4 2 3" xfId="6419" xr:uid="{00000000-0005-0000-0000-0000DE0E0000}"/>
    <cellStyle name="Normal 119 2 4 2 3 2" xfId="15460" xr:uid="{00000000-0005-0000-0000-0000DF0E0000}"/>
    <cellStyle name="Normal 119 2 4 2 4" xfId="10947" xr:uid="{00000000-0005-0000-0000-0000E00E0000}"/>
    <cellStyle name="Normal 119 2 4 3" xfId="2819" xr:uid="{00000000-0005-0000-0000-0000E10E0000}"/>
    <cellStyle name="Normal 119 2 4 3 2" xfId="7336" xr:uid="{00000000-0005-0000-0000-0000E20E0000}"/>
    <cellStyle name="Normal 119 2 4 3 2 2" xfId="16377" xr:uid="{00000000-0005-0000-0000-0000E30E0000}"/>
    <cellStyle name="Normal 119 2 4 3 3" xfId="11864" xr:uid="{00000000-0005-0000-0000-0000E40E0000}"/>
    <cellStyle name="Normal 119 2 4 4" xfId="5291" xr:uid="{00000000-0005-0000-0000-0000E50E0000}"/>
    <cellStyle name="Normal 119 2 4 4 2" xfId="14332" xr:uid="{00000000-0005-0000-0000-0000E60E0000}"/>
    <cellStyle name="Normal 119 2 4 5" xfId="9819" xr:uid="{00000000-0005-0000-0000-0000E70E0000}"/>
    <cellStyle name="Normal 119 2 5" xfId="1332" xr:uid="{00000000-0005-0000-0000-0000E80E0000}"/>
    <cellStyle name="Normal 119 2 5 2" xfId="2821" xr:uid="{00000000-0005-0000-0000-0000E90E0000}"/>
    <cellStyle name="Normal 119 2 5 2 2" xfId="7338" xr:uid="{00000000-0005-0000-0000-0000EA0E0000}"/>
    <cellStyle name="Normal 119 2 5 2 2 2" xfId="16379" xr:uid="{00000000-0005-0000-0000-0000EB0E0000}"/>
    <cellStyle name="Normal 119 2 5 2 3" xfId="11866" xr:uid="{00000000-0005-0000-0000-0000EC0E0000}"/>
    <cellStyle name="Normal 119 2 5 3" xfId="5855" xr:uid="{00000000-0005-0000-0000-0000ED0E0000}"/>
    <cellStyle name="Normal 119 2 5 3 2" xfId="14896" xr:uid="{00000000-0005-0000-0000-0000EE0E0000}"/>
    <cellStyle name="Normal 119 2 5 4" xfId="10383" xr:uid="{00000000-0005-0000-0000-0000EF0E0000}"/>
    <cellStyle name="Normal 119 2 6" xfId="2810" xr:uid="{00000000-0005-0000-0000-0000F00E0000}"/>
    <cellStyle name="Normal 119 2 6 2" xfId="7327" xr:uid="{00000000-0005-0000-0000-0000F10E0000}"/>
    <cellStyle name="Normal 119 2 6 2 2" xfId="16368" xr:uid="{00000000-0005-0000-0000-0000F20E0000}"/>
    <cellStyle name="Normal 119 2 6 3" xfId="11855" xr:uid="{00000000-0005-0000-0000-0000F30E0000}"/>
    <cellStyle name="Normal 119 2 7" xfId="4727" xr:uid="{00000000-0005-0000-0000-0000F40E0000}"/>
    <cellStyle name="Normal 119 2 7 2" xfId="13768" xr:uid="{00000000-0005-0000-0000-0000F50E0000}"/>
    <cellStyle name="Normal 119 2 8" xfId="9255" xr:uid="{00000000-0005-0000-0000-0000F60E0000}"/>
    <cellStyle name="Normal 119 3" xfId="256" xr:uid="{00000000-0005-0000-0000-0000F70E0000}"/>
    <cellStyle name="Normal 119 3 2" xfId="820" xr:uid="{00000000-0005-0000-0000-0000F80E0000}"/>
    <cellStyle name="Normal 119 3 2 2" xfId="1990" xr:uid="{00000000-0005-0000-0000-0000F90E0000}"/>
    <cellStyle name="Normal 119 3 2 2 2" xfId="2824" xr:uid="{00000000-0005-0000-0000-0000FA0E0000}"/>
    <cellStyle name="Normal 119 3 2 2 2 2" xfId="7341" xr:uid="{00000000-0005-0000-0000-0000FB0E0000}"/>
    <cellStyle name="Normal 119 3 2 2 2 2 2" xfId="16382" xr:uid="{00000000-0005-0000-0000-0000FC0E0000}"/>
    <cellStyle name="Normal 119 3 2 2 2 3" xfId="11869" xr:uid="{00000000-0005-0000-0000-0000FD0E0000}"/>
    <cellStyle name="Normal 119 3 2 2 3" xfId="6513" xr:uid="{00000000-0005-0000-0000-0000FE0E0000}"/>
    <cellStyle name="Normal 119 3 2 2 3 2" xfId="15554" xr:uid="{00000000-0005-0000-0000-0000FF0E0000}"/>
    <cellStyle name="Normal 119 3 2 2 4" xfId="11041" xr:uid="{00000000-0005-0000-0000-0000000F0000}"/>
    <cellStyle name="Normal 119 3 2 3" xfId="2823" xr:uid="{00000000-0005-0000-0000-0000010F0000}"/>
    <cellStyle name="Normal 119 3 2 3 2" xfId="7340" xr:uid="{00000000-0005-0000-0000-0000020F0000}"/>
    <cellStyle name="Normal 119 3 2 3 2 2" xfId="16381" xr:uid="{00000000-0005-0000-0000-0000030F0000}"/>
    <cellStyle name="Normal 119 3 2 3 3" xfId="11868" xr:uid="{00000000-0005-0000-0000-0000040F0000}"/>
    <cellStyle name="Normal 119 3 2 4" xfId="5385" xr:uid="{00000000-0005-0000-0000-0000050F0000}"/>
    <cellStyle name="Normal 119 3 2 4 2" xfId="14426" xr:uid="{00000000-0005-0000-0000-0000060F0000}"/>
    <cellStyle name="Normal 119 3 2 5" xfId="9913" xr:uid="{00000000-0005-0000-0000-0000070F0000}"/>
    <cellStyle name="Normal 119 3 3" xfId="1426" xr:uid="{00000000-0005-0000-0000-0000080F0000}"/>
    <cellStyle name="Normal 119 3 3 2" xfId="2825" xr:uid="{00000000-0005-0000-0000-0000090F0000}"/>
    <cellStyle name="Normal 119 3 3 2 2" xfId="7342" xr:uid="{00000000-0005-0000-0000-00000A0F0000}"/>
    <cellStyle name="Normal 119 3 3 2 2 2" xfId="16383" xr:uid="{00000000-0005-0000-0000-00000B0F0000}"/>
    <cellStyle name="Normal 119 3 3 2 3" xfId="11870" xr:uid="{00000000-0005-0000-0000-00000C0F0000}"/>
    <cellStyle name="Normal 119 3 3 3" xfId="5949" xr:uid="{00000000-0005-0000-0000-00000D0F0000}"/>
    <cellStyle name="Normal 119 3 3 3 2" xfId="14990" xr:uid="{00000000-0005-0000-0000-00000E0F0000}"/>
    <cellStyle name="Normal 119 3 3 4" xfId="10477" xr:uid="{00000000-0005-0000-0000-00000F0F0000}"/>
    <cellStyle name="Normal 119 3 4" xfId="2822" xr:uid="{00000000-0005-0000-0000-0000100F0000}"/>
    <cellStyle name="Normal 119 3 4 2" xfId="7339" xr:uid="{00000000-0005-0000-0000-0000110F0000}"/>
    <cellStyle name="Normal 119 3 4 2 2" xfId="16380" xr:uid="{00000000-0005-0000-0000-0000120F0000}"/>
    <cellStyle name="Normal 119 3 4 3" xfId="11867" xr:uid="{00000000-0005-0000-0000-0000130F0000}"/>
    <cellStyle name="Normal 119 3 5" xfId="4821" xr:uid="{00000000-0005-0000-0000-0000140F0000}"/>
    <cellStyle name="Normal 119 3 5 2" xfId="13862" xr:uid="{00000000-0005-0000-0000-0000150F0000}"/>
    <cellStyle name="Normal 119 3 6" xfId="9349" xr:uid="{00000000-0005-0000-0000-0000160F0000}"/>
    <cellStyle name="Normal 119 4" xfId="444" xr:uid="{00000000-0005-0000-0000-0000170F0000}"/>
    <cellStyle name="Normal 119 4 2" xfId="1008" xr:uid="{00000000-0005-0000-0000-0000180F0000}"/>
    <cellStyle name="Normal 119 4 2 2" xfId="2178" xr:uid="{00000000-0005-0000-0000-0000190F0000}"/>
    <cellStyle name="Normal 119 4 2 2 2" xfId="2828" xr:uid="{00000000-0005-0000-0000-00001A0F0000}"/>
    <cellStyle name="Normal 119 4 2 2 2 2" xfId="7345" xr:uid="{00000000-0005-0000-0000-00001B0F0000}"/>
    <cellStyle name="Normal 119 4 2 2 2 2 2" xfId="16386" xr:uid="{00000000-0005-0000-0000-00001C0F0000}"/>
    <cellStyle name="Normal 119 4 2 2 2 3" xfId="11873" xr:uid="{00000000-0005-0000-0000-00001D0F0000}"/>
    <cellStyle name="Normal 119 4 2 2 3" xfId="6701" xr:uid="{00000000-0005-0000-0000-00001E0F0000}"/>
    <cellStyle name="Normal 119 4 2 2 3 2" xfId="15742" xr:uid="{00000000-0005-0000-0000-00001F0F0000}"/>
    <cellStyle name="Normal 119 4 2 2 4" xfId="11229" xr:uid="{00000000-0005-0000-0000-0000200F0000}"/>
    <cellStyle name="Normal 119 4 2 3" xfId="2827" xr:uid="{00000000-0005-0000-0000-0000210F0000}"/>
    <cellStyle name="Normal 119 4 2 3 2" xfId="7344" xr:uid="{00000000-0005-0000-0000-0000220F0000}"/>
    <cellStyle name="Normal 119 4 2 3 2 2" xfId="16385" xr:uid="{00000000-0005-0000-0000-0000230F0000}"/>
    <cellStyle name="Normal 119 4 2 3 3" xfId="11872" xr:uid="{00000000-0005-0000-0000-0000240F0000}"/>
    <cellStyle name="Normal 119 4 2 4" xfId="5573" xr:uid="{00000000-0005-0000-0000-0000250F0000}"/>
    <cellStyle name="Normal 119 4 2 4 2" xfId="14614" xr:uid="{00000000-0005-0000-0000-0000260F0000}"/>
    <cellStyle name="Normal 119 4 2 5" xfId="10101" xr:uid="{00000000-0005-0000-0000-0000270F0000}"/>
    <cellStyle name="Normal 119 4 3" xfId="1614" xr:uid="{00000000-0005-0000-0000-0000280F0000}"/>
    <cellStyle name="Normal 119 4 3 2" xfId="2829" xr:uid="{00000000-0005-0000-0000-0000290F0000}"/>
    <cellStyle name="Normal 119 4 3 2 2" xfId="7346" xr:uid="{00000000-0005-0000-0000-00002A0F0000}"/>
    <cellStyle name="Normal 119 4 3 2 2 2" xfId="16387" xr:uid="{00000000-0005-0000-0000-00002B0F0000}"/>
    <cellStyle name="Normal 119 4 3 2 3" xfId="11874" xr:uid="{00000000-0005-0000-0000-00002C0F0000}"/>
    <cellStyle name="Normal 119 4 3 3" xfId="6137" xr:uid="{00000000-0005-0000-0000-00002D0F0000}"/>
    <cellStyle name="Normal 119 4 3 3 2" xfId="15178" xr:uid="{00000000-0005-0000-0000-00002E0F0000}"/>
    <cellStyle name="Normal 119 4 3 4" xfId="10665" xr:uid="{00000000-0005-0000-0000-00002F0F0000}"/>
    <cellStyle name="Normal 119 4 4" xfId="2826" xr:uid="{00000000-0005-0000-0000-0000300F0000}"/>
    <cellStyle name="Normal 119 4 4 2" xfId="7343" xr:uid="{00000000-0005-0000-0000-0000310F0000}"/>
    <cellStyle name="Normal 119 4 4 2 2" xfId="16384" xr:uid="{00000000-0005-0000-0000-0000320F0000}"/>
    <cellStyle name="Normal 119 4 4 3" xfId="11871" xr:uid="{00000000-0005-0000-0000-0000330F0000}"/>
    <cellStyle name="Normal 119 4 5" xfId="5009" xr:uid="{00000000-0005-0000-0000-0000340F0000}"/>
    <cellStyle name="Normal 119 4 5 2" xfId="14050" xr:uid="{00000000-0005-0000-0000-0000350F0000}"/>
    <cellStyle name="Normal 119 4 6" xfId="9537" xr:uid="{00000000-0005-0000-0000-0000360F0000}"/>
    <cellStyle name="Normal 119 5" xfId="632" xr:uid="{00000000-0005-0000-0000-0000370F0000}"/>
    <cellStyle name="Normal 119 5 2" xfId="1802" xr:uid="{00000000-0005-0000-0000-0000380F0000}"/>
    <cellStyle name="Normal 119 5 2 2" xfId="2831" xr:uid="{00000000-0005-0000-0000-0000390F0000}"/>
    <cellStyle name="Normal 119 5 2 2 2" xfId="7348" xr:uid="{00000000-0005-0000-0000-00003A0F0000}"/>
    <cellStyle name="Normal 119 5 2 2 2 2" xfId="16389" xr:uid="{00000000-0005-0000-0000-00003B0F0000}"/>
    <cellStyle name="Normal 119 5 2 2 3" xfId="11876" xr:uid="{00000000-0005-0000-0000-00003C0F0000}"/>
    <cellStyle name="Normal 119 5 2 3" xfId="6325" xr:uid="{00000000-0005-0000-0000-00003D0F0000}"/>
    <cellStyle name="Normal 119 5 2 3 2" xfId="15366" xr:uid="{00000000-0005-0000-0000-00003E0F0000}"/>
    <cellStyle name="Normal 119 5 2 4" xfId="10853" xr:uid="{00000000-0005-0000-0000-00003F0F0000}"/>
    <cellStyle name="Normal 119 5 3" xfId="2830" xr:uid="{00000000-0005-0000-0000-0000400F0000}"/>
    <cellStyle name="Normal 119 5 3 2" xfId="7347" xr:uid="{00000000-0005-0000-0000-0000410F0000}"/>
    <cellStyle name="Normal 119 5 3 2 2" xfId="16388" xr:uid="{00000000-0005-0000-0000-0000420F0000}"/>
    <cellStyle name="Normal 119 5 3 3" xfId="11875" xr:uid="{00000000-0005-0000-0000-0000430F0000}"/>
    <cellStyle name="Normal 119 5 4" xfId="5197" xr:uid="{00000000-0005-0000-0000-0000440F0000}"/>
    <cellStyle name="Normal 119 5 4 2" xfId="14238" xr:uid="{00000000-0005-0000-0000-0000450F0000}"/>
    <cellStyle name="Normal 119 5 5" xfId="9725" xr:uid="{00000000-0005-0000-0000-0000460F0000}"/>
    <cellStyle name="Normal 119 6" xfId="1238" xr:uid="{00000000-0005-0000-0000-0000470F0000}"/>
    <cellStyle name="Normal 119 6 2" xfId="2832" xr:uid="{00000000-0005-0000-0000-0000480F0000}"/>
    <cellStyle name="Normal 119 6 2 2" xfId="7349" xr:uid="{00000000-0005-0000-0000-0000490F0000}"/>
    <cellStyle name="Normal 119 6 2 2 2" xfId="16390" xr:uid="{00000000-0005-0000-0000-00004A0F0000}"/>
    <cellStyle name="Normal 119 6 2 3" xfId="11877" xr:uid="{00000000-0005-0000-0000-00004B0F0000}"/>
    <cellStyle name="Normal 119 6 3" xfId="5761" xr:uid="{00000000-0005-0000-0000-00004C0F0000}"/>
    <cellStyle name="Normal 119 6 3 2" xfId="14802" xr:uid="{00000000-0005-0000-0000-00004D0F0000}"/>
    <cellStyle name="Normal 119 6 4" xfId="10289" xr:uid="{00000000-0005-0000-0000-00004E0F0000}"/>
    <cellStyle name="Normal 119 7" xfId="2809" xr:uid="{00000000-0005-0000-0000-00004F0F0000}"/>
    <cellStyle name="Normal 119 7 2" xfId="7326" xr:uid="{00000000-0005-0000-0000-0000500F0000}"/>
    <cellStyle name="Normal 119 7 2 2" xfId="16367" xr:uid="{00000000-0005-0000-0000-0000510F0000}"/>
    <cellStyle name="Normal 119 7 3" xfId="11854" xr:uid="{00000000-0005-0000-0000-0000520F0000}"/>
    <cellStyle name="Normal 119 8" xfId="4633" xr:uid="{00000000-0005-0000-0000-0000530F0000}"/>
    <cellStyle name="Normal 119 8 2" xfId="13674" xr:uid="{00000000-0005-0000-0000-0000540F0000}"/>
    <cellStyle name="Normal 119 9" xfId="9161" xr:uid="{00000000-0005-0000-0000-0000550F0000}"/>
    <cellStyle name="Normal 120" xfId="26" xr:uid="{00000000-0005-0000-0000-0000560F0000}"/>
    <cellStyle name="Normal 120 2" xfId="122" xr:uid="{00000000-0005-0000-0000-0000570F0000}"/>
    <cellStyle name="Normal 120 2 2" xfId="351" xr:uid="{00000000-0005-0000-0000-0000580F0000}"/>
    <cellStyle name="Normal 120 2 2 2" xfId="915" xr:uid="{00000000-0005-0000-0000-0000590F0000}"/>
    <cellStyle name="Normal 120 2 2 2 2" xfId="2085" xr:uid="{00000000-0005-0000-0000-00005A0F0000}"/>
    <cellStyle name="Normal 120 2 2 2 2 2" xfId="2837" xr:uid="{00000000-0005-0000-0000-00005B0F0000}"/>
    <cellStyle name="Normal 120 2 2 2 2 2 2" xfId="7354" xr:uid="{00000000-0005-0000-0000-00005C0F0000}"/>
    <cellStyle name="Normal 120 2 2 2 2 2 2 2" xfId="16395" xr:uid="{00000000-0005-0000-0000-00005D0F0000}"/>
    <cellStyle name="Normal 120 2 2 2 2 2 3" xfId="11882" xr:uid="{00000000-0005-0000-0000-00005E0F0000}"/>
    <cellStyle name="Normal 120 2 2 2 2 3" xfId="6608" xr:uid="{00000000-0005-0000-0000-00005F0F0000}"/>
    <cellStyle name="Normal 120 2 2 2 2 3 2" xfId="15649" xr:uid="{00000000-0005-0000-0000-0000600F0000}"/>
    <cellStyle name="Normal 120 2 2 2 2 4" xfId="11136" xr:uid="{00000000-0005-0000-0000-0000610F0000}"/>
    <cellStyle name="Normal 120 2 2 2 3" xfId="2836" xr:uid="{00000000-0005-0000-0000-0000620F0000}"/>
    <cellStyle name="Normal 120 2 2 2 3 2" xfId="7353" xr:uid="{00000000-0005-0000-0000-0000630F0000}"/>
    <cellStyle name="Normal 120 2 2 2 3 2 2" xfId="16394" xr:uid="{00000000-0005-0000-0000-0000640F0000}"/>
    <cellStyle name="Normal 120 2 2 2 3 3" xfId="11881" xr:uid="{00000000-0005-0000-0000-0000650F0000}"/>
    <cellStyle name="Normal 120 2 2 2 4" xfId="5480" xr:uid="{00000000-0005-0000-0000-0000660F0000}"/>
    <cellStyle name="Normal 120 2 2 2 4 2" xfId="14521" xr:uid="{00000000-0005-0000-0000-0000670F0000}"/>
    <cellStyle name="Normal 120 2 2 2 5" xfId="10008" xr:uid="{00000000-0005-0000-0000-0000680F0000}"/>
    <cellStyle name="Normal 120 2 2 3" xfId="1521" xr:uid="{00000000-0005-0000-0000-0000690F0000}"/>
    <cellStyle name="Normal 120 2 2 3 2" xfId="2838" xr:uid="{00000000-0005-0000-0000-00006A0F0000}"/>
    <cellStyle name="Normal 120 2 2 3 2 2" xfId="7355" xr:uid="{00000000-0005-0000-0000-00006B0F0000}"/>
    <cellStyle name="Normal 120 2 2 3 2 2 2" xfId="16396" xr:uid="{00000000-0005-0000-0000-00006C0F0000}"/>
    <cellStyle name="Normal 120 2 2 3 2 3" xfId="11883" xr:uid="{00000000-0005-0000-0000-00006D0F0000}"/>
    <cellStyle name="Normal 120 2 2 3 3" xfId="6044" xr:uid="{00000000-0005-0000-0000-00006E0F0000}"/>
    <cellStyle name="Normal 120 2 2 3 3 2" xfId="15085" xr:uid="{00000000-0005-0000-0000-00006F0F0000}"/>
    <cellStyle name="Normal 120 2 2 3 4" xfId="10572" xr:uid="{00000000-0005-0000-0000-0000700F0000}"/>
    <cellStyle name="Normal 120 2 2 4" xfId="2835" xr:uid="{00000000-0005-0000-0000-0000710F0000}"/>
    <cellStyle name="Normal 120 2 2 4 2" xfId="7352" xr:uid="{00000000-0005-0000-0000-0000720F0000}"/>
    <cellStyle name="Normal 120 2 2 4 2 2" xfId="16393" xr:uid="{00000000-0005-0000-0000-0000730F0000}"/>
    <cellStyle name="Normal 120 2 2 4 3" xfId="11880" xr:uid="{00000000-0005-0000-0000-0000740F0000}"/>
    <cellStyle name="Normal 120 2 2 5" xfId="4916" xr:uid="{00000000-0005-0000-0000-0000750F0000}"/>
    <cellStyle name="Normal 120 2 2 5 2" xfId="13957" xr:uid="{00000000-0005-0000-0000-0000760F0000}"/>
    <cellStyle name="Normal 120 2 2 6" xfId="9444" xr:uid="{00000000-0005-0000-0000-0000770F0000}"/>
    <cellStyle name="Normal 120 2 3" xfId="539" xr:uid="{00000000-0005-0000-0000-0000780F0000}"/>
    <cellStyle name="Normal 120 2 3 2" xfId="1103" xr:uid="{00000000-0005-0000-0000-0000790F0000}"/>
    <cellStyle name="Normal 120 2 3 2 2" xfId="2273" xr:uid="{00000000-0005-0000-0000-00007A0F0000}"/>
    <cellStyle name="Normal 120 2 3 2 2 2" xfId="2841" xr:uid="{00000000-0005-0000-0000-00007B0F0000}"/>
    <cellStyle name="Normal 120 2 3 2 2 2 2" xfId="7358" xr:uid="{00000000-0005-0000-0000-00007C0F0000}"/>
    <cellStyle name="Normal 120 2 3 2 2 2 2 2" xfId="16399" xr:uid="{00000000-0005-0000-0000-00007D0F0000}"/>
    <cellStyle name="Normal 120 2 3 2 2 2 3" xfId="11886" xr:uid="{00000000-0005-0000-0000-00007E0F0000}"/>
    <cellStyle name="Normal 120 2 3 2 2 3" xfId="6796" xr:uid="{00000000-0005-0000-0000-00007F0F0000}"/>
    <cellStyle name="Normal 120 2 3 2 2 3 2" xfId="15837" xr:uid="{00000000-0005-0000-0000-0000800F0000}"/>
    <cellStyle name="Normal 120 2 3 2 2 4" xfId="11324" xr:uid="{00000000-0005-0000-0000-0000810F0000}"/>
    <cellStyle name="Normal 120 2 3 2 3" xfId="2840" xr:uid="{00000000-0005-0000-0000-0000820F0000}"/>
    <cellStyle name="Normal 120 2 3 2 3 2" xfId="7357" xr:uid="{00000000-0005-0000-0000-0000830F0000}"/>
    <cellStyle name="Normal 120 2 3 2 3 2 2" xfId="16398" xr:uid="{00000000-0005-0000-0000-0000840F0000}"/>
    <cellStyle name="Normal 120 2 3 2 3 3" xfId="11885" xr:uid="{00000000-0005-0000-0000-0000850F0000}"/>
    <cellStyle name="Normal 120 2 3 2 4" xfId="5668" xr:uid="{00000000-0005-0000-0000-0000860F0000}"/>
    <cellStyle name="Normal 120 2 3 2 4 2" xfId="14709" xr:uid="{00000000-0005-0000-0000-0000870F0000}"/>
    <cellStyle name="Normal 120 2 3 2 5" xfId="10196" xr:uid="{00000000-0005-0000-0000-0000880F0000}"/>
    <cellStyle name="Normal 120 2 3 3" xfId="1709" xr:uid="{00000000-0005-0000-0000-0000890F0000}"/>
    <cellStyle name="Normal 120 2 3 3 2" xfId="2842" xr:uid="{00000000-0005-0000-0000-00008A0F0000}"/>
    <cellStyle name="Normal 120 2 3 3 2 2" xfId="7359" xr:uid="{00000000-0005-0000-0000-00008B0F0000}"/>
    <cellStyle name="Normal 120 2 3 3 2 2 2" xfId="16400" xr:uid="{00000000-0005-0000-0000-00008C0F0000}"/>
    <cellStyle name="Normal 120 2 3 3 2 3" xfId="11887" xr:uid="{00000000-0005-0000-0000-00008D0F0000}"/>
    <cellStyle name="Normal 120 2 3 3 3" xfId="6232" xr:uid="{00000000-0005-0000-0000-00008E0F0000}"/>
    <cellStyle name="Normal 120 2 3 3 3 2" xfId="15273" xr:uid="{00000000-0005-0000-0000-00008F0F0000}"/>
    <cellStyle name="Normal 120 2 3 3 4" xfId="10760" xr:uid="{00000000-0005-0000-0000-0000900F0000}"/>
    <cellStyle name="Normal 120 2 3 4" xfId="2839" xr:uid="{00000000-0005-0000-0000-0000910F0000}"/>
    <cellStyle name="Normal 120 2 3 4 2" xfId="7356" xr:uid="{00000000-0005-0000-0000-0000920F0000}"/>
    <cellStyle name="Normal 120 2 3 4 2 2" xfId="16397" xr:uid="{00000000-0005-0000-0000-0000930F0000}"/>
    <cellStyle name="Normal 120 2 3 4 3" xfId="11884" xr:uid="{00000000-0005-0000-0000-0000940F0000}"/>
    <cellStyle name="Normal 120 2 3 5" xfId="5104" xr:uid="{00000000-0005-0000-0000-0000950F0000}"/>
    <cellStyle name="Normal 120 2 3 5 2" xfId="14145" xr:uid="{00000000-0005-0000-0000-0000960F0000}"/>
    <cellStyle name="Normal 120 2 3 6" xfId="9632" xr:uid="{00000000-0005-0000-0000-0000970F0000}"/>
    <cellStyle name="Normal 120 2 4" xfId="727" xr:uid="{00000000-0005-0000-0000-0000980F0000}"/>
    <cellStyle name="Normal 120 2 4 2" xfId="1897" xr:uid="{00000000-0005-0000-0000-0000990F0000}"/>
    <cellStyle name="Normal 120 2 4 2 2" xfId="2844" xr:uid="{00000000-0005-0000-0000-00009A0F0000}"/>
    <cellStyle name="Normal 120 2 4 2 2 2" xfId="7361" xr:uid="{00000000-0005-0000-0000-00009B0F0000}"/>
    <cellStyle name="Normal 120 2 4 2 2 2 2" xfId="16402" xr:uid="{00000000-0005-0000-0000-00009C0F0000}"/>
    <cellStyle name="Normal 120 2 4 2 2 3" xfId="11889" xr:uid="{00000000-0005-0000-0000-00009D0F0000}"/>
    <cellStyle name="Normal 120 2 4 2 3" xfId="6420" xr:uid="{00000000-0005-0000-0000-00009E0F0000}"/>
    <cellStyle name="Normal 120 2 4 2 3 2" xfId="15461" xr:uid="{00000000-0005-0000-0000-00009F0F0000}"/>
    <cellStyle name="Normal 120 2 4 2 4" xfId="10948" xr:uid="{00000000-0005-0000-0000-0000A00F0000}"/>
    <cellStyle name="Normal 120 2 4 3" xfId="2843" xr:uid="{00000000-0005-0000-0000-0000A10F0000}"/>
    <cellStyle name="Normal 120 2 4 3 2" xfId="7360" xr:uid="{00000000-0005-0000-0000-0000A20F0000}"/>
    <cellStyle name="Normal 120 2 4 3 2 2" xfId="16401" xr:uid="{00000000-0005-0000-0000-0000A30F0000}"/>
    <cellStyle name="Normal 120 2 4 3 3" xfId="11888" xr:uid="{00000000-0005-0000-0000-0000A40F0000}"/>
    <cellStyle name="Normal 120 2 4 4" xfId="5292" xr:uid="{00000000-0005-0000-0000-0000A50F0000}"/>
    <cellStyle name="Normal 120 2 4 4 2" xfId="14333" xr:uid="{00000000-0005-0000-0000-0000A60F0000}"/>
    <cellStyle name="Normal 120 2 4 5" xfId="9820" xr:uid="{00000000-0005-0000-0000-0000A70F0000}"/>
    <cellStyle name="Normal 120 2 5" xfId="1333" xr:uid="{00000000-0005-0000-0000-0000A80F0000}"/>
    <cellStyle name="Normal 120 2 5 2" xfId="2845" xr:uid="{00000000-0005-0000-0000-0000A90F0000}"/>
    <cellStyle name="Normal 120 2 5 2 2" xfId="7362" xr:uid="{00000000-0005-0000-0000-0000AA0F0000}"/>
    <cellStyle name="Normal 120 2 5 2 2 2" xfId="16403" xr:uid="{00000000-0005-0000-0000-0000AB0F0000}"/>
    <cellStyle name="Normal 120 2 5 2 3" xfId="11890" xr:uid="{00000000-0005-0000-0000-0000AC0F0000}"/>
    <cellStyle name="Normal 120 2 5 3" xfId="5856" xr:uid="{00000000-0005-0000-0000-0000AD0F0000}"/>
    <cellStyle name="Normal 120 2 5 3 2" xfId="14897" xr:uid="{00000000-0005-0000-0000-0000AE0F0000}"/>
    <cellStyle name="Normal 120 2 5 4" xfId="10384" xr:uid="{00000000-0005-0000-0000-0000AF0F0000}"/>
    <cellStyle name="Normal 120 2 6" xfId="2834" xr:uid="{00000000-0005-0000-0000-0000B00F0000}"/>
    <cellStyle name="Normal 120 2 6 2" xfId="7351" xr:uid="{00000000-0005-0000-0000-0000B10F0000}"/>
    <cellStyle name="Normal 120 2 6 2 2" xfId="16392" xr:uid="{00000000-0005-0000-0000-0000B20F0000}"/>
    <cellStyle name="Normal 120 2 6 3" xfId="11879" xr:uid="{00000000-0005-0000-0000-0000B30F0000}"/>
    <cellStyle name="Normal 120 2 7" xfId="4728" xr:uid="{00000000-0005-0000-0000-0000B40F0000}"/>
    <cellStyle name="Normal 120 2 7 2" xfId="13769" xr:uid="{00000000-0005-0000-0000-0000B50F0000}"/>
    <cellStyle name="Normal 120 2 8" xfId="9256" xr:uid="{00000000-0005-0000-0000-0000B60F0000}"/>
    <cellStyle name="Normal 120 3" xfId="257" xr:uid="{00000000-0005-0000-0000-0000B70F0000}"/>
    <cellStyle name="Normal 120 3 2" xfId="821" xr:uid="{00000000-0005-0000-0000-0000B80F0000}"/>
    <cellStyle name="Normal 120 3 2 2" xfId="1991" xr:uid="{00000000-0005-0000-0000-0000B90F0000}"/>
    <cellStyle name="Normal 120 3 2 2 2" xfId="2848" xr:uid="{00000000-0005-0000-0000-0000BA0F0000}"/>
    <cellStyle name="Normal 120 3 2 2 2 2" xfId="7365" xr:uid="{00000000-0005-0000-0000-0000BB0F0000}"/>
    <cellStyle name="Normal 120 3 2 2 2 2 2" xfId="16406" xr:uid="{00000000-0005-0000-0000-0000BC0F0000}"/>
    <cellStyle name="Normal 120 3 2 2 2 3" xfId="11893" xr:uid="{00000000-0005-0000-0000-0000BD0F0000}"/>
    <cellStyle name="Normal 120 3 2 2 3" xfId="6514" xr:uid="{00000000-0005-0000-0000-0000BE0F0000}"/>
    <cellStyle name="Normal 120 3 2 2 3 2" xfId="15555" xr:uid="{00000000-0005-0000-0000-0000BF0F0000}"/>
    <cellStyle name="Normal 120 3 2 2 4" xfId="11042" xr:uid="{00000000-0005-0000-0000-0000C00F0000}"/>
    <cellStyle name="Normal 120 3 2 3" xfId="2847" xr:uid="{00000000-0005-0000-0000-0000C10F0000}"/>
    <cellStyle name="Normal 120 3 2 3 2" xfId="7364" xr:uid="{00000000-0005-0000-0000-0000C20F0000}"/>
    <cellStyle name="Normal 120 3 2 3 2 2" xfId="16405" xr:uid="{00000000-0005-0000-0000-0000C30F0000}"/>
    <cellStyle name="Normal 120 3 2 3 3" xfId="11892" xr:uid="{00000000-0005-0000-0000-0000C40F0000}"/>
    <cellStyle name="Normal 120 3 2 4" xfId="5386" xr:uid="{00000000-0005-0000-0000-0000C50F0000}"/>
    <cellStyle name="Normal 120 3 2 4 2" xfId="14427" xr:uid="{00000000-0005-0000-0000-0000C60F0000}"/>
    <cellStyle name="Normal 120 3 2 5" xfId="9914" xr:uid="{00000000-0005-0000-0000-0000C70F0000}"/>
    <cellStyle name="Normal 120 3 3" xfId="1427" xr:uid="{00000000-0005-0000-0000-0000C80F0000}"/>
    <cellStyle name="Normal 120 3 3 2" xfId="2849" xr:uid="{00000000-0005-0000-0000-0000C90F0000}"/>
    <cellStyle name="Normal 120 3 3 2 2" xfId="7366" xr:uid="{00000000-0005-0000-0000-0000CA0F0000}"/>
    <cellStyle name="Normal 120 3 3 2 2 2" xfId="16407" xr:uid="{00000000-0005-0000-0000-0000CB0F0000}"/>
    <cellStyle name="Normal 120 3 3 2 3" xfId="11894" xr:uid="{00000000-0005-0000-0000-0000CC0F0000}"/>
    <cellStyle name="Normal 120 3 3 3" xfId="5950" xr:uid="{00000000-0005-0000-0000-0000CD0F0000}"/>
    <cellStyle name="Normal 120 3 3 3 2" xfId="14991" xr:uid="{00000000-0005-0000-0000-0000CE0F0000}"/>
    <cellStyle name="Normal 120 3 3 4" xfId="10478" xr:uid="{00000000-0005-0000-0000-0000CF0F0000}"/>
    <cellStyle name="Normal 120 3 4" xfId="2846" xr:uid="{00000000-0005-0000-0000-0000D00F0000}"/>
    <cellStyle name="Normal 120 3 4 2" xfId="7363" xr:uid="{00000000-0005-0000-0000-0000D10F0000}"/>
    <cellStyle name="Normal 120 3 4 2 2" xfId="16404" xr:uid="{00000000-0005-0000-0000-0000D20F0000}"/>
    <cellStyle name="Normal 120 3 4 3" xfId="11891" xr:uid="{00000000-0005-0000-0000-0000D30F0000}"/>
    <cellStyle name="Normal 120 3 5" xfId="4822" xr:uid="{00000000-0005-0000-0000-0000D40F0000}"/>
    <cellStyle name="Normal 120 3 5 2" xfId="13863" xr:uid="{00000000-0005-0000-0000-0000D50F0000}"/>
    <cellStyle name="Normal 120 3 6" xfId="9350" xr:uid="{00000000-0005-0000-0000-0000D60F0000}"/>
    <cellStyle name="Normal 120 4" xfId="445" xr:uid="{00000000-0005-0000-0000-0000D70F0000}"/>
    <cellStyle name="Normal 120 4 2" xfId="1009" xr:uid="{00000000-0005-0000-0000-0000D80F0000}"/>
    <cellStyle name="Normal 120 4 2 2" xfId="2179" xr:uid="{00000000-0005-0000-0000-0000D90F0000}"/>
    <cellStyle name="Normal 120 4 2 2 2" xfId="2852" xr:uid="{00000000-0005-0000-0000-0000DA0F0000}"/>
    <cellStyle name="Normal 120 4 2 2 2 2" xfId="7369" xr:uid="{00000000-0005-0000-0000-0000DB0F0000}"/>
    <cellStyle name="Normal 120 4 2 2 2 2 2" xfId="16410" xr:uid="{00000000-0005-0000-0000-0000DC0F0000}"/>
    <cellStyle name="Normal 120 4 2 2 2 3" xfId="11897" xr:uid="{00000000-0005-0000-0000-0000DD0F0000}"/>
    <cellStyle name="Normal 120 4 2 2 3" xfId="6702" xr:uid="{00000000-0005-0000-0000-0000DE0F0000}"/>
    <cellStyle name="Normal 120 4 2 2 3 2" xfId="15743" xr:uid="{00000000-0005-0000-0000-0000DF0F0000}"/>
    <cellStyle name="Normal 120 4 2 2 4" xfId="11230" xr:uid="{00000000-0005-0000-0000-0000E00F0000}"/>
    <cellStyle name="Normal 120 4 2 3" xfId="2851" xr:uid="{00000000-0005-0000-0000-0000E10F0000}"/>
    <cellStyle name="Normal 120 4 2 3 2" xfId="7368" xr:uid="{00000000-0005-0000-0000-0000E20F0000}"/>
    <cellStyle name="Normal 120 4 2 3 2 2" xfId="16409" xr:uid="{00000000-0005-0000-0000-0000E30F0000}"/>
    <cellStyle name="Normal 120 4 2 3 3" xfId="11896" xr:uid="{00000000-0005-0000-0000-0000E40F0000}"/>
    <cellStyle name="Normal 120 4 2 4" xfId="5574" xr:uid="{00000000-0005-0000-0000-0000E50F0000}"/>
    <cellStyle name="Normal 120 4 2 4 2" xfId="14615" xr:uid="{00000000-0005-0000-0000-0000E60F0000}"/>
    <cellStyle name="Normal 120 4 2 5" xfId="10102" xr:uid="{00000000-0005-0000-0000-0000E70F0000}"/>
    <cellStyle name="Normal 120 4 3" xfId="1615" xr:uid="{00000000-0005-0000-0000-0000E80F0000}"/>
    <cellStyle name="Normal 120 4 3 2" xfId="2853" xr:uid="{00000000-0005-0000-0000-0000E90F0000}"/>
    <cellStyle name="Normal 120 4 3 2 2" xfId="7370" xr:uid="{00000000-0005-0000-0000-0000EA0F0000}"/>
    <cellStyle name="Normal 120 4 3 2 2 2" xfId="16411" xr:uid="{00000000-0005-0000-0000-0000EB0F0000}"/>
    <cellStyle name="Normal 120 4 3 2 3" xfId="11898" xr:uid="{00000000-0005-0000-0000-0000EC0F0000}"/>
    <cellStyle name="Normal 120 4 3 3" xfId="6138" xr:uid="{00000000-0005-0000-0000-0000ED0F0000}"/>
    <cellStyle name="Normal 120 4 3 3 2" xfId="15179" xr:uid="{00000000-0005-0000-0000-0000EE0F0000}"/>
    <cellStyle name="Normal 120 4 3 4" xfId="10666" xr:uid="{00000000-0005-0000-0000-0000EF0F0000}"/>
    <cellStyle name="Normal 120 4 4" xfId="2850" xr:uid="{00000000-0005-0000-0000-0000F00F0000}"/>
    <cellStyle name="Normal 120 4 4 2" xfId="7367" xr:uid="{00000000-0005-0000-0000-0000F10F0000}"/>
    <cellStyle name="Normal 120 4 4 2 2" xfId="16408" xr:uid="{00000000-0005-0000-0000-0000F20F0000}"/>
    <cellStyle name="Normal 120 4 4 3" xfId="11895" xr:uid="{00000000-0005-0000-0000-0000F30F0000}"/>
    <cellStyle name="Normal 120 4 5" xfId="5010" xr:uid="{00000000-0005-0000-0000-0000F40F0000}"/>
    <cellStyle name="Normal 120 4 5 2" xfId="14051" xr:uid="{00000000-0005-0000-0000-0000F50F0000}"/>
    <cellStyle name="Normal 120 4 6" xfId="9538" xr:uid="{00000000-0005-0000-0000-0000F60F0000}"/>
    <cellStyle name="Normal 120 5" xfId="633" xr:uid="{00000000-0005-0000-0000-0000F70F0000}"/>
    <cellStyle name="Normal 120 5 2" xfId="1803" xr:uid="{00000000-0005-0000-0000-0000F80F0000}"/>
    <cellStyle name="Normal 120 5 2 2" xfId="2855" xr:uid="{00000000-0005-0000-0000-0000F90F0000}"/>
    <cellStyle name="Normal 120 5 2 2 2" xfId="7372" xr:uid="{00000000-0005-0000-0000-0000FA0F0000}"/>
    <cellStyle name="Normal 120 5 2 2 2 2" xfId="16413" xr:uid="{00000000-0005-0000-0000-0000FB0F0000}"/>
    <cellStyle name="Normal 120 5 2 2 3" xfId="11900" xr:uid="{00000000-0005-0000-0000-0000FC0F0000}"/>
    <cellStyle name="Normal 120 5 2 3" xfId="6326" xr:uid="{00000000-0005-0000-0000-0000FD0F0000}"/>
    <cellStyle name="Normal 120 5 2 3 2" xfId="15367" xr:uid="{00000000-0005-0000-0000-0000FE0F0000}"/>
    <cellStyle name="Normal 120 5 2 4" xfId="10854" xr:uid="{00000000-0005-0000-0000-0000FF0F0000}"/>
    <cellStyle name="Normal 120 5 3" xfId="2854" xr:uid="{00000000-0005-0000-0000-000000100000}"/>
    <cellStyle name="Normal 120 5 3 2" xfId="7371" xr:uid="{00000000-0005-0000-0000-000001100000}"/>
    <cellStyle name="Normal 120 5 3 2 2" xfId="16412" xr:uid="{00000000-0005-0000-0000-000002100000}"/>
    <cellStyle name="Normal 120 5 3 3" xfId="11899" xr:uid="{00000000-0005-0000-0000-000003100000}"/>
    <cellStyle name="Normal 120 5 4" xfId="5198" xr:uid="{00000000-0005-0000-0000-000004100000}"/>
    <cellStyle name="Normal 120 5 4 2" xfId="14239" xr:uid="{00000000-0005-0000-0000-000005100000}"/>
    <cellStyle name="Normal 120 5 5" xfId="9726" xr:uid="{00000000-0005-0000-0000-000006100000}"/>
    <cellStyle name="Normal 120 6" xfId="1239" xr:uid="{00000000-0005-0000-0000-000007100000}"/>
    <cellStyle name="Normal 120 6 2" xfId="2856" xr:uid="{00000000-0005-0000-0000-000008100000}"/>
    <cellStyle name="Normal 120 6 2 2" xfId="7373" xr:uid="{00000000-0005-0000-0000-000009100000}"/>
    <cellStyle name="Normal 120 6 2 2 2" xfId="16414" xr:uid="{00000000-0005-0000-0000-00000A100000}"/>
    <cellStyle name="Normal 120 6 2 3" xfId="11901" xr:uid="{00000000-0005-0000-0000-00000B100000}"/>
    <cellStyle name="Normal 120 6 3" xfId="5762" xr:uid="{00000000-0005-0000-0000-00000C100000}"/>
    <cellStyle name="Normal 120 6 3 2" xfId="14803" xr:uid="{00000000-0005-0000-0000-00000D100000}"/>
    <cellStyle name="Normal 120 6 4" xfId="10290" xr:uid="{00000000-0005-0000-0000-00000E100000}"/>
    <cellStyle name="Normal 120 7" xfId="2833" xr:uid="{00000000-0005-0000-0000-00000F100000}"/>
    <cellStyle name="Normal 120 7 2" xfId="7350" xr:uid="{00000000-0005-0000-0000-000010100000}"/>
    <cellStyle name="Normal 120 7 2 2" xfId="16391" xr:uid="{00000000-0005-0000-0000-000011100000}"/>
    <cellStyle name="Normal 120 7 3" xfId="11878" xr:uid="{00000000-0005-0000-0000-000012100000}"/>
    <cellStyle name="Normal 120 8" xfId="4634" xr:uid="{00000000-0005-0000-0000-000013100000}"/>
    <cellStyle name="Normal 120 8 2" xfId="13675" xr:uid="{00000000-0005-0000-0000-000014100000}"/>
    <cellStyle name="Normal 120 9" xfId="9162" xr:uid="{00000000-0005-0000-0000-000015100000}"/>
    <cellStyle name="Normal 121" xfId="27" xr:uid="{00000000-0005-0000-0000-000016100000}"/>
    <cellStyle name="Normal 121 2" xfId="123" xr:uid="{00000000-0005-0000-0000-000017100000}"/>
    <cellStyle name="Normal 121 2 2" xfId="352" xr:uid="{00000000-0005-0000-0000-000018100000}"/>
    <cellStyle name="Normal 121 2 2 2" xfId="916" xr:uid="{00000000-0005-0000-0000-000019100000}"/>
    <cellStyle name="Normal 121 2 2 2 2" xfId="2086" xr:uid="{00000000-0005-0000-0000-00001A100000}"/>
    <cellStyle name="Normal 121 2 2 2 2 2" xfId="2861" xr:uid="{00000000-0005-0000-0000-00001B100000}"/>
    <cellStyle name="Normal 121 2 2 2 2 2 2" xfId="7378" xr:uid="{00000000-0005-0000-0000-00001C100000}"/>
    <cellStyle name="Normal 121 2 2 2 2 2 2 2" xfId="16419" xr:uid="{00000000-0005-0000-0000-00001D100000}"/>
    <cellStyle name="Normal 121 2 2 2 2 2 3" xfId="11906" xr:uid="{00000000-0005-0000-0000-00001E100000}"/>
    <cellStyle name="Normal 121 2 2 2 2 3" xfId="6609" xr:uid="{00000000-0005-0000-0000-00001F100000}"/>
    <cellStyle name="Normal 121 2 2 2 2 3 2" xfId="15650" xr:uid="{00000000-0005-0000-0000-000020100000}"/>
    <cellStyle name="Normal 121 2 2 2 2 4" xfId="11137" xr:uid="{00000000-0005-0000-0000-000021100000}"/>
    <cellStyle name="Normal 121 2 2 2 3" xfId="2860" xr:uid="{00000000-0005-0000-0000-000022100000}"/>
    <cellStyle name="Normal 121 2 2 2 3 2" xfId="7377" xr:uid="{00000000-0005-0000-0000-000023100000}"/>
    <cellStyle name="Normal 121 2 2 2 3 2 2" xfId="16418" xr:uid="{00000000-0005-0000-0000-000024100000}"/>
    <cellStyle name="Normal 121 2 2 2 3 3" xfId="11905" xr:uid="{00000000-0005-0000-0000-000025100000}"/>
    <cellStyle name="Normal 121 2 2 2 4" xfId="5481" xr:uid="{00000000-0005-0000-0000-000026100000}"/>
    <cellStyle name="Normal 121 2 2 2 4 2" xfId="14522" xr:uid="{00000000-0005-0000-0000-000027100000}"/>
    <cellStyle name="Normal 121 2 2 2 5" xfId="10009" xr:uid="{00000000-0005-0000-0000-000028100000}"/>
    <cellStyle name="Normal 121 2 2 3" xfId="1522" xr:uid="{00000000-0005-0000-0000-000029100000}"/>
    <cellStyle name="Normal 121 2 2 3 2" xfId="2862" xr:uid="{00000000-0005-0000-0000-00002A100000}"/>
    <cellStyle name="Normal 121 2 2 3 2 2" xfId="7379" xr:uid="{00000000-0005-0000-0000-00002B100000}"/>
    <cellStyle name="Normal 121 2 2 3 2 2 2" xfId="16420" xr:uid="{00000000-0005-0000-0000-00002C100000}"/>
    <cellStyle name="Normal 121 2 2 3 2 3" xfId="11907" xr:uid="{00000000-0005-0000-0000-00002D100000}"/>
    <cellStyle name="Normal 121 2 2 3 3" xfId="6045" xr:uid="{00000000-0005-0000-0000-00002E100000}"/>
    <cellStyle name="Normal 121 2 2 3 3 2" xfId="15086" xr:uid="{00000000-0005-0000-0000-00002F100000}"/>
    <cellStyle name="Normal 121 2 2 3 4" xfId="10573" xr:uid="{00000000-0005-0000-0000-000030100000}"/>
    <cellStyle name="Normal 121 2 2 4" xfId="2859" xr:uid="{00000000-0005-0000-0000-000031100000}"/>
    <cellStyle name="Normal 121 2 2 4 2" xfId="7376" xr:uid="{00000000-0005-0000-0000-000032100000}"/>
    <cellStyle name="Normal 121 2 2 4 2 2" xfId="16417" xr:uid="{00000000-0005-0000-0000-000033100000}"/>
    <cellStyle name="Normal 121 2 2 4 3" xfId="11904" xr:uid="{00000000-0005-0000-0000-000034100000}"/>
    <cellStyle name="Normal 121 2 2 5" xfId="4917" xr:uid="{00000000-0005-0000-0000-000035100000}"/>
    <cellStyle name="Normal 121 2 2 5 2" xfId="13958" xr:uid="{00000000-0005-0000-0000-000036100000}"/>
    <cellStyle name="Normal 121 2 2 6" xfId="9445" xr:uid="{00000000-0005-0000-0000-000037100000}"/>
    <cellStyle name="Normal 121 2 3" xfId="540" xr:uid="{00000000-0005-0000-0000-000038100000}"/>
    <cellStyle name="Normal 121 2 3 2" xfId="1104" xr:uid="{00000000-0005-0000-0000-000039100000}"/>
    <cellStyle name="Normal 121 2 3 2 2" xfId="2274" xr:uid="{00000000-0005-0000-0000-00003A100000}"/>
    <cellStyle name="Normal 121 2 3 2 2 2" xfId="2865" xr:uid="{00000000-0005-0000-0000-00003B100000}"/>
    <cellStyle name="Normal 121 2 3 2 2 2 2" xfId="7382" xr:uid="{00000000-0005-0000-0000-00003C100000}"/>
    <cellStyle name="Normal 121 2 3 2 2 2 2 2" xfId="16423" xr:uid="{00000000-0005-0000-0000-00003D100000}"/>
    <cellStyle name="Normal 121 2 3 2 2 2 3" xfId="11910" xr:uid="{00000000-0005-0000-0000-00003E100000}"/>
    <cellStyle name="Normal 121 2 3 2 2 3" xfId="6797" xr:uid="{00000000-0005-0000-0000-00003F100000}"/>
    <cellStyle name="Normal 121 2 3 2 2 3 2" xfId="15838" xr:uid="{00000000-0005-0000-0000-000040100000}"/>
    <cellStyle name="Normal 121 2 3 2 2 4" xfId="11325" xr:uid="{00000000-0005-0000-0000-000041100000}"/>
    <cellStyle name="Normal 121 2 3 2 3" xfId="2864" xr:uid="{00000000-0005-0000-0000-000042100000}"/>
    <cellStyle name="Normal 121 2 3 2 3 2" xfId="7381" xr:uid="{00000000-0005-0000-0000-000043100000}"/>
    <cellStyle name="Normal 121 2 3 2 3 2 2" xfId="16422" xr:uid="{00000000-0005-0000-0000-000044100000}"/>
    <cellStyle name="Normal 121 2 3 2 3 3" xfId="11909" xr:uid="{00000000-0005-0000-0000-000045100000}"/>
    <cellStyle name="Normal 121 2 3 2 4" xfId="5669" xr:uid="{00000000-0005-0000-0000-000046100000}"/>
    <cellStyle name="Normal 121 2 3 2 4 2" xfId="14710" xr:uid="{00000000-0005-0000-0000-000047100000}"/>
    <cellStyle name="Normal 121 2 3 2 5" xfId="10197" xr:uid="{00000000-0005-0000-0000-000048100000}"/>
    <cellStyle name="Normal 121 2 3 3" xfId="1710" xr:uid="{00000000-0005-0000-0000-000049100000}"/>
    <cellStyle name="Normal 121 2 3 3 2" xfId="2866" xr:uid="{00000000-0005-0000-0000-00004A100000}"/>
    <cellStyle name="Normal 121 2 3 3 2 2" xfId="7383" xr:uid="{00000000-0005-0000-0000-00004B100000}"/>
    <cellStyle name="Normal 121 2 3 3 2 2 2" xfId="16424" xr:uid="{00000000-0005-0000-0000-00004C100000}"/>
    <cellStyle name="Normal 121 2 3 3 2 3" xfId="11911" xr:uid="{00000000-0005-0000-0000-00004D100000}"/>
    <cellStyle name="Normal 121 2 3 3 3" xfId="6233" xr:uid="{00000000-0005-0000-0000-00004E100000}"/>
    <cellStyle name="Normal 121 2 3 3 3 2" xfId="15274" xr:uid="{00000000-0005-0000-0000-00004F100000}"/>
    <cellStyle name="Normal 121 2 3 3 4" xfId="10761" xr:uid="{00000000-0005-0000-0000-000050100000}"/>
    <cellStyle name="Normal 121 2 3 4" xfId="2863" xr:uid="{00000000-0005-0000-0000-000051100000}"/>
    <cellStyle name="Normal 121 2 3 4 2" xfId="7380" xr:uid="{00000000-0005-0000-0000-000052100000}"/>
    <cellStyle name="Normal 121 2 3 4 2 2" xfId="16421" xr:uid="{00000000-0005-0000-0000-000053100000}"/>
    <cellStyle name="Normal 121 2 3 4 3" xfId="11908" xr:uid="{00000000-0005-0000-0000-000054100000}"/>
    <cellStyle name="Normal 121 2 3 5" xfId="5105" xr:uid="{00000000-0005-0000-0000-000055100000}"/>
    <cellStyle name="Normal 121 2 3 5 2" xfId="14146" xr:uid="{00000000-0005-0000-0000-000056100000}"/>
    <cellStyle name="Normal 121 2 3 6" xfId="9633" xr:uid="{00000000-0005-0000-0000-000057100000}"/>
    <cellStyle name="Normal 121 2 4" xfId="728" xr:uid="{00000000-0005-0000-0000-000058100000}"/>
    <cellStyle name="Normal 121 2 4 2" xfId="1898" xr:uid="{00000000-0005-0000-0000-000059100000}"/>
    <cellStyle name="Normal 121 2 4 2 2" xfId="2868" xr:uid="{00000000-0005-0000-0000-00005A100000}"/>
    <cellStyle name="Normal 121 2 4 2 2 2" xfId="7385" xr:uid="{00000000-0005-0000-0000-00005B100000}"/>
    <cellStyle name="Normal 121 2 4 2 2 2 2" xfId="16426" xr:uid="{00000000-0005-0000-0000-00005C100000}"/>
    <cellStyle name="Normal 121 2 4 2 2 3" xfId="11913" xr:uid="{00000000-0005-0000-0000-00005D100000}"/>
    <cellStyle name="Normal 121 2 4 2 3" xfId="6421" xr:uid="{00000000-0005-0000-0000-00005E100000}"/>
    <cellStyle name="Normal 121 2 4 2 3 2" xfId="15462" xr:uid="{00000000-0005-0000-0000-00005F100000}"/>
    <cellStyle name="Normal 121 2 4 2 4" xfId="10949" xr:uid="{00000000-0005-0000-0000-000060100000}"/>
    <cellStyle name="Normal 121 2 4 3" xfId="2867" xr:uid="{00000000-0005-0000-0000-000061100000}"/>
    <cellStyle name="Normal 121 2 4 3 2" xfId="7384" xr:uid="{00000000-0005-0000-0000-000062100000}"/>
    <cellStyle name="Normal 121 2 4 3 2 2" xfId="16425" xr:uid="{00000000-0005-0000-0000-000063100000}"/>
    <cellStyle name="Normal 121 2 4 3 3" xfId="11912" xr:uid="{00000000-0005-0000-0000-000064100000}"/>
    <cellStyle name="Normal 121 2 4 4" xfId="5293" xr:uid="{00000000-0005-0000-0000-000065100000}"/>
    <cellStyle name="Normal 121 2 4 4 2" xfId="14334" xr:uid="{00000000-0005-0000-0000-000066100000}"/>
    <cellStyle name="Normal 121 2 4 5" xfId="9821" xr:uid="{00000000-0005-0000-0000-000067100000}"/>
    <cellStyle name="Normal 121 2 5" xfId="1334" xr:uid="{00000000-0005-0000-0000-000068100000}"/>
    <cellStyle name="Normal 121 2 5 2" xfId="2869" xr:uid="{00000000-0005-0000-0000-000069100000}"/>
    <cellStyle name="Normal 121 2 5 2 2" xfId="7386" xr:uid="{00000000-0005-0000-0000-00006A100000}"/>
    <cellStyle name="Normal 121 2 5 2 2 2" xfId="16427" xr:uid="{00000000-0005-0000-0000-00006B100000}"/>
    <cellStyle name="Normal 121 2 5 2 3" xfId="11914" xr:uid="{00000000-0005-0000-0000-00006C100000}"/>
    <cellStyle name="Normal 121 2 5 3" xfId="5857" xr:uid="{00000000-0005-0000-0000-00006D100000}"/>
    <cellStyle name="Normal 121 2 5 3 2" xfId="14898" xr:uid="{00000000-0005-0000-0000-00006E100000}"/>
    <cellStyle name="Normal 121 2 5 4" xfId="10385" xr:uid="{00000000-0005-0000-0000-00006F100000}"/>
    <cellStyle name="Normal 121 2 6" xfId="2858" xr:uid="{00000000-0005-0000-0000-000070100000}"/>
    <cellStyle name="Normal 121 2 6 2" xfId="7375" xr:uid="{00000000-0005-0000-0000-000071100000}"/>
    <cellStyle name="Normal 121 2 6 2 2" xfId="16416" xr:uid="{00000000-0005-0000-0000-000072100000}"/>
    <cellStyle name="Normal 121 2 6 3" xfId="11903" xr:uid="{00000000-0005-0000-0000-000073100000}"/>
    <cellStyle name="Normal 121 2 7" xfId="4729" xr:uid="{00000000-0005-0000-0000-000074100000}"/>
    <cellStyle name="Normal 121 2 7 2" xfId="13770" xr:uid="{00000000-0005-0000-0000-000075100000}"/>
    <cellStyle name="Normal 121 2 8" xfId="9257" xr:uid="{00000000-0005-0000-0000-000076100000}"/>
    <cellStyle name="Normal 121 3" xfId="258" xr:uid="{00000000-0005-0000-0000-000077100000}"/>
    <cellStyle name="Normal 121 3 2" xfId="822" xr:uid="{00000000-0005-0000-0000-000078100000}"/>
    <cellStyle name="Normal 121 3 2 2" xfId="1992" xr:uid="{00000000-0005-0000-0000-000079100000}"/>
    <cellStyle name="Normal 121 3 2 2 2" xfId="2872" xr:uid="{00000000-0005-0000-0000-00007A100000}"/>
    <cellStyle name="Normal 121 3 2 2 2 2" xfId="7389" xr:uid="{00000000-0005-0000-0000-00007B100000}"/>
    <cellStyle name="Normal 121 3 2 2 2 2 2" xfId="16430" xr:uid="{00000000-0005-0000-0000-00007C100000}"/>
    <cellStyle name="Normal 121 3 2 2 2 3" xfId="11917" xr:uid="{00000000-0005-0000-0000-00007D100000}"/>
    <cellStyle name="Normal 121 3 2 2 3" xfId="6515" xr:uid="{00000000-0005-0000-0000-00007E100000}"/>
    <cellStyle name="Normal 121 3 2 2 3 2" xfId="15556" xr:uid="{00000000-0005-0000-0000-00007F100000}"/>
    <cellStyle name="Normal 121 3 2 2 4" xfId="11043" xr:uid="{00000000-0005-0000-0000-000080100000}"/>
    <cellStyle name="Normal 121 3 2 3" xfId="2871" xr:uid="{00000000-0005-0000-0000-000081100000}"/>
    <cellStyle name="Normal 121 3 2 3 2" xfId="7388" xr:uid="{00000000-0005-0000-0000-000082100000}"/>
    <cellStyle name="Normal 121 3 2 3 2 2" xfId="16429" xr:uid="{00000000-0005-0000-0000-000083100000}"/>
    <cellStyle name="Normal 121 3 2 3 3" xfId="11916" xr:uid="{00000000-0005-0000-0000-000084100000}"/>
    <cellStyle name="Normal 121 3 2 4" xfId="5387" xr:uid="{00000000-0005-0000-0000-000085100000}"/>
    <cellStyle name="Normal 121 3 2 4 2" xfId="14428" xr:uid="{00000000-0005-0000-0000-000086100000}"/>
    <cellStyle name="Normal 121 3 2 5" xfId="9915" xr:uid="{00000000-0005-0000-0000-000087100000}"/>
    <cellStyle name="Normal 121 3 3" xfId="1428" xr:uid="{00000000-0005-0000-0000-000088100000}"/>
    <cellStyle name="Normal 121 3 3 2" xfId="2873" xr:uid="{00000000-0005-0000-0000-000089100000}"/>
    <cellStyle name="Normal 121 3 3 2 2" xfId="7390" xr:uid="{00000000-0005-0000-0000-00008A100000}"/>
    <cellStyle name="Normal 121 3 3 2 2 2" xfId="16431" xr:uid="{00000000-0005-0000-0000-00008B100000}"/>
    <cellStyle name="Normal 121 3 3 2 3" xfId="11918" xr:uid="{00000000-0005-0000-0000-00008C100000}"/>
    <cellStyle name="Normal 121 3 3 3" xfId="5951" xr:uid="{00000000-0005-0000-0000-00008D100000}"/>
    <cellStyle name="Normal 121 3 3 3 2" xfId="14992" xr:uid="{00000000-0005-0000-0000-00008E100000}"/>
    <cellStyle name="Normal 121 3 3 4" xfId="10479" xr:uid="{00000000-0005-0000-0000-00008F100000}"/>
    <cellStyle name="Normal 121 3 4" xfId="2870" xr:uid="{00000000-0005-0000-0000-000090100000}"/>
    <cellStyle name="Normal 121 3 4 2" xfId="7387" xr:uid="{00000000-0005-0000-0000-000091100000}"/>
    <cellStyle name="Normal 121 3 4 2 2" xfId="16428" xr:uid="{00000000-0005-0000-0000-000092100000}"/>
    <cellStyle name="Normal 121 3 4 3" xfId="11915" xr:uid="{00000000-0005-0000-0000-000093100000}"/>
    <cellStyle name="Normal 121 3 5" xfId="4823" xr:uid="{00000000-0005-0000-0000-000094100000}"/>
    <cellStyle name="Normal 121 3 5 2" xfId="13864" xr:uid="{00000000-0005-0000-0000-000095100000}"/>
    <cellStyle name="Normal 121 3 6" xfId="9351" xr:uid="{00000000-0005-0000-0000-000096100000}"/>
    <cellStyle name="Normal 121 4" xfId="446" xr:uid="{00000000-0005-0000-0000-000097100000}"/>
    <cellStyle name="Normal 121 4 2" xfId="1010" xr:uid="{00000000-0005-0000-0000-000098100000}"/>
    <cellStyle name="Normal 121 4 2 2" xfId="2180" xr:uid="{00000000-0005-0000-0000-000099100000}"/>
    <cellStyle name="Normal 121 4 2 2 2" xfId="2876" xr:uid="{00000000-0005-0000-0000-00009A100000}"/>
    <cellStyle name="Normal 121 4 2 2 2 2" xfId="7393" xr:uid="{00000000-0005-0000-0000-00009B100000}"/>
    <cellStyle name="Normal 121 4 2 2 2 2 2" xfId="16434" xr:uid="{00000000-0005-0000-0000-00009C100000}"/>
    <cellStyle name="Normal 121 4 2 2 2 3" xfId="11921" xr:uid="{00000000-0005-0000-0000-00009D100000}"/>
    <cellStyle name="Normal 121 4 2 2 3" xfId="6703" xr:uid="{00000000-0005-0000-0000-00009E100000}"/>
    <cellStyle name="Normal 121 4 2 2 3 2" xfId="15744" xr:uid="{00000000-0005-0000-0000-00009F100000}"/>
    <cellStyle name="Normal 121 4 2 2 4" xfId="11231" xr:uid="{00000000-0005-0000-0000-0000A0100000}"/>
    <cellStyle name="Normal 121 4 2 3" xfId="2875" xr:uid="{00000000-0005-0000-0000-0000A1100000}"/>
    <cellStyle name="Normal 121 4 2 3 2" xfId="7392" xr:uid="{00000000-0005-0000-0000-0000A2100000}"/>
    <cellStyle name="Normal 121 4 2 3 2 2" xfId="16433" xr:uid="{00000000-0005-0000-0000-0000A3100000}"/>
    <cellStyle name="Normal 121 4 2 3 3" xfId="11920" xr:uid="{00000000-0005-0000-0000-0000A4100000}"/>
    <cellStyle name="Normal 121 4 2 4" xfId="5575" xr:uid="{00000000-0005-0000-0000-0000A5100000}"/>
    <cellStyle name="Normal 121 4 2 4 2" xfId="14616" xr:uid="{00000000-0005-0000-0000-0000A6100000}"/>
    <cellStyle name="Normal 121 4 2 5" xfId="10103" xr:uid="{00000000-0005-0000-0000-0000A7100000}"/>
    <cellStyle name="Normal 121 4 3" xfId="1616" xr:uid="{00000000-0005-0000-0000-0000A8100000}"/>
    <cellStyle name="Normal 121 4 3 2" xfId="2877" xr:uid="{00000000-0005-0000-0000-0000A9100000}"/>
    <cellStyle name="Normal 121 4 3 2 2" xfId="7394" xr:uid="{00000000-0005-0000-0000-0000AA100000}"/>
    <cellStyle name="Normal 121 4 3 2 2 2" xfId="16435" xr:uid="{00000000-0005-0000-0000-0000AB100000}"/>
    <cellStyle name="Normal 121 4 3 2 3" xfId="11922" xr:uid="{00000000-0005-0000-0000-0000AC100000}"/>
    <cellStyle name="Normal 121 4 3 3" xfId="6139" xr:uid="{00000000-0005-0000-0000-0000AD100000}"/>
    <cellStyle name="Normal 121 4 3 3 2" xfId="15180" xr:uid="{00000000-0005-0000-0000-0000AE100000}"/>
    <cellStyle name="Normal 121 4 3 4" xfId="10667" xr:uid="{00000000-0005-0000-0000-0000AF100000}"/>
    <cellStyle name="Normal 121 4 4" xfId="2874" xr:uid="{00000000-0005-0000-0000-0000B0100000}"/>
    <cellStyle name="Normal 121 4 4 2" xfId="7391" xr:uid="{00000000-0005-0000-0000-0000B1100000}"/>
    <cellStyle name="Normal 121 4 4 2 2" xfId="16432" xr:uid="{00000000-0005-0000-0000-0000B2100000}"/>
    <cellStyle name="Normal 121 4 4 3" xfId="11919" xr:uid="{00000000-0005-0000-0000-0000B3100000}"/>
    <cellStyle name="Normal 121 4 5" xfId="5011" xr:uid="{00000000-0005-0000-0000-0000B4100000}"/>
    <cellStyle name="Normal 121 4 5 2" xfId="14052" xr:uid="{00000000-0005-0000-0000-0000B5100000}"/>
    <cellStyle name="Normal 121 4 6" xfId="9539" xr:uid="{00000000-0005-0000-0000-0000B6100000}"/>
    <cellStyle name="Normal 121 5" xfId="634" xr:uid="{00000000-0005-0000-0000-0000B7100000}"/>
    <cellStyle name="Normal 121 5 2" xfId="1804" xr:uid="{00000000-0005-0000-0000-0000B8100000}"/>
    <cellStyle name="Normal 121 5 2 2" xfId="2879" xr:uid="{00000000-0005-0000-0000-0000B9100000}"/>
    <cellStyle name="Normal 121 5 2 2 2" xfId="7396" xr:uid="{00000000-0005-0000-0000-0000BA100000}"/>
    <cellStyle name="Normal 121 5 2 2 2 2" xfId="16437" xr:uid="{00000000-0005-0000-0000-0000BB100000}"/>
    <cellStyle name="Normal 121 5 2 2 3" xfId="11924" xr:uid="{00000000-0005-0000-0000-0000BC100000}"/>
    <cellStyle name="Normal 121 5 2 3" xfId="6327" xr:uid="{00000000-0005-0000-0000-0000BD100000}"/>
    <cellStyle name="Normal 121 5 2 3 2" xfId="15368" xr:uid="{00000000-0005-0000-0000-0000BE100000}"/>
    <cellStyle name="Normal 121 5 2 4" xfId="10855" xr:uid="{00000000-0005-0000-0000-0000BF100000}"/>
    <cellStyle name="Normal 121 5 3" xfId="2878" xr:uid="{00000000-0005-0000-0000-0000C0100000}"/>
    <cellStyle name="Normal 121 5 3 2" xfId="7395" xr:uid="{00000000-0005-0000-0000-0000C1100000}"/>
    <cellStyle name="Normal 121 5 3 2 2" xfId="16436" xr:uid="{00000000-0005-0000-0000-0000C2100000}"/>
    <cellStyle name="Normal 121 5 3 3" xfId="11923" xr:uid="{00000000-0005-0000-0000-0000C3100000}"/>
    <cellStyle name="Normal 121 5 4" xfId="5199" xr:uid="{00000000-0005-0000-0000-0000C4100000}"/>
    <cellStyle name="Normal 121 5 4 2" xfId="14240" xr:uid="{00000000-0005-0000-0000-0000C5100000}"/>
    <cellStyle name="Normal 121 5 5" xfId="9727" xr:uid="{00000000-0005-0000-0000-0000C6100000}"/>
    <cellStyle name="Normal 121 6" xfId="1240" xr:uid="{00000000-0005-0000-0000-0000C7100000}"/>
    <cellStyle name="Normal 121 6 2" xfId="2880" xr:uid="{00000000-0005-0000-0000-0000C8100000}"/>
    <cellStyle name="Normal 121 6 2 2" xfId="7397" xr:uid="{00000000-0005-0000-0000-0000C9100000}"/>
    <cellStyle name="Normal 121 6 2 2 2" xfId="16438" xr:uid="{00000000-0005-0000-0000-0000CA100000}"/>
    <cellStyle name="Normal 121 6 2 3" xfId="11925" xr:uid="{00000000-0005-0000-0000-0000CB100000}"/>
    <cellStyle name="Normal 121 6 3" xfId="5763" xr:uid="{00000000-0005-0000-0000-0000CC100000}"/>
    <cellStyle name="Normal 121 6 3 2" xfId="14804" xr:uid="{00000000-0005-0000-0000-0000CD100000}"/>
    <cellStyle name="Normal 121 6 4" xfId="10291" xr:uid="{00000000-0005-0000-0000-0000CE100000}"/>
    <cellStyle name="Normal 121 7" xfId="2857" xr:uid="{00000000-0005-0000-0000-0000CF100000}"/>
    <cellStyle name="Normal 121 7 2" xfId="7374" xr:uid="{00000000-0005-0000-0000-0000D0100000}"/>
    <cellStyle name="Normal 121 7 2 2" xfId="16415" xr:uid="{00000000-0005-0000-0000-0000D1100000}"/>
    <cellStyle name="Normal 121 7 3" xfId="11902" xr:uid="{00000000-0005-0000-0000-0000D2100000}"/>
    <cellStyle name="Normal 121 8" xfId="4635" xr:uid="{00000000-0005-0000-0000-0000D3100000}"/>
    <cellStyle name="Normal 121 8 2" xfId="13676" xr:uid="{00000000-0005-0000-0000-0000D4100000}"/>
    <cellStyle name="Normal 121 9" xfId="9163" xr:uid="{00000000-0005-0000-0000-0000D5100000}"/>
    <cellStyle name="Normal 122" xfId="28" xr:uid="{00000000-0005-0000-0000-0000D6100000}"/>
    <cellStyle name="Normal 122 2" xfId="124" xr:uid="{00000000-0005-0000-0000-0000D7100000}"/>
    <cellStyle name="Normal 122 2 2" xfId="353" xr:uid="{00000000-0005-0000-0000-0000D8100000}"/>
    <cellStyle name="Normal 122 2 2 2" xfId="917" xr:uid="{00000000-0005-0000-0000-0000D9100000}"/>
    <cellStyle name="Normal 122 2 2 2 2" xfId="2087" xr:uid="{00000000-0005-0000-0000-0000DA100000}"/>
    <cellStyle name="Normal 122 2 2 2 2 2" xfId="2885" xr:uid="{00000000-0005-0000-0000-0000DB100000}"/>
    <cellStyle name="Normal 122 2 2 2 2 2 2" xfId="7402" xr:uid="{00000000-0005-0000-0000-0000DC100000}"/>
    <cellStyle name="Normal 122 2 2 2 2 2 2 2" xfId="16443" xr:uid="{00000000-0005-0000-0000-0000DD100000}"/>
    <cellStyle name="Normal 122 2 2 2 2 2 3" xfId="11930" xr:uid="{00000000-0005-0000-0000-0000DE100000}"/>
    <cellStyle name="Normal 122 2 2 2 2 3" xfId="6610" xr:uid="{00000000-0005-0000-0000-0000DF100000}"/>
    <cellStyle name="Normal 122 2 2 2 2 3 2" xfId="15651" xr:uid="{00000000-0005-0000-0000-0000E0100000}"/>
    <cellStyle name="Normal 122 2 2 2 2 4" xfId="11138" xr:uid="{00000000-0005-0000-0000-0000E1100000}"/>
    <cellStyle name="Normal 122 2 2 2 3" xfId="2884" xr:uid="{00000000-0005-0000-0000-0000E2100000}"/>
    <cellStyle name="Normal 122 2 2 2 3 2" xfId="7401" xr:uid="{00000000-0005-0000-0000-0000E3100000}"/>
    <cellStyle name="Normal 122 2 2 2 3 2 2" xfId="16442" xr:uid="{00000000-0005-0000-0000-0000E4100000}"/>
    <cellStyle name="Normal 122 2 2 2 3 3" xfId="11929" xr:uid="{00000000-0005-0000-0000-0000E5100000}"/>
    <cellStyle name="Normal 122 2 2 2 4" xfId="5482" xr:uid="{00000000-0005-0000-0000-0000E6100000}"/>
    <cellStyle name="Normal 122 2 2 2 4 2" xfId="14523" xr:uid="{00000000-0005-0000-0000-0000E7100000}"/>
    <cellStyle name="Normal 122 2 2 2 5" xfId="10010" xr:uid="{00000000-0005-0000-0000-0000E8100000}"/>
    <cellStyle name="Normal 122 2 2 3" xfId="1523" xr:uid="{00000000-0005-0000-0000-0000E9100000}"/>
    <cellStyle name="Normal 122 2 2 3 2" xfId="2886" xr:uid="{00000000-0005-0000-0000-0000EA100000}"/>
    <cellStyle name="Normal 122 2 2 3 2 2" xfId="7403" xr:uid="{00000000-0005-0000-0000-0000EB100000}"/>
    <cellStyle name="Normal 122 2 2 3 2 2 2" xfId="16444" xr:uid="{00000000-0005-0000-0000-0000EC100000}"/>
    <cellStyle name="Normal 122 2 2 3 2 3" xfId="11931" xr:uid="{00000000-0005-0000-0000-0000ED100000}"/>
    <cellStyle name="Normal 122 2 2 3 3" xfId="6046" xr:uid="{00000000-0005-0000-0000-0000EE100000}"/>
    <cellStyle name="Normal 122 2 2 3 3 2" xfId="15087" xr:uid="{00000000-0005-0000-0000-0000EF100000}"/>
    <cellStyle name="Normal 122 2 2 3 4" xfId="10574" xr:uid="{00000000-0005-0000-0000-0000F0100000}"/>
    <cellStyle name="Normal 122 2 2 4" xfId="2883" xr:uid="{00000000-0005-0000-0000-0000F1100000}"/>
    <cellStyle name="Normal 122 2 2 4 2" xfId="7400" xr:uid="{00000000-0005-0000-0000-0000F2100000}"/>
    <cellStyle name="Normal 122 2 2 4 2 2" xfId="16441" xr:uid="{00000000-0005-0000-0000-0000F3100000}"/>
    <cellStyle name="Normal 122 2 2 4 3" xfId="11928" xr:uid="{00000000-0005-0000-0000-0000F4100000}"/>
    <cellStyle name="Normal 122 2 2 5" xfId="4918" xr:uid="{00000000-0005-0000-0000-0000F5100000}"/>
    <cellStyle name="Normal 122 2 2 5 2" xfId="13959" xr:uid="{00000000-0005-0000-0000-0000F6100000}"/>
    <cellStyle name="Normal 122 2 2 6" xfId="9446" xr:uid="{00000000-0005-0000-0000-0000F7100000}"/>
    <cellStyle name="Normal 122 2 3" xfId="541" xr:uid="{00000000-0005-0000-0000-0000F8100000}"/>
    <cellStyle name="Normal 122 2 3 2" xfId="1105" xr:uid="{00000000-0005-0000-0000-0000F9100000}"/>
    <cellStyle name="Normal 122 2 3 2 2" xfId="2275" xr:uid="{00000000-0005-0000-0000-0000FA100000}"/>
    <cellStyle name="Normal 122 2 3 2 2 2" xfId="2889" xr:uid="{00000000-0005-0000-0000-0000FB100000}"/>
    <cellStyle name="Normal 122 2 3 2 2 2 2" xfId="7406" xr:uid="{00000000-0005-0000-0000-0000FC100000}"/>
    <cellStyle name="Normal 122 2 3 2 2 2 2 2" xfId="16447" xr:uid="{00000000-0005-0000-0000-0000FD100000}"/>
    <cellStyle name="Normal 122 2 3 2 2 2 3" xfId="11934" xr:uid="{00000000-0005-0000-0000-0000FE100000}"/>
    <cellStyle name="Normal 122 2 3 2 2 3" xfId="6798" xr:uid="{00000000-0005-0000-0000-0000FF100000}"/>
    <cellStyle name="Normal 122 2 3 2 2 3 2" xfId="15839" xr:uid="{00000000-0005-0000-0000-000000110000}"/>
    <cellStyle name="Normal 122 2 3 2 2 4" xfId="11326" xr:uid="{00000000-0005-0000-0000-000001110000}"/>
    <cellStyle name="Normal 122 2 3 2 3" xfId="2888" xr:uid="{00000000-0005-0000-0000-000002110000}"/>
    <cellStyle name="Normal 122 2 3 2 3 2" xfId="7405" xr:uid="{00000000-0005-0000-0000-000003110000}"/>
    <cellStyle name="Normal 122 2 3 2 3 2 2" xfId="16446" xr:uid="{00000000-0005-0000-0000-000004110000}"/>
    <cellStyle name="Normal 122 2 3 2 3 3" xfId="11933" xr:uid="{00000000-0005-0000-0000-000005110000}"/>
    <cellStyle name="Normal 122 2 3 2 4" xfId="5670" xr:uid="{00000000-0005-0000-0000-000006110000}"/>
    <cellStyle name="Normal 122 2 3 2 4 2" xfId="14711" xr:uid="{00000000-0005-0000-0000-000007110000}"/>
    <cellStyle name="Normal 122 2 3 2 5" xfId="10198" xr:uid="{00000000-0005-0000-0000-000008110000}"/>
    <cellStyle name="Normal 122 2 3 3" xfId="1711" xr:uid="{00000000-0005-0000-0000-000009110000}"/>
    <cellStyle name="Normal 122 2 3 3 2" xfId="2890" xr:uid="{00000000-0005-0000-0000-00000A110000}"/>
    <cellStyle name="Normal 122 2 3 3 2 2" xfId="7407" xr:uid="{00000000-0005-0000-0000-00000B110000}"/>
    <cellStyle name="Normal 122 2 3 3 2 2 2" xfId="16448" xr:uid="{00000000-0005-0000-0000-00000C110000}"/>
    <cellStyle name="Normal 122 2 3 3 2 3" xfId="11935" xr:uid="{00000000-0005-0000-0000-00000D110000}"/>
    <cellStyle name="Normal 122 2 3 3 3" xfId="6234" xr:uid="{00000000-0005-0000-0000-00000E110000}"/>
    <cellStyle name="Normal 122 2 3 3 3 2" xfId="15275" xr:uid="{00000000-0005-0000-0000-00000F110000}"/>
    <cellStyle name="Normal 122 2 3 3 4" xfId="10762" xr:uid="{00000000-0005-0000-0000-000010110000}"/>
    <cellStyle name="Normal 122 2 3 4" xfId="2887" xr:uid="{00000000-0005-0000-0000-000011110000}"/>
    <cellStyle name="Normal 122 2 3 4 2" xfId="7404" xr:uid="{00000000-0005-0000-0000-000012110000}"/>
    <cellStyle name="Normal 122 2 3 4 2 2" xfId="16445" xr:uid="{00000000-0005-0000-0000-000013110000}"/>
    <cellStyle name="Normal 122 2 3 4 3" xfId="11932" xr:uid="{00000000-0005-0000-0000-000014110000}"/>
    <cellStyle name="Normal 122 2 3 5" xfId="5106" xr:uid="{00000000-0005-0000-0000-000015110000}"/>
    <cellStyle name="Normal 122 2 3 5 2" xfId="14147" xr:uid="{00000000-0005-0000-0000-000016110000}"/>
    <cellStyle name="Normal 122 2 3 6" xfId="9634" xr:uid="{00000000-0005-0000-0000-000017110000}"/>
    <cellStyle name="Normal 122 2 4" xfId="729" xr:uid="{00000000-0005-0000-0000-000018110000}"/>
    <cellStyle name="Normal 122 2 4 2" xfId="1899" xr:uid="{00000000-0005-0000-0000-000019110000}"/>
    <cellStyle name="Normal 122 2 4 2 2" xfId="2892" xr:uid="{00000000-0005-0000-0000-00001A110000}"/>
    <cellStyle name="Normal 122 2 4 2 2 2" xfId="7409" xr:uid="{00000000-0005-0000-0000-00001B110000}"/>
    <cellStyle name="Normal 122 2 4 2 2 2 2" xfId="16450" xr:uid="{00000000-0005-0000-0000-00001C110000}"/>
    <cellStyle name="Normal 122 2 4 2 2 3" xfId="11937" xr:uid="{00000000-0005-0000-0000-00001D110000}"/>
    <cellStyle name="Normal 122 2 4 2 3" xfId="6422" xr:uid="{00000000-0005-0000-0000-00001E110000}"/>
    <cellStyle name="Normal 122 2 4 2 3 2" xfId="15463" xr:uid="{00000000-0005-0000-0000-00001F110000}"/>
    <cellStyle name="Normal 122 2 4 2 4" xfId="10950" xr:uid="{00000000-0005-0000-0000-000020110000}"/>
    <cellStyle name="Normal 122 2 4 3" xfId="2891" xr:uid="{00000000-0005-0000-0000-000021110000}"/>
    <cellStyle name="Normal 122 2 4 3 2" xfId="7408" xr:uid="{00000000-0005-0000-0000-000022110000}"/>
    <cellStyle name="Normal 122 2 4 3 2 2" xfId="16449" xr:uid="{00000000-0005-0000-0000-000023110000}"/>
    <cellStyle name="Normal 122 2 4 3 3" xfId="11936" xr:uid="{00000000-0005-0000-0000-000024110000}"/>
    <cellStyle name="Normal 122 2 4 4" xfId="5294" xr:uid="{00000000-0005-0000-0000-000025110000}"/>
    <cellStyle name="Normal 122 2 4 4 2" xfId="14335" xr:uid="{00000000-0005-0000-0000-000026110000}"/>
    <cellStyle name="Normal 122 2 4 5" xfId="9822" xr:uid="{00000000-0005-0000-0000-000027110000}"/>
    <cellStyle name="Normal 122 2 5" xfId="1335" xr:uid="{00000000-0005-0000-0000-000028110000}"/>
    <cellStyle name="Normal 122 2 5 2" xfId="2893" xr:uid="{00000000-0005-0000-0000-000029110000}"/>
    <cellStyle name="Normal 122 2 5 2 2" xfId="7410" xr:uid="{00000000-0005-0000-0000-00002A110000}"/>
    <cellStyle name="Normal 122 2 5 2 2 2" xfId="16451" xr:uid="{00000000-0005-0000-0000-00002B110000}"/>
    <cellStyle name="Normal 122 2 5 2 3" xfId="11938" xr:uid="{00000000-0005-0000-0000-00002C110000}"/>
    <cellStyle name="Normal 122 2 5 3" xfId="5858" xr:uid="{00000000-0005-0000-0000-00002D110000}"/>
    <cellStyle name="Normal 122 2 5 3 2" xfId="14899" xr:uid="{00000000-0005-0000-0000-00002E110000}"/>
    <cellStyle name="Normal 122 2 5 4" xfId="10386" xr:uid="{00000000-0005-0000-0000-00002F110000}"/>
    <cellStyle name="Normal 122 2 6" xfId="2882" xr:uid="{00000000-0005-0000-0000-000030110000}"/>
    <cellStyle name="Normal 122 2 6 2" xfId="7399" xr:uid="{00000000-0005-0000-0000-000031110000}"/>
    <cellStyle name="Normal 122 2 6 2 2" xfId="16440" xr:uid="{00000000-0005-0000-0000-000032110000}"/>
    <cellStyle name="Normal 122 2 6 3" xfId="11927" xr:uid="{00000000-0005-0000-0000-000033110000}"/>
    <cellStyle name="Normal 122 2 7" xfId="4730" xr:uid="{00000000-0005-0000-0000-000034110000}"/>
    <cellStyle name="Normal 122 2 7 2" xfId="13771" xr:uid="{00000000-0005-0000-0000-000035110000}"/>
    <cellStyle name="Normal 122 2 8" xfId="9258" xr:uid="{00000000-0005-0000-0000-000036110000}"/>
    <cellStyle name="Normal 122 3" xfId="259" xr:uid="{00000000-0005-0000-0000-000037110000}"/>
    <cellStyle name="Normal 122 3 2" xfId="823" xr:uid="{00000000-0005-0000-0000-000038110000}"/>
    <cellStyle name="Normal 122 3 2 2" xfId="1993" xr:uid="{00000000-0005-0000-0000-000039110000}"/>
    <cellStyle name="Normal 122 3 2 2 2" xfId="2896" xr:uid="{00000000-0005-0000-0000-00003A110000}"/>
    <cellStyle name="Normal 122 3 2 2 2 2" xfId="7413" xr:uid="{00000000-0005-0000-0000-00003B110000}"/>
    <cellStyle name="Normal 122 3 2 2 2 2 2" xfId="16454" xr:uid="{00000000-0005-0000-0000-00003C110000}"/>
    <cellStyle name="Normal 122 3 2 2 2 3" xfId="11941" xr:uid="{00000000-0005-0000-0000-00003D110000}"/>
    <cellStyle name="Normal 122 3 2 2 3" xfId="6516" xr:uid="{00000000-0005-0000-0000-00003E110000}"/>
    <cellStyle name="Normal 122 3 2 2 3 2" xfId="15557" xr:uid="{00000000-0005-0000-0000-00003F110000}"/>
    <cellStyle name="Normal 122 3 2 2 4" xfId="11044" xr:uid="{00000000-0005-0000-0000-000040110000}"/>
    <cellStyle name="Normal 122 3 2 3" xfId="2895" xr:uid="{00000000-0005-0000-0000-000041110000}"/>
    <cellStyle name="Normal 122 3 2 3 2" xfId="7412" xr:uid="{00000000-0005-0000-0000-000042110000}"/>
    <cellStyle name="Normal 122 3 2 3 2 2" xfId="16453" xr:uid="{00000000-0005-0000-0000-000043110000}"/>
    <cellStyle name="Normal 122 3 2 3 3" xfId="11940" xr:uid="{00000000-0005-0000-0000-000044110000}"/>
    <cellStyle name="Normal 122 3 2 4" xfId="5388" xr:uid="{00000000-0005-0000-0000-000045110000}"/>
    <cellStyle name="Normal 122 3 2 4 2" xfId="14429" xr:uid="{00000000-0005-0000-0000-000046110000}"/>
    <cellStyle name="Normal 122 3 2 5" xfId="9916" xr:uid="{00000000-0005-0000-0000-000047110000}"/>
    <cellStyle name="Normal 122 3 3" xfId="1429" xr:uid="{00000000-0005-0000-0000-000048110000}"/>
    <cellStyle name="Normal 122 3 3 2" xfId="2897" xr:uid="{00000000-0005-0000-0000-000049110000}"/>
    <cellStyle name="Normal 122 3 3 2 2" xfId="7414" xr:uid="{00000000-0005-0000-0000-00004A110000}"/>
    <cellStyle name="Normal 122 3 3 2 2 2" xfId="16455" xr:uid="{00000000-0005-0000-0000-00004B110000}"/>
    <cellStyle name="Normal 122 3 3 2 3" xfId="11942" xr:uid="{00000000-0005-0000-0000-00004C110000}"/>
    <cellStyle name="Normal 122 3 3 3" xfId="5952" xr:uid="{00000000-0005-0000-0000-00004D110000}"/>
    <cellStyle name="Normal 122 3 3 3 2" xfId="14993" xr:uid="{00000000-0005-0000-0000-00004E110000}"/>
    <cellStyle name="Normal 122 3 3 4" xfId="10480" xr:uid="{00000000-0005-0000-0000-00004F110000}"/>
    <cellStyle name="Normal 122 3 4" xfId="2894" xr:uid="{00000000-0005-0000-0000-000050110000}"/>
    <cellStyle name="Normal 122 3 4 2" xfId="7411" xr:uid="{00000000-0005-0000-0000-000051110000}"/>
    <cellStyle name="Normal 122 3 4 2 2" xfId="16452" xr:uid="{00000000-0005-0000-0000-000052110000}"/>
    <cellStyle name="Normal 122 3 4 3" xfId="11939" xr:uid="{00000000-0005-0000-0000-000053110000}"/>
    <cellStyle name="Normal 122 3 5" xfId="4824" xr:uid="{00000000-0005-0000-0000-000054110000}"/>
    <cellStyle name="Normal 122 3 5 2" xfId="13865" xr:uid="{00000000-0005-0000-0000-000055110000}"/>
    <cellStyle name="Normal 122 3 6" xfId="9352" xr:uid="{00000000-0005-0000-0000-000056110000}"/>
    <cellStyle name="Normal 122 4" xfId="447" xr:uid="{00000000-0005-0000-0000-000057110000}"/>
    <cellStyle name="Normal 122 4 2" xfId="1011" xr:uid="{00000000-0005-0000-0000-000058110000}"/>
    <cellStyle name="Normal 122 4 2 2" xfId="2181" xr:uid="{00000000-0005-0000-0000-000059110000}"/>
    <cellStyle name="Normal 122 4 2 2 2" xfId="2900" xr:uid="{00000000-0005-0000-0000-00005A110000}"/>
    <cellStyle name="Normal 122 4 2 2 2 2" xfId="7417" xr:uid="{00000000-0005-0000-0000-00005B110000}"/>
    <cellStyle name="Normal 122 4 2 2 2 2 2" xfId="16458" xr:uid="{00000000-0005-0000-0000-00005C110000}"/>
    <cellStyle name="Normal 122 4 2 2 2 3" xfId="11945" xr:uid="{00000000-0005-0000-0000-00005D110000}"/>
    <cellStyle name="Normal 122 4 2 2 3" xfId="6704" xr:uid="{00000000-0005-0000-0000-00005E110000}"/>
    <cellStyle name="Normal 122 4 2 2 3 2" xfId="15745" xr:uid="{00000000-0005-0000-0000-00005F110000}"/>
    <cellStyle name="Normal 122 4 2 2 4" xfId="11232" xr:uid="{00000000-0005-0000-0000-000060110000}"/>
    <cellStyle name="Normal 122 4 2 3" xfId="2899" xr:uid="{00000000-0005-0000-0000-000061110000}"/>
    <cellStyle name="Normal 122 4 2 3 2" xfId="7416" xr:uid="{00000000-0005-0000-0000-000062110000}"/>
    <cellStyle name="Normal 122 4 2 3 2 2" xfId="16457" xr:uid="{00000000-0005-0000-0000-000063110000}"/>
    <cellStyle name="Normal 122 4 2 3 3" xfId="11944" xr:uid="{00000000-0005-0000-0000-000064110000}"/>
    <cellStyle name="Normal 122 4 2 4" xfId="5576" xr:uid="{00000000-0005-0000-0000-000065110000}"/>
    <cellStyle name="Normal 122 4 2 4 2" xfId="14617" xr:uid="{00000000-0005-0000-0000-000066110000}"/>
    <cellStyle name="Normal 122 4 2 5" xfId="10104" xr:uid="{00000000-0005-0000-0000-000067110000}"/>
    <cellStyle name="Normal 122 4 3" xfId="1617" xr:uid="{00000000-0005-0000-0000-000068110000}"/>
    <cellStyle name="Normal 122 4 3 2" xfId="2901" xr:uid="{00000000-0005-0000-0000-000069110000}"/>
    <cellStyle name="Normal 122 4 3 2 2" xfId="7418" xr:uid="{00000000-0005-0000-0000-00006A110000}"/>
    <cellStyle name="Normal 122 4 3 2 2 2" xfId="16459" xr:uid="{00000000-0005-0000-0000-00006B110000}"/>
    <cellStyle name="Normal 122 4 3 2 3" xfId="11946" xr:uid="{00000000-0005-0000-0000-00006C110000}"/>
    <cellStyle name="Normal 122 4 3 3" xfId="6140" xr:uid="{00000000-0005-0000-0000-00006D110000}"/>
    <cellStyle name="Normal 122 4 3 3 2" xfId="15181" xr:uid="{00000000-0005-0000-0000-00006E110000}"/>
    <cellStyle name="Normal 122 4 3 4" xfId="10668" xr:uid="{00000000-0005-0000-0000-00006F110000}"/>
    <cellStyle name="Normal 122 4 4" xfId="2898" xr:uid="{00000000-0005-0000-0000-000070110000}"/>
    <cellStyle name="Normal 122 4 4 2" xfId="7415" xr:uid="{00000000-0005-0000-0000-000071110000}"/>
    <cellStyle name="Normal 122 4 4 2 2" xfId="16456" xr:uid="{00000000-0005-0000-0000-000072110000}"/>
    <cellStyle name="Normal 122 4 4 3" xfId="11943" xr:uid="{00000000-0005-0000-0000-000073110000}"/>
    <cellStyle name="Normal 122 4 5" xfId="5012" xr:uid="{00000000-0005-0000-0000-000074110000}"/>
    <cellStyle name="Normal 122 4 5 2" xfId="14053" xr:uid="{00000000-0005-0000-0000-000075110000}"/>
    <cellStyle name="Normal 122 4 6" xfId="9540" xr:uid="{00000000-0005-0000-0000-000076110000}"/>
    <cellStyle name="Normal 122 5" xfId="635" xr:uid="{00000000-0005-0000-0000-000077110000}"/>
    <cellStyle name="Normal 122 5 2" xfId="1805" xr:uid="{00000000-0005-0000-0000-000078110000}"/>
    <cellStyle name="Normal 122 5 2 2" xfId="2903" xr:uid="{00000000-0005-0000-0000-000079110000}"/>
    <cellStyle name="Normal 122 5 2 2 2" xfId="7420" xr:uid="{00000000-0005-0000-0000-00007A110000}"/>
    <cellStyle name="Normal 122 5 2 2 2 2" xfId="16461" xr:uid="{00000000-0005-0000-0000-00007B110000}"/>
    <cellStyle name="Normal 122 5 2 2 3" xfId="11948" xr:uid="{00000000-0005-0000-0000-00007C110000}"/>
    <cellStyle name="Normal 122 5 2 3" xfId="6328" xr:uid="{00000000-0005-0000-0000-00007D110000}"/>
    <cellStyle name="Normal 122 5 2 3 2" xfId="15369" xr:uid="{00000000-0005-0000-0000-00007E110000}"/>
    <cellStyle name="Normal 122 5 2 4" xfId="10856" xr:uid="{00000000-0005-0000-0000-00007F110000}"/>
    <cellStyle name="Normal 122 5 3" xfId="2902" xr:uid="{00000000-0005-0000-0000-000080110000}"/>
    <cellStyle name="Normal 122 5 3 2" xfId="7419" xr:uid="{00000000-0005-0000-0000-000081110000}"/>
    <cellStyle name="Normal 122 5 3 2 2" xfId="16460" xr:uid="{00000000-0005-0000-0000-000082110000}"/>
    <cellStyle name="Normal 122 5 3 3" xfId="11947" xr:uid="{00000000-0005-0000-0000-000083110000}"/>
    <cellStyle name="Normal 122 5 4" xfId="5200" xr:uid="{00000000-0005-0000-0000-000084110000}"/>
    <cellStyle name="Normal 122 5 4 2" xfId="14241" xr:uid="{00000000-0005-0000-0000-000085110000}"/>
    <cellStyle name="Normal 122 5 5" xfId="9728" xr:uid="{00000000-0005-0000-0000-000086110000}"/>
    <cellStyle name="Normal 122 6" xfId="1241" xr:uid="{00000000-0005-0000-0000-000087110000}"/>
    <cellStyle name="Normal 122 6 2" xfId="2904" xr:uid="{00000000-0005-0000-0000-000088110000}"/>
    <cellStyle name="Normal 122 6 2 2" xfId="7421" xr:uid="{00000000-0005-0000-0000-000089110000}"/>
    <cellStyle name="Normal 122 6 2 2 2" xfId="16462" xr:uid="{00000000-0005-0000-0000-00008A110000}"/>
    <cellStyle name="Normal 122 6 2 3" xfId="11949" xr:uid="{00000000-0005-0000-0000-00008B110000}"/>
    <cellStyle name="Normal 122 6 3" xfId="5764" xr:uid="{00000000-0005-0000-0000-00008C110000}"/>
    <cellStyle name="Normal 122 6 3 2" xfId="14805" xr:uid="{00000000-0005-0000-0000-00008D110000}"/>
    <cellStyle name="Normal 122 6 4" xfId="10292" xr:uid="{00000000-0005-0000-0000-00008E110000}"/>
    <cellStyle name="Normal 122 7" xfId="2881" xr:uid="{00000000-0005-0000-0000-00008F110000}"/>
    <cellStyle name="Normal 122 7 2" xfId="7398" xr:uid="{00000000-0005-0000-0000-000090110000}"/>
    <cellStyle name="Normal 122 7 2 2" xfId="16439" xr:uid="{00000000-0005-0000-0000-000091110000}"/>
    <cellStyle name="Normal 122 7 3" xfId="11926" xr:uid="{00000000-0005-0000-0000-000092110000}"/>
    <cellStyle name="Normal 122 8" xfId="4636" xr:uid="{00000000-0005-0000-0000-000093110000}"/>
    <cellStyle name="Normal 122 8 2" xfId="13677" xr:uid="{00000000-0005-0000-0000-000094110000}"/>
    <cellStyle name="Normal 122 9" xfId="9164" xr:uid="{00000000-0005-0000-0000-000095110000}"/>
    <cellStyle name="Normal 123" xfId="29" xr:uid="{00000000-0005-0000-0000-000096110000}"/>
    <cellStyle name="Normal 123 2" xfId="125" xr:uid="{00000000-0005-0000-0000-000097110000}"/>
    <cellStyle name="Normal 123 2 2" xfId="354" xr:uid="{00000000-0005-0000-0000-000098110000}"/>
    <cellStyle name="Normal 123 2 2 2" xfId="918" xr:uid="{00000000-0005-0000-0000-000099110000}"/>
    <cellStyle name="Normal 123 2 2 2 2" xfId="2088" xr:uid="{00000000-0005-0000-0000-00009A110000}"/>
    <cellStyle name="Normal 123 2 2 2 2 2" xfId="2909" xr:uid="{00000000-0005-0000-0000-00009B110000}"/>
    <cellStyle name="Normal 123 2 2 2 2 2 2" xfId="7426" xr:uid="{00000000-0005-0000-0000-00009C110000}"/>
    <cellStyle name="Normal 123 2 2 2 2 2 2 2" xfId="16467" xr:uid="{00000000-0005-0000-0000-00009D110000}"/>
    <cellStyle name="Normal 123 2 2 2 2 2 3" xfId="11954" xr:uid="{00000000-0005-0000-0000-00009E110000}"/>
    <cellStyle name="Normal 123 2 2 2 2 3" xfId="6611" xr:uid="{00000000-0005-0000-0000-00009F110000}"/>
    <cellStyle name="Normal 123 2 2 2 2 3 2" xfId="15652" xr:uid="{00000000-0005-0000-0000-0000A0110000}"/>
    <cellStyle name="Normal 123 2 2 2 2 4" xfId="11139" xr:uid="{00000000-0005-0000-0000-0000A1110000}"/>
    <cellStyle name="Normal 123 2 2 2 3" xfId="2908" xr:uid="{00000000-0005-0000-0000-0000A2110000}"/>
    <cellStyle name="Normal 123 2 2 2 3 2" xfId="7425" xr:uid="{00000000-0005-0000-0000-0000A3110000}"/>
    <cellStyle name="Normal 123 2 2 2 3 2 2" xfId="16466" xr:uid="{00000000-0005-0000-0000-0000A4110000}"/>
    <cellStyle name="Normal 123 2 2 2 3 3" xfId="11953" xr:uid="{00000000-0005-0000-0000-0000A5110000}"/>
    <cellStyle name="Normal 123 2 2 2 4" xfId="5483" xr:uid="{00000000-0005-0000-0000-0000A6110000}"/>
    <cellStyle name="Normal 123 2 2 2 4 2" xfId="14524" xr:uid="{00000000-0005-0000-0000-0000A7110000}"/>
    <cellStyle name="Normal 123 2 2 2 5" xfId="10011" xr:uid="{00000000-0005-0000-0000-0000A8110000}"/>
    <cellStyle name="Normal 123 2 2 3" xfId="1524" xr:uid="{00000000-0005-0000-0000-0000A9110000}"/>
    <cellStyle name="Normal 123 2 2 3 2" xfId="2910" xr:uid="{00000000-0005-0000-0000-0000AA110000}"/>
    <cellStyle name="Normal 123 2 2 3 2 2" xfId="7427" xr:uid="{00000000-0005-0000-0000-0000AB110000}"/>
    <cellStyle name="Normal 123 2 2 3 2 2 2" xfId="16468" xr:uid="{00000000-0005-0000-0000-0000AC110000}"/>
    <cellStyle name="Normal 123 2 2 3 2 3" xfId="11955" xr:uid="{00000000-0005-0000-0000-0000AD110000}"/>
    <cellStyle name="Normal 123 2 2 3 3" xfId="6047" xr:uid="{00000000-0005-0000-0000-0000AE110000}"/>
    <cellStyle name="Normal 123 2 2 3 3 2" xfId="15088" xr:uid="{00000000-0005-0000-0000-0000AF110000}"/>
    <cellStyle name="Normal 123 2 2 3 4" xfId="10575" xr:uid="{00000000-0005-0000-0000-0000B0110000}"/>
    <cellStyle name="Normal 123 2 2 4" xfId="2907" xr:uid="{00000000-0005-0000-0000-0000B1110000}"/>
    <cellStyle name="Normal 123 2 2 4 2" xfId="7424" xr:uid="{00000000-0005-0000-0000-0000B2110000}"/>
    <cellStyle name="Normal 123 2 2 4 2 2" xfId="16465" xr:uid="{00000000-0005-0000-0000-0000B3110000}"/>
    <cellStyle name="Normal 123 2 2 4 3" xfId="11952" xr:uid="{00000000-0005-0000-0000-0000B4110000}"/>
    <cellStyle name="Normal 123 2 2 5" xfId="4919" xr:uid="{00000000-0005-0000-0000-0000B5110000}"/>
    <cellStyle name="Normal 123 2 2 5 2" xfId="13960" xr:uid="{00000000-0005-0000-0000-0000B6110000}"/>
    <cellStyle name="Normal 123 2 2 6" xfId="9447" xr:uid="{00000000-0005-0000-0000-0000B7110000}"/>
    <cellStyle name="Normal 123 2 3" xfId="542" xr:uid="{00000000-0005-0000-0000-0000B8110000}"/>
    <cellStyle name="Normal 123 2 3 2" xfId="1106" xr:uid="{00000000-0005-0000-0000-0000B9110000}"/>
    <cellStyle name="Normal 123 2 3 2 2" xfId="2276" xr:uid="{00000000-0005-0000-0000-0000BA110000}"/>
    <cellStyle name="Normal 123 2 3 2 2 2" xfId="2913" xr:uid="{00000000-0005-0000-0000-0000BB110000}"/>
    <cellStyle name="Normal 123 2 3 2 2 2 2" xfId="7430" xr:uid="{00000000-0005-0000-0000-0000BC110000}"/>
    <cellStyle name="Normal 123 2 3 2 2 2 2 2" xfId="16471" xr:uid="{00000000-0005-0000-0000-0000BD110000}"/>
    <cellStyle name="Normal 123 2 3 2 2 2 3" xfId="11958" xr:uid="{00000000-0005-0000-0000-0000BE110000}"/>
    <cellStyle name="Normal 123 2 3 2 2 3" xfId="6799" xr:uid="{00000000-0005-0000-0000-0000BF110000}"/>
    <cellStyle name="Normal 123 2 3 2 2 3 2" xfId="15840" xr:uid="{00000000-0005-0000-0000-0000C0110000}"/>
    <cellStyle name="Normal 123 2 3 2 2 4" xfId="11327" xr:uid="{00000000-0005-0000-0000-0000C1110000}"/>
    <cellStyle name="Normal 123 2 3 2 3" xfId="2912" xr:uid="{00000000-0005-0000-0000-0000C2110000}"/>
    <cellStyle name="Normal 123 2 3 2 3 2" xfId="7429" xr:uid="{00000000-0005-0000-0000-0000C3110000}"/>
    <cellStyle name="Normal 123 2 3 2 3 2 2" xfId="16470" xr:uid="{00000000-0005-0000-0000-0000C4110000}"/>
    <cellStyle name="Normal 123 2 3 2 3 3" xfId="11957" xr:uid="{00000000-0005-0000-0000-0000C5110000}"/>
    <cellStyle name="Normal 123 2 3 2 4" xfId="5671" xr:uid="{00000000-0005-0000-0000-0000C6110000}"/>
    <cellStyle name="Normal 123 2 3 2 4 2" xfId="14712" xr:uid="{00000000-0005-0000-0000-0000C7110000}"/>
    <cellStyle name="Normal 123 2 3 2 5" xfId="10199" xr:uid="{00000000-0005-0000-0000-0000C8110000}"/>
    <cellStyle name="Normal 123 2 3 3" xfId="1712" xr:uid="{00000000-0005-0000-0000-0000C9110000}"/>
    <cellStyle name="Normal 123 2 3 3 2" xfId="2914" xr:uid="{00000000-0005-0000-0000-0000CA110000}"/>
    <cellStyle name="Normal 123 2 3 3 2 2" xfId="7431" xr:uid="{00000000-0005-0000-0000-0000CB110000}"/>
    <cellStyle name="Normal 123 2 3 3 2 2 2" xfId="16472" xr:uid="{00000000-0005-0000-0000-0000CC110000}"/>
    <cellStyle name="Normal 123 2 3 3 2 3" xfId="11959" xr:uid="{00000000-0005-0000-0000-0000CD110000}"/>
    <cellStyle name="Normal 123 2 3 3 3" xfId="6235" xr:uid="{00000000-0005-0000-0000-0000CE110000}"/>
    <cellStyle name="Normal 123 2 3 3 3 2" xfId="15276" xr:uid="{00000000-0005-0000-0000-0000CF110000}"/>
    <cellStyle name="Normal 123 2 3 3 4" xfId="10763" xr:uid="{00000000-0005-0000-0000-0000D0110000}"/>
    <cellStyle name="Normal 123 2 3 4" xfId="2911" xr:uid="{00000000-0005-0000-0000-0000D1110000}"/>
    <cellStyle name="Normal 123 2 3 4 2" xfId="7428" xr:uid="{00000000-0005-0000-0000-0000D2110000}"/>
    <cellStyle name="Normal 123 2 3 4 2 2" xfId="16469" xr:uid="{00000000-0005-0000-0000-0000D3110000}"/>
    <cellStyle name="Normal 123 2 3 4 3" xfId="11956" xr:uid="{00000000-0005-0000-0000-0000D4110000}"/>
    <cellStyle name="Normal 123 2 3 5" xfId="5107" xr:uid="{00000000-0005-0000-0000-0000D5110000}"/>
    <cellStyle name="Normal 123 2 3 5 2" xfId="14148" xr:uid="{00000000-0005-0000-0000-0000D6110000}"/>
    <cellStyle name="Normal 123 2 3 6" xfId="9635" xr:uid="{00000000-0005-0000-0000-0000D7110000}"/>
    <cellStyle name="Normal 123 2 4" xfId="730" xr:uid="{00000000-0005-0000-0000-0000D8110000}"/>
    <cellStyle name="Normal 123 2 4 2" xfId="1900" xr:uid="{00000000-0005-0000-0000-0000D9110000}"/>
    <cellStyle name="Normal 123 2 4 2 2" xfId="2916" xr:uid="{00000000-0005-0000-0000-0000DA110000}"/>
    <cellStyle name="Normal 123 2 4 2 2 2" xfId="7433" xr:uid="{00000000-0005-0000-0000-0000DB110000}"/>
    <cellStyle name="Normal 123 2 4 2 2 2 2" xfId="16474" xr:uid="{00000000-0005-0000-0000-0000DC110000}"/>
    <cellStyle name="Normal 123 2 4 2 2 3" xfId="11961" xr:uid="{00000000-0005-0000-0000-0000DD110000}"/>
    <cellStyle name="Normal 123 2 4 2 3" xfId="6423" xr:uid="{00000000-0005-0000-0000-0000DE110000}"/>
    <cellStyle name="Normal 123 2 4 2 3 2" xfId="15464" xr:uid="{00000000-0005-0000-0000-0000DF110000}"/>
    <cellStyle name="Normal 123 2 4 2 4" xfId="10951" xr:uid="{00000000-0005-0000-0000-0000E0110000}"/>
    <cellStyle name="Normal 123 2 4 3" xfId="2915" xr:uid="{00000000-0005-0000-0000-0000E1110000}"/>
    <cellStyle name="Normal 123 2 4 3 2" xfId="7432" xr:uid="{00000000-0005-0000-0000-0000E2110000}"/>
    <cellStyle name="Normal 123 2 4 3 2 2" xfId="16473" xr:uid="{00000000-0005-0000-0000-0000E3110000}"/>
    <cellStyle name="Normal 123 2 4 3 3" xfId="11960" xr:uid="{00000000-0005-0000-0000-0000E4110000}"/>
    <cellStyle name="Normal 123 2 4 4" xfId="5295" xr:uid="{00000000-0005-0000-0000-0000E5110000}"/>
    <cellStyle name="Normal 123 2 4 4 2" xfId="14336" xr:uid="{00000000-0005-0000-0000-0000E6110000}"/>
    <cellStyle name="Normal 123 2 4 5" xfId="9823" xr:uid="{00000000-0005-0000-0000-0000E7110000}"/>
    <cellStyle name="Normal 123 2 5" xfId="1336" xr:uid="{00000000-0005-0000-0000-0000E8110000}"/>
    <cellStyle name="Normal 123 2 5 2" xfId="2917" xr:uid="{00000000-0005-0000-0000-0000E9110000}"/>
    <cellStyle name="Normal 123 2 5 2 2" xfId="7434" xr:uid="{00000000-0005-0000-0000-0000EA110000}"/>
    <cellStyle name="Normal 123 2 5 2 2 2" xfId="16475" xr:uid="{00000000-0005-0000-0000-0000EB110000}"/>
    <cellStyle name="Normal 123 2 5 2 3" xfId="11962" xr:uid="{00000000-0005-0000-0000-0000EC110000}"/>
    <cellStyle name="Normal 123 2 5 3" xfId="5859" xr:uid="{00000000-0005-0000-0000-0000ED110000}"/>
    <cellStyle name="Normal 123 2 5 3 2" xfId="14900" xr:uid="{00000000-0005-0000-0000-0000EE110000}"/>
    <cellStyle name="Normal 123 2 5 4" xfId="10387" xr:uid="{00000000-0005-0000-0000-0000EF110000}"/>
    <cellStyle name="Normal 123 2 6" xfId="2906" xr:uid="{00000000-0005-0000-0000-0000F0110000}"/>
    <cellStyle name="Normal 123 2 6 2" xfId="7423" xr:uid="{00000000-0005-0000-0000-0000F1110000}"/>
    <cellStyle name="Normal 123 2 6 2 2" xfId="16464" xr:uid="{00000000-0005-0000-0000-0000F2110000}"/>
    <cellStyle name="Normal 123 2 6 3" xfId="11951" xr:uid="{00000000-0005-0000-0000-0000F3110000}"/>
    <cellStyle name="Normal 123 2 7" xfId="4731" xr:uid="{00000000-0005-0000-0000-0000F4110000}"/>
    <cellStyle name="Normal 123 2 7 2" xfId="13772" xr:uid="{00000000-0005-0000-0000-0000F5110000}"/>
    <cellStyle name="Normal 123 2 8" xfId="9259" xr:uid="{00000000-0005-0000-0000-0000F6110000}"/>
    <cellStyle name="Normal 123 3" xfId="260" xr:uid="{00000000-0005-0000-0000-0000F7110000}"/>
    <cellStyle name="Normal 123 3 2" xfId="824" xr:uid="{00000000-0005-0000-0000-0000F8110000}"/>
    <cellStyle name="Normal 123 3 2 2" xfId="1994" xr:uid="{00000000-0005-0000-0000-0000F9110000}"/>
    <cellStyle name="Normal 123 3 2 2 2" xfId="2920" xr:uid="{00000000-0005-0000-0000-0000FA110000}"/>
    <cellStyle name="Normal 123 3 2 2 2 2" xfId="7437" xr:uid="{00000000-0005-0000-0000-0000FB110000}"/>
    <cellStyle name="Normal 123 3 2 2 2 2 2" xfId="16478" xr:uid="{00000000-0005-0000-0000-0000FC110000}"/>
    <cellStyle name="Normal 123 3 2 2 2 3" xfId="11965" xr:uid="{00000000-0005-0000-0000-0000FD110000}"/>
    <cellStyle name="Normal 123 3 2 2 3" xfId="6517" xr:uid="{00000000-0005-0000-0000-0000FE110000}"/>
    <cellStyle name="Normal 123 3 2 2 3 2" xfId="15558" xr:uid="{00000000-0005-0000-0000-0000FF110000}"/>
    <cellStyle name="Normal 123 3 2 2 4" xfId="11045" xr:uid="{00000000-0005-0000-0000-000000120000}"/>
    <cellStyle name="Normal 123 3 2 3" xfId="2919" xr:uid="{00000000-0005-0000-0000-000001120000}"/>
    <cellStyle name="Normal 123 3 2 3 2" xfId="7436" xr:uid="{00000000-0005-0000-0000-000002120000}"/>
    <cellStyle name="Normal 123 3 2 3 2 2" xfId="16477" xr:uid="{00000000-0005-0000-0000-000003120000}"/>
    <cellStyle name="Normal 123 3 2 3 3" xfId="11964" xr:uid="{00000000-0005-0000-0000-000004120000}"/>
    <cellStyle name="Normal 123 3 2 4" xfId="5389" xr:uid="{00000000-0005-0000-0000-000005120000}"/>
    <cellStyle name="Normal 123 3 2 4 2" xfId="14430" xr:uid="{00000000-0005-0000-0000-000006120000}"/>
    <cellStyle name="Normal 123 3 2 5" xfId="9917" xr:uid="{00000000-0005-0000-0000-000007120000}"/>
    <cellStyle name="Normal 123 3 3" xfId="1430" xr:uid="{00000000-0005-0000-0000-000008120000}"/>
    <cellStyle name="Normal 123 3 3 2" xfId="2921" xr:uid="{00000000-0005-0000-0000-000009120000}"/>
    <cellStyle name="Normal 123 3 3 2 2" xfId="7438" xr:uid="{00000000-0005-0000-0000-00000A120000}"/>
    <cellStyle name="Normal 123 3 3 2 2 2" xfId="16479" xr:uid="{00000000-0005-0000-0000-00000B120000}"/>
    <cellStyle name="Normal 123 3 3 2 3" xfId="11966" xr:uid="{00000000-0005-0000-0000-00000C120000}"/>
    <cellStyle name="Normal 123 3 3 3" xfId="5953" xr:uid="{00000000-0005-0000-0000-00000D120000}"/>
    <cellStyle name="Normal 123 3 3 3 2" xfId="14994" xr:uid="{00000000-0005-0000-0000-00000E120000}"/>
    <cellStyle name="Normal 123 3 3 4" xfId="10481" xr:uid="{00000000-0005-0000-0000-00000F120000}"/>
    <cellStyle name="Normal 123 3 4" xfId="2918" xr:uid="{00000000-0005-0000-0000-000010120000}"/>
    <cellStyle name="Normal 123 3 4 2" xfId="7435" xr:uid="{00000000-0005-0000-0000-000011120000}"/>
    <cellStyle name="Normal 123 3 4 2 2" xfId="16476" xr:uid="{00000000-0005-0000-0000-000012120000}"/>
    <cellStyle name="Normal 123 3 4 3" xfId="11963" xr:uid="{00000000-0005-0000-0000-000013120000}"/>
    <cellStyle name="Normal 123 3 5" xfId="4825" xr:uid="{00000000-0005-0000-0000-000014120000}"/>
    <cellStyle name="Normal 123 3 5 2" xfId="13866" xr:uid="{00000000-0005-0000-0000-000015120000}"/>
    <cellStyle name="Normal 123 3 6" xfId="9353" xr:uid="{00000000-0005-0000-0000-000016120000}"/>
    <cellStyle name="Normal 123 4" xfId="448" xr:uid="{00000000-0005-0000-0000-000017120000}"/>
    <cellStyle name="Normal 123 4 2" xfId="1012" xr:uid="{00000000-0005-0000-0000-000018120000}"/>
    <cellStyle name="Normal 123 4 2 2" xfId="2182" xr:uid="{00000000-0005-0000-0000-000019120000}"/>
    <cellStyle name="Normal 123 4 2 2 2" xfId="2924" xr:uid="{00000000-0005-0000-0000-00001A120000}"/>
    <cellStyle name="Normal 123 4 2 2 2 2" xfId="7441" xr:uid="{00000000-0005-0000-0000-00001B120000}"/>
    <cellStyle name="Normal 123 4 2 2 2 2 2" xfId="16482" xr:uid="{00000000-0005-0000-0000-00001C120000}"/>
    <cellStyle name="Normal 123 4 2 2 2 3" xfId="11969" xr:uid="{00000000-0005-0000-0000-00001D120000}"/>
    <cellStyle name="Normal 123 4 2 2 3" xfId="6705" xr:uid="{00000000-0005-0000-0000-00001E120000}"/>
    <cellStyle name="Normal 123 4 2 2 3 2" xfId="15746" xr:uid="{00000000-0005-0000-0000-00001F120000}"/>
    <cellStyle name="Normal 123 4 2 2 4" xfId="11233" xr:uid="{00000000-0005-0000-0000-000020120000}"/>
    <cellStyle name="Normal 123 4 2 3" xfId="2923" xr:uid="{00000000-0005-0000-0000-000021120000}"/>
    <cellStyle name="Normal 123 4 2 3 2" xfId="7440" xr:uid="{00000000-0005-0000-0000-000022120000}"/>
    <cellStyle name="Normal 123 4 2 3 2 2" xfId="16481" xr:uid="{00000000-0005-0000-0000-000023120000}"/>
    <cellStyle name="Normal 123 4 2 3 3" xfId="11968" xr:uid="{00000000-0005-0000-0000-000024120000}"/>
    <cellStyle name="Normal 123 4 2 4" xfId="5577" xr:uid="{00000000-0005-0000-0000-000025120000}"/>
    <cellStyle name="Normal 123 4 2 4 2" xfId="14618" xr:uid="{00000000-0005-0000-0000-000026120000}"/>
    <cellStyle name="Normal 123 4 2 5" xfId="10105" xr:uid="{00000000-0005-0000-0000-000027120000}"/>
    <cellStyle name="Normal 123 4 3" xfId="1618" xr:uid="{00000000-0005-0000-0000-000028120000}"/>
    <cellStyle name="Normal 123 4 3 2" xfId="2925" xr:uid="{00000000-0005-0000-0000-000029120000}"/>
    <cellStyle name="Normal 123 4 3 2 2" xfId="7442" xr:uid="{00000000-0005-0000-0000-00002A120000}"/>
    <cellStyle name="Normal 123 4 3 2 2 2" xfId="16483" xr:uid="{00000000-0005-0000-0000-00002B120000}"/>
    <cellStyle name="Normal 123 4 3 2 3" xfId="11970" xr:uid="{00000000-0005-0000-0000-00002C120000}"/>
    <cellStyle name="Normal 123 4 3 3" xfId="6141" xr:uid="{00000000-0005-0000-0000-00002D120000}"/>
    <cellStyle name="Normal 123 4 3 3 2" xfId="15182" xr:uid="{00000000-0005-0000-0000-00002E120000}"/>
    <cellStyle name="Normal 123 4 3 4" xfId="10669" xr:uid="{00000000-0005-0000-0000-00002F120000}"/>
    <cellStyle name="Normal 123 4 4" xfId="2922" xr:uid="{00000000-0005-0000-0000-000030120000}"/>
    <cellStyle name="Normal 123 4 4 2" xfId="7439" xr:uid="{00000000-0005-0000-0000-000031120000}"/>
    <cellStyle name="Normal 123 4 4 2 2" xfId="16480" xr:uid="{00000000-0005-0000-0000-000032120000}"/>
    <cellStyle name="Normal 123 4 4 3" xfId="11967" xr:uid="{00000000-0005-0000-0000-000033120000}"/>
    <cellStyle name="Normal 123 4 5" xfId="5013" xr:uid="{00000000-0005-0000-0000-000034120000}"/>
    <cellStyle name="Normal 123 4 5 2" xfId="14054" xr:uid="{00000000-0005-0000-0000-000035120000}"/>
    <cellStyle name="Normal 123 4 6" xfId="9541" xr:uid="{00000000-0005-0000-0000-000036120000}"/>
    <cellStyle name="Normal 123 5" xfId="636" xr:uid="{00000000-0005-0000-0000-000037120000}"/>
    <cellStyle name="Normal 123 5 2" xfId="1806" xr:uid="{00000000-0005-0000-0000-000038120000}"/>
    <cellStyle name="Normal 123 5 2 2" xfId="2927" xr:uid="{00000000-0005-0000-0000-000039120000}"/>
    <cellStyle name="Normal 123 5 2 2 2" xfId="7444" xr:uid="{00000000-0005-0000-0000-00003A120000}"/>
    <cellStyle name="Normal 123 5 2 2 2 2" xfId="16485" xr:uid="{00000000-0005-0000-0000-00003B120000}"/>
    <cellStyle name="Normal 123 5 2 2 3" xfId="11972" xr:uid="{00000000-0005-0000-0000-00003C120000}"/>
    <cellStyle name="Normal 123 5 2 3" xfId="6329" xr:uid="{00000000-0005-0000-0000-00003D120000}"/>
    <cellStyle name="Normal 123 5 2 3 2" xfId="15370" xr:uid="{00000000-0005-0000-0000-00003E120000}"/>
    <cellStyle name="Normal 123 5 2 4" xfId="10857" xr:uid="{00000000-0005-0000-0000-00003F120000}"/>
    <cellStyle name="Normal 123 5 3" xfId="2926" xr:uid="{00000000-0005-0000-0000-000040120000}"/>
    <cellStyle name="Normal 123 5 3 2" xfId="7443" xr:uid="{00000000-0005-0000-0000-000041120000}"/>
    <cellStyle name="Normal 123 5 3 2 2" xfId="16484" xr:uid="{00000000-0005-0000-0000-000042120000}"/>
    <cellStyle name="Normal 123 5 3 3" xfId="11971" xr:uid="{00000000-0005-0000-0000-000043120000}"/>
    <cellStyle name="Normal 123 5 4" xfId="5201" xr:uid="{00000000-0005-0000-0000-000044120000}"/>
    <cellStyle name="Normal 123 5 4 2" xfId="14242" xr:uid="{00000000-0005-0000-0000-000045120000}"/>
    <cellStyle name="Normal 123 5 5" xfId="9729" xr:uid="{00000000-0005-0000-0000-000046120000}"/>
    <cellStyle name="Normal 123 6" xfId="1242" xr:uid="{00000000-0005-0000-0000-000047120000}"/>
    <cellStyle name="Normal 123 6 2" xfId="2928" xr:uid="{00000000-0005-0000-0000-000048120000}"/>
    <cellStyle name="Normal 123 6 2 2" xfId="7445" xr:uid="{00000000-0005-0000-0000-000049120000}"/>
    <cellStyle name="Normal 123 6 2 2 2" xfId="16486" xr:uid="{00000000-0005-0000-0000-00004A120000}"/>
    <cellStyle name="Normal 123 6 2 3" xfId="11973" xr:uid="{00000000-0005-0000-0000-00004B120000}"/>
    <cellStyle name="Normal 123 6 3" xfId="5765" xr:uid="{00000000-0005-0000-0000-00004C120000}"/>
    <cellStyle name="Normal 123 6 3 2" xfId="14806" xr:uid="{00000000-0005-0000-0000-00004D120000}"/>
    <cellStyle name="Normal 123 6 4" xfId="10293" xr:uid="{00000000-0005-0000-0000-00004E120000}"/>
    <cellStyle name="Normal 123 7" xfId="2905" xr:uid="{00000000-0005-0000-0000-00004F120000}"/>
    <cellStyle name="Normal 123 7 2" xfId="7422" xr:uid="{00000000-0005-0000-0000-000050120000}"/>
    <cellStyle name="Normal 123 7 2 2" xfId="16463" xr:uid="{00000000-0005-0000-0000-000051120000}"/>
    <cellStyle name="Normal 123 7 3" xfId="11950" xr:uid="{00000000-0005-0000-0000-000052120000}"/>
    <cellStyle name="Normal 123 8" xfId="4637" xr:uid="{00000000-0005-0000-0000-000053120000}"/>
    <cellStyle name="Normal 123 8 2" xfId="13678" xr:uid="{00000000-0005-0000-0000-000054120000}"/>
    <cellStyle name="Normal 123 9" xfId="9165" xr:uid="{00000000-0005-0000-0000-000055120000}"/>
    <cellStyle name="Normal 124" xfId="30" xr:uid="{00000000-0005-0000-0000-000056120000}"/>
    <cellStyle name="Normal 124 2" xfId="126" xr:uid="{00000000-0005-0000-0000-000057120000}"/>
    <cellStyle name="Normal 124 2 2" xfId="355" xr:uid="{00000000-0005-0000-0000-000058120000}"/>
    <cellStyle name="Normal 124 2 2 2" xfId="919" xr:uid="{00000000-0005-0000-0000-000059120000}"/>
    <cellStyle name="Normal 124 2 2 2 2" xfId="2089" xr:uid="{00000000-0005-0000-0000-00005A120000}"/>
    <cellStyle name="Normal 124 2 2 2 2 2" xfId="2933" xr:uid="{00000000-0005-0000-0000-00005B120000}"/>
    <cellStyle name="Normal 124 2 2 2 2 2 2" xfId="7450" xr:uid="{00000000-0005-0000-0000-00005C120000}"/>
    <cellStyle name="Normal 124 2 2 2 2 2 2 2" xfId="16491" xr:uid="{00000000-0005-0000-0000-00005D120000}"/>
    <cellStyle name="Normal 124 2 2 2 2 2 3" xfId="11978" xr:uid="{00000000-0005-0000-0000-00005E120000}"/>
    <cellStyle name="Normal 124 2 2 2 2 3" xfId="6612" xr:uid="{00000000-0005-0000-0000-00005F120000}"/>
    <cellStyle name="Normal 124 2 2 2 2 3 2" xfId="15653" xr:uid="{00000000-0005-0000-0000-000060120000}"/>
    <cellStyle name="Normal 124 2 2 2 2 4" xfId="11140" xr:uid="{00000000-0005-0000-0000-000061120000}"/>
    <cellStyle name="Normal 124 2 2 2 3" xfId="2932" xr:uid="{00000000-0005-0000-0000-000062120000}"/>
    <cellStyle name="Normal 124 2 2 2 3 2" xfId="7449" xr:uid="{00000000-0005-0000-0000-000063120000}"/>
    <cellStyle name="Normal 124 2 2 2 3 2 2" xfId="16490" xr:uid="{00000000-0005-0000-0000-000064120000}"/>
    <cellStyle name="Normal 124 2 2 2 3 3" xfId="11977" xr:uid="{00000000-0005-0000-0000-000065120000}"/>
    <cellStyle name="Normal 124 2 2 2 4" xfId="5484" xr:uid="{00000000-0005-0000-0000-000066120000}"/>
    <cellStyle name="Normal 124 2 2 2 4 2" xfId="14525" xr:uid="{00000000-0005-0000-0000-000067120000}"/>
    <cellStyle name="Normal 124 2 2 2 5" xfId="10012" xr:uid="{00000000-0005-0000-0000-000068120000}"/>
    <cellStyle name="Normal 124 2 2 3" xfId="1525" xr:uid="{00000000-0005-0000-0000-000069120000}"/>
    <cellStyle name="Normal 124 2 2 3 2" xfId="2934" xr:uid="{00000000-0005-0000-0000-00006A120000}"/>
    <cellStyle name="Normal 124 2 2 3 2 2" xfId="7451" xr:uid="{00000000-0005-0000-0000-00006B120000}"/>
    <cellStyle name="Normal 124 2 2 3 2 2 2" xfId="16492" xr:uid="{00000000-0005-0000-0000-00006C120000}"/>
    <cellStyle name="Normal 124 2 2 3 2 3" xfId="11979" xr:uid="{00000000-0005-0000-0000-00006D120000}"/>
    <cellStyle name="Normal 124 2 2 3 3" xfId="6048" xr:uid="{00000000-0005-0000-0000-00006E120000}"/>
    <cellStyle name="Normal 124 2 2 3 3 2" xfId="15089" xr:uid="{00000000-0005-0000-0000-00006F120000}"/>
    <cellStyle name="Normal 124 2 2 3 4" xfId="10576" xr:uid="{00000000-0005-0000-0000-000070120000}"/>
    <cellStyle name="Normal 124 2 2 4" xfId="2931" xr:uid="{00000000-0005-0000-0000-000071120000}"/>
    <cellStyle name="Normal 124 2 2 4 2" xfId="7448" xr:uid="{00000000-0005-0000-0000-000072120000}"/>
    <cellStyle name="Normal 124 2 2 4 2 2" xfId="16489" xr:uid="{00000000-0005-0000-0000-000073120000}"/>
    <cellStyle name="Normal 124 2 2 4 3" xfId="11976" xr:uid="{00000000-0005-0000-0000-000074120000}"/>
    <cellStyle name="Normal 124 2 2 5" xfId="4920" xr:uid="{00000000-0005-0000-0000-000075120000}"/>
    <cellStyle name="Normal 124 2 2 5 2" xfId="13961" xr:uid="{00000000-0005-0000-0000-000076120000}"/>
    <cellStyle name="Normal 124 2 2 6" xfId="9448" xr:uid="{00000000-0005-0000-0000-000077120000}"/>
    <cellStyle name="Normal 124 2 3" xfId="543" xr:uid="{00000000-0005-0000-0000-000078120000}"/>
    <cellStyle name="Normal 124 2 3 2" xfId="1107" xr:uid="{00000000-0005-0000-0000-000079120000}"/>
    <cellStyle name="Normal 124 2 3 2 2" xfId="2277" xr:uid="{00000000-0005-0000-0000-00007A120000}"/>
    <cellStyle name="Normal 124 2 3 2 2 2" xfId="2937" xr:uid="{00000000-0005-0000-0000-00007B120000}"/>
    <cellStyle name="Normal 124 2 3 2 2 2 2" xfId="7454" xr:uid="{00000000-0005-0000-0000-00007C120000}"/>
    <cellStyle name="Normal 124 2 3 2 2 2 2 2" xfId="16495" xr:uid="{00000000-0005-0000-0000-00007D120000}"/>
    <cellStyle name="Normal 124 2 3 2 2 2 3" xfId="11982" xr:uid="{00000000-0005-0000-0000-00007E120000}"/>
    <cellStyle name="Normal 124 2 3 2 2 3" xfId="6800" xr:uid="{00000000-0005-0000-0000-00007F120000}"/>
    <cellStyle name="Normal 124 2 3 2 2 3 2" xfId="15841" xr:uid="{00000000-0005-0000-0000-000080120000}"/>
    <cellStyle name="Normal 124 2 3 2 2 4" xfId="11328" xr:uid="{00000000-0005-0000-0000-000081120000}"/>
    <cellStyle name="Normal 124 2 3 2 3" xfId="2936" xr:uid="{00000000-0005-0000-0000-000082120000}"/>
    <cellStyle name="Normal 124 2 3 2 3 2" xfId="7453" xr:uid="{00000000-0005-0000-0000-000083120000}"/>
    <cellStyle name="Normal 124 2 3 2 3 2 2" xfId="16494" xr:uid="{00000000-0005-0000-0000-000084120000}"/>
    <cellStyle name="Normal 124 2 3 2 3 3" xfId="11981" xr:uid="{00000000-0005-0000-0000-000085120000}"/>
    <cellStyle name="Normal 124 2 3 2 4" xfId="5672" xr:uid="{00000000-0005-0000-0000-000086120000}"/>
    <cellStyle name="Normal 124 2 3 2 4 2" xfId="14713" xr:uid="{00000000-0005-0000-0000-000087120000}"/>
    <cellStyle name="Normal 124 2 3 2 5" xfId="10200" xr:uid="{00000000-0005-0000-0000-000088120000}"/>
    <cellStyle name="Normal 124 2 3 3" xfId="1713" xr:uid="{00000000-0005-0000-0000-000089120000}"/>
    <cellStyle name="Normal 124 2 3 3 2" xfId="2938" xr:uid="{00000000-0005-0000-0000-00008A120000}"/>
    <cellStyle name="Normal 124 2 3 3 2 2" xfId="7455" xr:uid="{00000000-0005-0000-0000-00008B120000}"/>
    <cellStyle name="Normal 124 2 3 3 2 2 2" xfId="16496" xr:uid="{00000000-0005-0000-0000-00008C120000}"/>
    <cellStyle name="Normal 124 2 3 3 2 3" xfId="11983" xr:uid="{00000000-0005-0000-0000-00008D120000}"/>
    <cellStyle name="Normal 124 2 3 3 3" xfId="6236" xr:uid="{00000000-0005-0000-0000-00008E120000}"/>
    <cellStyle name="Normal 124 2 3 3 3 2" xfId="15277" xr:uid="{00000000-0005-0000-0000-00008F120000}"/>
    <cellStyle name="Normal 124 2 3 3 4" xfId="10764" xr:uid="{00000000-0005-0000-0000-000090120000}"/>
    <cellStyle name="Normal 124 2 3 4" xfId="2935" xr:uid="{00000000-0005-0000-0000-000091120000}"/>
    <cellStyle name="Normal 124 2 3 4 2" xfId="7452" xr:uid="{00000000-0005-0000-0000-000092120000}"/>
    <cellStyle name="Normal 124 2 3 4 2 2" xfId="16493" xr:uid="{00000000-0005-0000-0000-000093120000}"/>
    <cellStyle name="Normal 124 2 3 4 3" xfId="11980" xr:uid="{00000000-0005-0000-0000-000094120000}"/>
    <cellStyle name="Normal 124 2 3 5" xfId="5108" xr:uid="{00000000-0005-0000-0000-000095120000}"/>
    <cellStyle name="Normal 124 2 3 5 2" xfId="14149" xr:uid="{00000000-0005-0000-0000-000096120000}"/>
    <cellStyle name="Normal 124 2 3 6" xfId="9636" xr:uid="{00000000-0005-0000-0000-000097120000}"/>
    <cellStyle name="Normal 124 2 4" xfId="731" xr:uid="{00000000-0005-0000-0000-000098120000}"/>
    <cellStyle name="Normal 124 2 4 2" xfId="1901" xr:uid="{00000000-0005-0000-0000-000099120000}"/>
    <cellStyle name="Normal 124 2 4 2 2" xfId="2940" xr:uid="{00000000-0005-0000-0000-00009A120000}"/>
    <cellStyle name="Normal 124 2 4 2 2 2" xfId="7457" xr:uid="{00000000-0005-0000-0000-00009B120000}"/>
    <cellStyle name="Normal 124 2 4 2 2 2 2" xfId="16498" xr:uid="{00000000-0005-0000-0000-00009C120000}"/>
    <cellStyle name="Normal 124 2 4 2 2 3" xfId="11985" xr:uid="{00000000-0005-0000-0000-00009D120000}"/>
    <cellStyle name="Normal 124 2 4 2 3" xfId="6424" xr:uid="{00000000-0005-0000-0000-00009E120000}"/>
    <cellStyle name="Normal 124 2 4 2 3 2" xfId="15465" xr:uid="{00000000-0005-0000-0000-00009F120000}"/>
    <cellStyle name="Normal 124 2 4 2 4" xfId="10952" xr:uid="{00000000-0005-0000-0000-0000A0120000}"/>
    <cellStyle name="Normal 124 2 4 3" xfId="2939" xr:uid="{00000000-0005-0000-0000-0000A1120000}"/>
    <cellStyle name="Normal 124 2 4 3 2" xfId="7456" xr:uid="{00000000-0005-0000-0000-0000A2120000}"/>
    <cellStyle name="Normal 124 2 4 3 2 2" xfId="16497" xr:uid="{00000000-0005-0000-0000-0000A3120000}"/>
    <cellStyle name="Normal 124 2 4 3 3" xfId="11984" xr:uid="{00000000-0005-0000-0000-0000A4120000}"/>
    <cellStyle name="Normal 124 2 4 4" xfId="5296" xr:uid="{00000000-0005-0000-0000-0000A5120000}"/>
    <cellStyle name="Normal 124 2 4 4 2" xfId="14337" xr:uid="{00000000-0005-0000-0000-0000A6120000}"/>
    <cellStyle name="Normal 124 2 4 5" xfId="9824" xr:uid="{00000000-0005-0000-0000-0000A7120000}"/>
    <cellStyle name="Normal 124 2 5" xfId="1337" xr:uid="{00000000-0005-0000-0000-0000A8120000}"/>
    <cellStyle name="Normal 124 2 5 2" xfId="2941" xr:uid="{00000000-0005-0000-0000-0000A9120000}"/>
    <cellStyle name="Normal 124 2 5 2 2" xfId="7458" xr:uid="{00000000-0005-0000-0000-0000AA120000}"/>
    <cellStyle name="Normal 124 2 5 2 2 2" xfId="16499" xr:uid="{00000000-0005-0000-0000-0000AB120000}"/>
    <cellStyle name="Normal 124 2 5 2 3" xfId="11986" xr:uid="{00000000-0005-0000-0000-0000AC120000}"/>
    <cellStyle name="Normal 124 2 5 3" xfId="5860" xr:uid="{00000000-0005-0000-0000-0000AD120000}"/>
    <cellStyle name="Normal 124 2 5 3 2" xfId="14901" xr:uid="{00000000-0005-0000-0000-0000AE120000}"/>
    <cellStyle name="Normal 124 2 5 4" xfId="10388" xr:uid="{00000000-0005-0000-0000-0000AF120000}"/>
    <cellStyle name="Normal 124 2 6" xfId="2930" xr:uid="{00000000-0005-0000-0000-0000B0120000}"/>
    <cellStyle name="Normal 124 2 6 2" xfId="7447" xr:uid="{00000000-0005-0000-0000-0000B1120000}"/>
    <cellStyle name="Normal 124 2 6 2 2" xfId="16488" xr:uid="{00000000-0005-0000-0000-0000B2120000}"/>
    <cellStyle name="Normal 124 2 6 3" xfId="11975" xr:uid="{00000000-0005-0000-0000-0000B3120000}"/>
    <cellStyle name="Normal 124 2 7" xfId="4732" xr:uid="{00000000-0005-0000-0000-0000B4120000}"/>
    <cellStyle name="Normal 124 2 7 2" xfId="13773" xr:uid="{00000000-0005-0000-0000-0000B5120000}"/>
    <cellStyle name="Normal 124 2 8" xfId="9260" xr:uid="{00000000-0005-0000-0000-0000B6120000}"/>
    <cellStyle name="Normal 124 3" xfId="261" xr:uid="{00000000-0005-0000-0000-0000B7120000}"/>
    <cellStyle name="Normal 124 3 2" xfId="825" xr:uid="{00000000-0005-0000-0000-0000B8120000}"/>
    <cellStyle name="Normal 124 3 2 2" xfId="1995" xr:uid="{00000000-0005-0000-0000-0000B9120000}"/>
    <cellStyle name="Normal 124 3 2 2 2" xfId="2944" xr:uid="{00000000-0005-0000-0000-0000BA120000}"/>
    <cellStyle name="Normal 124 3 2 2 2 2" xfId="7461" xr:uid="{00000000-0005-0000-0000-0000BB120000}"/>
    <cellStyle name="Normal 124 3 2 2 2 2 2" xfId="16502" xr:uid="{00000000-0005-0000-0000-0000BC120000}"/>
    <cellStyle name="Normal 124 3 2 2 2 3" xfId="11989" xr:uid="{00000000-0005-0000-0000-0000BD120000}"/>
    <cellStyle name="Normal 124 3 2 2 3" xfId="6518" xr:uid="{00000000-0005-0000-0000-0000BE120000}"/>
    <cellStyle name="Normal 124 3 2 2 3 2" xfId="15559" xr:uid="{00000000-0005-0000-0000-0000BF120000}"/>
    <cellStyle name="Normal 124 3 2 2 4" xfId="11046" xr:uid="{00000000-0005-0000-0000-0000C0120000}"/>
    <cellStyle name="Normal 124 3 2 3" xfId="2943" xr:uid="{00000000-0005-0000-0000-0000C1120000}"/>
    <cellStyle name="Normal 124 3 2 3 2" xfId="7460" xr:uid="{00000000-0005-0000-0000-0000C2120000}"/>
    <cellStyle name="Normal 124 3 2 3 2 2" xfId="16501" xr:uid="{00000000-0005-0000-0000-0000C3120000}"/>
    <cellStyle name="Normal 124 3 2 3 3" xfId="11988" xr:uid="{00000000-0005-0000-0000-0000C4120000}"/>
    <cellStyle name="Normal 124 3 2 4" xfId="5390" xr:uid="{00000000-0005-0000-0000-0000C5120000}"/>
    <cellStyle name="Normal 124 3 2 4 2" xfId="14431" xr:uid="{00000000-0005-0000-0000-0000C6120000}"/>
    <cellStyle name="Normal 124 3 2 5" xfId="9918" xr:uid="{00000000-0005-0000-0000-0000C7120000}"/>
    <cellStyle name="Normal 124 3 3" xfId="1431" xr:uid="{00000000-0005-0000-0000-0000C8120000}"/>
    <cellStyle name="Normal 124 3 3 2" xfId="2945" xr:uid="{00000000-0005-0000-0000-0000C9120000}"/>
    <cellStyle name="Normal 124 3 3 2 2" xfId="7462" xr:uid="{00000000-0005-0000-0000-0000CA120000}"/>
    <cellStyle name="Normal 124 3 3 2 2 2" xfId="16503" xr:uid="{00000000-0005-0000-0000-0000CB120000}"/>
    <cellStyle name="Normal 124 3 3 2 3" xfId="11990" xr:uid="{00000000-0005-0000-0000-0000CC120000}"/>
    <cellStyle name="Normal 124 3 3 3" xfId="5954" xr:uid="{00000000-0005-0000-0000-0000CD120000}"/>
    <cellStyle name="Normal 124 3 3 3 2" xfId="14995" xr:uid="{00000000-0005-0000-0000-0000CE120000}"/>
    <cellStyle name="Normal 124 3 3 4" xfId="10482" xr:uid="{00000000-0005-0000-0000-0000CF120000}"/>
    <cellStyle name="Normal 124 3 4" xfId="2942" xr:uid="{00000000-0005-0000-0000-0000D0120000}"/>
    <cellStyle name="Normal 124 3 4 2" xfId="7459" xr:uid="{00000000-0005-0000-0000-0000D1120000}"/>
    <cellStyle name="Normal 124 3 4 2 2" xfId="16500" xr:uid="{00000000-0005-0000-0000-0000D2120000}"/>
    <cellStyle name="Normal 124 3 4 3" xfId="11987" xr:uid="{00000000-0005-0000-0000-0000D3120000}"/>
    <cellStyle name="Normal 124 3 5" xfId="4826" xr:uid="{00000000-0005-0000-0000-0000D4120000}"/>
    <cellStyle name="Normal 124 3 5 2" xfId="13867" xr:uid="{00000000-0005-0000-0000-0000D5120000}"/>
    <cellStyle name="Normal 124 3 6" xfId="9354" xr:uid="{00000000-0005-0000-0000-0000D6120000}"/>
    <cellStyle name="Normal 124 4" xfId="449" xr:uid="{00000000-0005-0000-0000-0000D7120000}"/>
    <cellStyle name="Normal 124 4 2" xfId="1013" xr:uid="{00000000-0005-0000-0000-0000D8120000}"/>
    <cellStyle name="Normal 124 4 2 2" xfId="2183" xr:uid="{00000000-0005-0000-0000-0000D9120000}"/>
    <cellStyle name="Normal 124 4 2 2 2" xfId="2948" xr:uid="{00000000-0005-0000-0000-0000DA120000}"/>
    <cellStyle name="Normal 124 4 2 2 2 2" xfId="7465" xr:uid="{00000000-0005-0000-0000-0000DB120000}"/>
    <cellStyle name="Normal 124 4 2 2 2 2 2" xfId="16506" xr:uid="{00000000-0005-0000-0000-0000DC120000}"/>
    <cellStyle name="Normal 124 4 2 2 2 3" xfId="11993" xr:uid="{00000000-0005-0000-0000-0000DD120000}"/>
    <cellStyle name="Normal 124 4 2 2 3" xfId="6706" xr:uid="{00000000-0005-0000-0000-0000DE120000}"/>
    <cellStyle name="Normal 124 4 2 2 3 2" xfId="15747" xr:uid="{00000000-0005-0000-0000-0000DF120000}"/>
    <cellStyle name="Normal 124 4 2 2 4" xfId="11234" xr:uid="{00000000-0005-0000-0000-0000E0120000}"/>
    <cellStyle name="Normal 124 4 2 3" xfId="2947" xr:uid="{00000000-0005-0000-0000-0000E1120000}"/>
    <cellStyle name="Normal 124 4 2 3 2" xfId="7464" xr:uid="{00000000-0005-0000-0000-0000E2120000}"/>
    <cellStyle name="Normal 124 4 2 3 2 2" xfId="16505" xr:uid="{00000000-0005-0000-0000-0000E3120000}"/>
    <cellStyle name="Normal 124 4 2 3 3" xfId="11992" xr:uid="{00000000-0005-0000-0000-0000E4120000}"/>
    <cellStyle name="Normal 124 4 2 4" xfId="5578" xr:uid="{00000000-0005-0000-0000-0000E5120000}"/>
    <cellStyle name="Normal 124 4 2 4 2" xfId="14619" xr:uid="{00000000-0005-0000-0000-0000E6120000}"/>
    <cellStyle name="Normal 124 4 2 5" xfId="10106" xr:uid="{00000000-0005-0000-0000-0000E7120000}"/>
    <cellStyle name="Normal 124 4 3" xfId="1619" xr:uid="{00000000-0005-0000-0000-0000E8120000}"/>
    <cellStyle name="Normal 124 4 3 2" xfId="2949" xr:uid="{00000000-0005-0000-0000-0000E9120000}"/>
    <cellStyle name="Normal 124 4 3 2 2" xfId="7466" xr:uid="{00000000-0005-0000-0000-0000EA120000}"/>
    <cellStyle name="Normal 124 4 3 2 2 2" xfId="16507" xr:uid="{00000000-0005-0000-0000-0000EB120000}"/>
    <cellStyle name="Normal 124 4 3 2 3" xfId="11994" xr:uid="{00000000-0005-0000-0000-0000EC120000}"/>
    <cellStyle name="Normal 124 4 3 3" xfId="6142" xr:uid="{00000000-0005-0000-0000-0000ED120000}"/>
    <cellStyle name="Normal 124 4 3 3 2" xfId="15183" xr:uid="{00000000-0005-0000-0000-0000EE120000}"/>
    <cellStyle name="Normal 124 4 3 4" xfId="10670" xr:uid="{00000000-0005-0000-0000-0000EF120000}"/>
    <cellStyle name="Normal 124 4 4" xfId="2946" xr:uid="{00000000-0005-0000-0000-0000F0120000}"/>
    <cellStyle name="Normal 124 4 4 2" xfId="7463" xr:uid="{00000000-0005-0000-0000-0000F1120000}"/>
    <cellStyle name="Normal 124 4 4 2 2" xfId="16504" xr:uid="{00000000-0005-0000-0000-0000F2120000}"/>
    <cellStyle name="Normal 124 4 4 3" xfId="11991" xr:uid="{00000000-0005-0000-0000-0000F3120000}"/>
    <cellStyle name="Normal 124 4 5" xfId="5014" xr:uid="{00000000-0005-0000-0000-0000F4120000}"/>
    <cellStyle name="Normal 124 4 5 2" xfId="14055" xr:uid="{00000000-0005-0000-0000-0000F5120000}"/>
    <cellStyle name="Normal 124 4 6" xfId="9542" xr:uid="{00000000-0005-0000-0000-0000F6120000}"/>
    <cellStyle name="Normal 124 5" xfId="637" xr:uid="{00000000-0005-0000-0000-0000F7120000}"/>
    <cellStyle name="Normal 124 5 2" xfId="1807" xr:uid="{00000000-0005-0000-0000-0000F8120000}"/>
    <cellStyle name="Normal 124 5 2 2" xfId="2951" xr:uid="{00000000-0005-0000-0000-0000F9120000}"/>
    <cellStyle name="Normal 124 5 2 2 2" xfId="7468" xr:uid="{00000000-0005-0000-0000-0000FA120000}"/>
    <cellStyle name="Normal 124 5 2 2 2 2" xfId="16509" xr:uid="{00000000-0005-0000-0000-0000FB120000}"/>
    <cellStyle name="Normal 124 5 2 2 3" xfId="11996" xr:uid="{00000000-0005-0000-0000-0000FC120000}"/>
    <cellStyle name="Normal 124 5 2 3" xfId="6330" xr:uid="{00000000-0005-0000-0000-0000FD120000}"/>
    <cellStyle name="Normal 124 5 2 3 2" xfId="15371" xr:uid="{00000000-0005-0000-0000-0000FE120000}"/>
    <cellStyle name="Normal 124 5 2 4" xfId="10858" xr:uid="{00000000-0005-0000-0000-0000FF120000}"/>
    <cellStyle name="Normal 124 5 3" xfId="2950" xr:uid="{00000000-0005-0000-0000-000000130000}"/>
    <cellStyle name="Normal 124 5 3 2" xfId="7467" xr:uid="{00000000-0005-0000-0000-000001130000}"/>
    <cellStyle name="Normal 124 5 3 2 2" xfId="16508" xr:uid="{00000000-0005-0000-0000-000002130000}"/>
    <cellStyle name="Normal 124 5 3 3" xfId="11995" xr:uid="{00000000-0005-0000-0000-000003130000}"/>
    <cellStyle name="Normal 124 5 4" xfId="5202" xr:uid="{00000000-0005-0000-0000-000004130000}"/>
    <cellStyle name="Normal 124 5 4 2" xfId="14243" xr:uid="{00000000-0005-0000-0000-000005130000}"/>
    <cellStyle name="Normal 124 5 5" xfId="9730" xr:uid="{00000000-0005-0000-0000-000006130000}"/>
    <cellStyle name="Normal 124 6" xfId="1243" xr:uid="{00000000-0005-0000-0000-000007130000}"/>
    <cellStyle name="Normal 124 6 2" xfId="2952" xr:uid="{00000000-0005-0000-0000-000008130000}"/>
    <cellStyle name="Normal 124 6 2 2" xfId="7469" xr:uid="{00000000-0005-0000-0000-000009130000}"/>
    <cellStyle name="Normal 124 6 2 2 2" xfId="16510" xr:uid="{00000000-0005-0000-0000-00000A130000}"/>
    <cellStyle name="Normal 124 6 2 3" xfId="11997" xr:uid="{00000000-0005-0000-0000-00000B130000}"/>
    <cellStyle name="Normal 124 6 3" xfId="5766" xr:uid="{00000000-0005-0000-0000-00000C130000}"/>
    <cellStyle name="Normal 124 6 3 2" xfId="14807" xr:uid="{00000000-0005-0000-0000-00000D130000}"/>
    <cellStyle name="Normal 124 6 4" xfId="10294" xr:uid="{00000000-0005-0000-0000-00000E130000}"/>
    <cellStyle name="Normal 124 7" xfId="2929" xr:uid="{00000000-0005-0000-0000-00000F130000}"/>
    <cellStyle name="Normal 124 7 2" xfId="7446" xr:uid="{00000000-0005-0000-0000-000010130000}"/>
    <cellStyle name="Normal 124 7 2 2" xfId="16487" xr:uid="{00000000-0005-0000-0000-000011130000}"/>
    <cellStyle name="Normal 124 7 3" xfId="11974" xr:uid="{00000000-0005-0000-0000-000012130000}"/>
    <cellStyle name="Normal 124 8" xfId="4638" xr:uid="{00000000-0005-0000-0000-000013130000}"/>
    <cellStyle name="Normal 124 8 2" xfId="13679" xr:uid="{00000000-0005-0000-0000-000014130000}"/>
    <cellStyle name="Normal 124 9" xfId="9166" xr:uid="{00000000-0005-0000-0000-000015130000}"/>
    <cellStyle name="Normal 125" xfId="31" xr:uid="{00000000-0005-0000-0000-000016130000}"/>
    <cellStyle name="Normal 125 2" xfId="127" xr:uid="{00000000-0005-0000-0000-000017130000}"/>
    <cellStyle name="Normal 125 2 2" xfId="356" xr:uid="{00000000-0005-0000-0000-000018130000}"/>
    <cellStyle name="Normal 125 2 2 2" xfId="920" xr:uid="{00000000-0005-0000-0000-000019130000}"/>
    <cellStyle name="Normal 125 2 2 2 2" xfId="2090" xr:uid="{00000000-0005-0000-0000-00001A130000}"/>
    <cellStyle name="Normal 125 2 2 2 2 2" xfId="2957" xr:uid="{00000000-0005-0000-0000-00001B130000}"/>
    <cellStyle name="Normal 125 2 2 2 2 2 2" xfId="7474" xr:uid="{00000000-0005-0000-0000-00001C130000}"/>
    <cellStyle name="Normal 125 2 2 2 2 2 2 2" xfId="16515" xr:uid="{00000000-0005-0000-0000-00001D130000}"/>
    <cellStyle name="Normal 125 2 2 2 2 2 3" xfId="12002" xr:uid="{00000000-0005-0000-0000-00001E130000}"/>
    <cellStyle name="Normal 125 2 2 2 2 3" xfId="6613" xr:uid="{00000000-0005-0000-0000-00001F130000}"/>
    <cellStyle name="Normal 125 2 2 2 2 3 2" xfId="15654" xr:uid="{00000000-0005-0000-0000-000020130000}"/>
    <cellStyle name="Normal 125 2 2 2 2 4" xfId="11141" xr:uid="{00000000-0005-0000-0000-000021130000}"/>
    <cellStyle name="Normal 125 2 2 2 3" xfId="2956" xr:uid="{00000000-0005-0000-0000-000022130000}"/>
    <cellStyle name="Normal 125 2 2 2 3 2" xfId="7473" xr:uid="{00000000-0005-0000-0000-000023130000}"/>
    <cellStyle name="Normal 125 2 2 2 3 2 2" xfId="16514" xr:uid="{00000000-0005-0000-0000-000024130000}"/>
    <cellStyle name="Normal 125 2 2 2 3 3" xfId="12001" xr:uid="{00000000-0005-0000-0000-000025130000}"/>
    <cellStyle name="Normal 125 2 2 2 4" xfId="5485" xr:uid="{00000000-0005-0000-0000-000026130000}"/>
    <cellStyle name="Normal 125 2 2 2 4 2" xfId="14526" xr:uid="{00000000-0005-0000-0000-000027130000}"/>
    <cellStyle name="Normal 125 2 2 2 5" xfId="10013" xr:uid="{00000000-0005-0000-0000-000028130000}"/>
    <cellStyle name="Normal 125 2 2 3" xfId="1526" xr:uid="{00000000-0005-0000-0000-000029130000}"/>
    <cellStyle name="Normal 125 2 2 3 2" xfId="2958" xr:uid="{00000000-0005-0000-0000-00002A130000}"/>
    <cellStyle name="Normal 125 2 2 3 2 2" xfId="7475" xr:uid="{00000000-0005-0000-0000-00002B130000}"/>
    <cellStyle name="Normal 125 2 2 3 2 2 2" xfId="16516" xr:uid="{00000000-0005-0000-0000-00002C130000}"/>
    <cellStyle name="Normal 125 2 2 3 2 3" xfId="12003" xr:uid="{00000000-0005-0000-0000-00002D130000}"/>
    <cellStyle name="Normal 125 2 2 3 3" xfId="6049" xr:uid="{00000000-0005-0000-0000-00002E130000}"/>
    <cellStyle name="Normal 125 2 2 3 3 2" xfId="15090" xr:uid="{00000000-0005-0000-0000-00002F130000}"/>
    <cellStyle name="Normal 125 2 2 3 4" xfId="10577" xr:uid="{00000000-0005-0000-0000-000030130000}"/>
    <cellStyle name="Normal 125 2 2 4" xfId="2955" xr:uid="{00000000-0005-0000-0000-000031130000}"/>
    <cellStyle name="Normal 125 2 2 4 2" xfId="7472" xr:uid="{00000000-0005-0000-0000-000032130000}"/>
    <cellStyle name="Normal 125 2 2 4 2 2" xfId="16513" xr:uid="{00000000-0005-0000-0000-000033130000}"/>
    <cellStyle name="Normal 125 2 2 4 3" xfId="12000" xr:uid="{00000000-0005-0000-0000-000034130000}"/>
    <cellStyle name="Normal 125 2 2 5" xfId="4921" xr:uid="{00000000-0005-0000-0000-000035130000}"/>
    <cellStyle name="Normal 125 2 2 5 2" xfId="13962" xr:uid="{00000000-0005-0000-0000-000036130000}"/>
    <cellStyle name="Normal 125 2 2 6" xfId="9449" xr:uid="{00000000-0005-0000-0000-000037130000}"/>
    <cellStyle name="Normal 125 2 3" xfId="544" xr:uid="{00000000-0005-0000-0000-000038130000}"/>
    <cellStyle name="Normal 125 2 3 2" xfId="1108" xr:uid="{00000000-0005-0000-0000-000039130000}"/>
    <cellStyle name="Normal 125 2 3 2 2" xfId="2278" xr:uid="{00000000-0005-0000-0000-00003A130000}"/>
    <cellStyle name="Normal 125 2 3 2 2 2" xfId="2961" xr:uid="{00000000-0005-0000-0000-00003B130000}"/>
    <cellStyle name="Normal 125 2 3 2 2 2 2" xfId="7478" xr:uid="{00000000-0005-0000-0000-00003C130000}"/>
    <cellStyle name="Normal 125 2 3 2 2 2 2 2" xfId="16519" xr:uid="{00000000-0005-0000-0000-00003D130000}"/>
    <cellStyle name="Normal 125 2 3 2 2 2 3" xfId="12006" xr:uid="{00000000-0005-0000-0000-00003E130000}"/>
    <cellStyle name="Normal 125 2 3 2 2 3" xfId="6801" xr:uid="{00000000-0005-0000-0000-00003F130000}"/>
    <cellStyle name="Normal 125 2 3 2 2 3 2" xfId="15842" xr:uid="{00000000-0005-0000-0000-000040130000}"/>
    <cellStyle name="Normal 125 2 3 2 2 4" xfId="11329" xr:uid="{00000000-0005-0000-0000-000041130000}"/>
    <cellStyle name="Normal 125 2 3 2 3" xfId="2960" xr:uid="{00000000-0005-0000-0000-000042130000}"/>
    <cellStyle name="Normal 125 2 3 2 3 2" xfId="7477" xr:uid="{00000000-0005-0000-0000-000043130000}"/>
    <cellStyle name="Normal 125 2 3 2 3 2 2" xfId="16518" xr:uid="{00000000-0005-0000-0000-000044130000}"/>
    <cellStyle name="Normal 125 2 3 2 3 3" xfId="12005" xr:uid="{00000000-0005-0000-0000-000045130000}"/>
    <cellStyle name="Normal 125 2 3 2 4" xfId="5673" xr:uid="{00000000-0005-0000-0000-000046130000}"/>
    <cellStyle name="Normal 125 2 3 2 4 2" xfId="14714" xr:uid="{00000000-0005-0000-0000-000047130000}"/>
    <cellStyle name="Normal 125 2 3 2 5" xfId="10201" xr:uid="{00000000-0005-0000-0000-000048130000}"/>
    <cellStyle name="Normal 125 2 3 3" xfId="1714" xr:uid="{00000000-0005-0000-0000-000049130000}"/>
    <cellStyle name="Normal 125 2 3 3 2" xfId="2962" xr:uid="{00000000-0005-0000-0000-00004A130000}"/>
    <cellStyle name="Normal 125 2 3 3 2 2" xfId="7479" xr:uid="{00000000-0005-0000-0000-00004B130000}"/>
    <cellStyle name="Normal 125 2 3 3 2 2 2" xfId="16520" xr:uid="{00000000-0005-0000-0000-00004C130000}"/>
    <cellStyle name="Normal 125 2 3 3 2 3" xfId="12007" xr:uid="{00000000-0005-0000-0000-00004D130000}"/>
    <cellStyle name="Normal 125 2 3 3 3" xfId="6237" xr:uid="{00000000-0005-0000-0000-00004E130000}"/>
    <cellStyle name="Normal 125 2 3 3 3 2" xfId="15278" xr:uid="{00000000-0005-0000-0000-00004F130000}"/>
    <cellStyle name="Normal 125 2 3 3 4" xfId="10765" xr:uid="{00000000-0005-0000-0000-000050130000}"/>
    <cellStyle name="Normal 125 2 3 4" xfId="2959" xr:uid="{00000000-0005-0000-0000-000051130000}"/>
    <cellStyle name="Normal 125 2 3 4 2" xfId="7476" xr:uid="{00000000-0005-0000-0000-000052130000}"/>
    <cellStyle name="Normal 125 2 3 4 2 2" xfId="16517" xr:uid="{00000000-0005-0000-0000-000053130000}"/>
    <cellStyle name="Normal 125 2 3 4 3" xfId="12004" xr:uid="{00000000-0005-0000-0000-000054130000}"/>
    <cellStyle name="Normal 125 2 3 5" xfId="5109" xr:uid="{00000000-0005-0000-0000-000055130000}"/>
    <cellStyle name="Normal 125 2 3 5 2" xfId="14150" xr:uid="{00000000-0005-0000-0000-000056130000}"/>
    <cellStyle name="Normal 125 2 3 6" xfId="9637" xr:uid="{00000000-0005-0000-0000-000057130000}"/>
    <cellStyle name="Normal 125 2 4" xfId="732" xr:uid="{00000000-0005-0000-0000-000058130000}"/>
    <cellStyle name="Normal 125 2 4 2" xfId="1902" xr:uid="{00000000-0005-0000-0000-000059130000}"/>
    <cellStyle name="Normal 125 2 4 2 2" xfId="2964" xr:uid="{00000000-0005-0000-0000-00005A130000}"/>
    <cellStyle name="Normal 125 2 4 2 2 2" xfId="7481" xr:uid="{00000000-0005-0000-0000-00005B130000}"/>
    <cellStyle name="Normal 125 2 4 2 2 2 2" xfId="16522" xr:uid="{00000000-0005-0000-0000-00005C130000}"/>
    <cellStyle name="Normal 125 2 4 2 2 3" xfId="12009" xr:uid="{00000000-0005-0000-0000-00005D130000}"/>
    <cellStyle name="Normal 125 2 4 2 3" xfId="6425" xr:uid="{00000000-0005-0000-0000-00005E130000}"/>
    <cellStyle name="Normal 125 2 4 2 3 2" xfId="15466" xr:uid="{00000000-0005-0000-0000-00005F130000}"/>
    <cellStyle name="Normal 125 2 4 2 4" xfId="10953" xr:uid="{00000000-0005-0000-0000-000060130000}"/>
    <cellStyle name="Normal 125 2 4 3" xfId="2963" xr:uid="{00000000-0005-0000-0000-000061130000}"/>
    <cellStyle name="Normal 125 2 4 3 2" xfId="7480" xr:uid="{00000000-0005-0000-0000-000062130000}"/>
    <cellStyle name="Normal 125 2 4 3 2 2" xfId="16521" xr:uid="{00000000-0005-0000-0000-000063130000}"/>
    <cellStyle name="Normal 125 2 4 3 3" xfId="12008" xr:uid="{00000000-0005-0000-0000-000064130000}"/>
    <cellStyle name="Normal 125 2 4 4" xfId="5297" xr:uid="{00000000-0005-0000-0000-000065130000}"/>
    <cellStyle name="Normal 125 2 4 4 2" xfId="14338" xr:uid="{00000000-0005-0000-0000-000066130000}"/>
    <cellStyle name="Normal 125 2 4 5" xfId="9825" xr:uid="{00000000-0005-0000-0000-000067130000}"/>
    <cellStyle name="Normal 125 2 5" xfId="1338" xr:uid="{00000000-0005-0000-0000-000068130000}"/>
    <cellStyle name="Normal 125 2 5 2" xfId="2965" xr:uid="{00000000-0005-0000-0000-000069130000}"/>
    <cellStyle name="Normal 125 2 5 2 2" xfId="7482" xr:uid="{00000000-0005-0000-0000-00006A130000}"/>
    <cellStyle name="Normal 125 2 5 2 2 2" xfId="16523" xr:uid="{00000000-0005-0000-0000-00006B130000}"/>
    <cellStyle name="Normal 125 2 5 2 3" xfId="12010" xr:uid="{00000000-0005-0000-0000-00006C130000}"/>
    <cellStyle name="Normal 125 2 5 3" xfId="5861" xr:uid="{00000000-0005-0000-0000-00006D130000}"/>
    <cellStyle name="Normal 125 2 5 3 2" xfId="14902" xr:uid="{00000000-0005-0000-0000-00006E130000}"/>
    <cellStyle name="Normal 125 2 5 4" xfId="10389" xr:uid="{00000000-0005-0000-0000-00006F130000}"/>
    <cellStyle name="Normal 125 2 6" xfId="2954" xr:uid="{00000000-0005-0000-0000-000070130000}"/>
    <cellStyle name="Normal 125 2 6 2" xfId="7471" xr:uid="{00000000-0005-0000-0000-000071130000}"/>
    <cellStyle name="Normal 125 2 6 2 2" xfId="16512" xr:uid="{00000000-0005-0000-0000-000072130000}"/>
    <cellStyle name="Normal 125 2 6 3" xfId="11999" xr:uid="{00000000-0005-0000-0000-000073130000}"/>
    <cellStyle name="Normal 125 2 7" xfId="4733" xr:uid="{00000000-0005-0000-0000-000074130000}"/>
    <cellStyle name="Normal 125 2 7 2" xfId="13774" xr:uid="{00000000-0005-0000-0000-000075130000}"/>
    <cellStyle name="Normal 125 2 8" xfId="9261" xr:uid="{00000000-0005-0000-0000-000076130000}"/>
    <cellStyle name="Normal 125 3" xfId="262" xr:uid="{00000000-0005-0000-0000-000077130000}"/>
    <cellStyle name="Normal 125 3 2" xfId="826" xr:uid="{00000000-0005-0000-0000-000078130000}"/>
    <cellStyle name="Normal 125 3 2 2" xfId="1996" xr:uid="{00000000-0005-0000-0000-000079130000}"/>
    <cellStyle name="Normal 125 3 2 2 2" xfId="2968" xr:uid="{00000000-0005-0000-0000-00007A130000}"/>
    <cellStyle name="Normal 125 3 2 2 2 2" xfId="7485" xr:uid="{00000000-0005-0000-0000-00007B130000}"/>
    <cellStyle name="Normal 125 3 2 2 2 2 2" xfId="16526" xr:uid="{00000000-0005-0000-0000-00007C130000}"/>
    <cellStyle name="Normal 125 3 2 2 2 3" xfId="12013" xr:uid="{00000000-0005-0000-0000-00007D130000}"/>
    <cellStyle name="Normal 125 3 2 2 3" xfId="6519" xr:uid="{00000000-0005-0000-0000-00007E130000}"/>
    <cellStyle name="Normal 125 3 2 2 3 2" xfId="15560" xr:uid="{00000000-0005-0000-0000-00007F130000}"/>
    <cellStyle name="Normal 125 3 2 2 4" xfId="11047" xr:uid="{00000000-0005-0000-0000-000080130000}"/>
    <cellStyle name="Normal 125 3 2 3" xfId="2967" xr:uid="{00000000-0005-0000-0000-000081130000}"/>
    <cellStyle name="Normal 125 3 2 3 2" xfId="7484" xr:uid="{00000000-0005-0000-0000-000082130000}"/>
    <cellStyle name="Normal 125 3 2 3 2 2" xfId="16525" xr:uid="{00000000-0005-0000-0000-000083130000}"/>
    <cellStyle name="Normal 125 3 2 3 3" xfId="12012" xr:uid="{00000000-0005-0000-0000-000084130000}"/>
    <cellStyle name="Normal 125 3 2 4" xfId="5391" xr:uid="{00000000-0005-0000-0000-000085130000}"/>
    <cellStyle name="Normal 125 3 2 4 2" xfId="14432" xr:uid="{00000000-0005-0000-0000-000086130000}"/>
    <cellStyle name="Normal 125 3 2 5" xfId="9919" xr:uid="{00000000-0005-0000-0000-000087130000}"/>
    <cellStyle name="Normal 125 3 3" xfId="1432" xr:uid="{00000000-0005-0000-0000-000088130000}"/>
    <cellStyle name="Normal 125 3 3 2" xfId="2969" xr:uid="{00000000-0005-0000-0000-000089130000}"/>
    <cellStyle name="Normal 125 3 3 2 2" xfId="7486" xr:uid="{00000000-0005-0000-0000-00008A130000}"/>
    <cellStyle name="Normal 125 3 3 2 2 2" xfId="16527" xr:uid="{00000000-0005-0000-0000-00008B130000}"/>
    <cellStyle name="Normal 125 3 3 2 3" xfId="12014" xr:uid="{00000000-0005-0000-0000-00008C130000}"/>
    <cellStyle name="Normal 125 3 3 3" xfId="5955" xr:uid="{00000000-0005-0000-0000-00008D130000}"/>
    <cellStyle name="Normal 125 3 3 3 2" xfId="14996" xr:uid="{00000000-0005-0000-0000-00008E130000}"/>
    <cellStyle name="Normal 125 3 3 4" xfId="10483" xr:uid="{00000000-0005-0000-0000-00008F130000}"/>
    <cellStyle name="Normal 125 3 4" xfId="2966" xr:uid="{00000000-0005-0000-0000-000090130000}"/>
    <cellStyle name="Normal 125 3 4 2" xfId="7483" xr:uid="{00000000-0005-0000-0000-000091130000}"/>
    <cellStyle name="Normal 125 3 4 2 2" xfId="16524" xr:uid="{00000000-0005-0000-0000-000092130000}"/>
    <cellStyle name="Normal 125 3 4 3" xfId="12011" xr:uid="{00000000-0005-0000-0000-000093130000}"/>
    <cellStyle name="Normal 125 3 5" xfId="4827" xr:uid="{00000000-0005-0000-0000-000094130000}"/>
    <cellStyle name="Normal 125 3 5 2" xfId="13868" xr:uid="{00000000-0005-0000-0000-000095130000}"/>
    <cellStyle name="Normal 125 3 6" xfId="9355" xr:uid="{00000000-0005-0000-0000-000096130000}"/>
    <cellStyle name="Normal 125 4" xfId="450" xr:uid="{00000000-0005-0000-0000-000097130000}"/>
    <cellStyle name="Normal 125 4 2" xfId="1014" xr:uid="{00000000-0005-0000-0000-000098130000}"/>
    <cellStyle name="Normal 125 4 2 2" xfId="2184" xr:uid="{00000000-0005-0000-0000-000099130000}"/>
    <cellStyle name="Normal 125 4 2 2 2" xfId="2972" xr:uid="{00000000-0005-0000-0000-00009A130000}"/>
    <cellStyle name="Normal 125 4 2 2 2 2" xfId="7489" xr:uid="{00000000-0005-0000-0000-00009B130000}"/>
    <cellStyle name="Normal 125 4 2 2 2 2 2" xfId="16530" xr:uid="{00000000-0005-0000-0000-00009C130000}"/>
    <cellStyle name="Normal 125 4 2 2 2 3" xfId="12017" xr:uid="{00000000-0005-0000-0000-00009D130000}"/>
    <cellStyle name="Normal 125 4 2 2 3" xfId="6707" xr:uid="{00000000-0005-0000-0000-00009E130000}"/>
    <cellStyle name="Normal 125 4 2 2 3 2" xfId="15748" xr:uid="{00000000-0005-0000-0000-00009F130000}"/>
    <cellStyle name="Normal 125 4 2 2 4" xfId="11235" xr:uid="{00000000-0005-0000-0000-0000A0130000}"/>
    <cellStyle name="Normal 125 4 2 3" xfId="2971" xr:uid="{00000000-0005-0000-0000-0000A1130000}"/>
    <cellStyle name="Normal 125 4 2 3 2" xfId="7488" xr:uid="{00000000-0005-0000-0000-0000A2130000}"/>
    <cellStyle name="Normal 125 4 2 3 2 2" xfId="16529" xr:uid="{00000000-0005-0000-0000-0000A3130000}"/>
    <cellStyle name="Normal 125 4 2 3 3" xfId="12016" xr:uid="{00000000-0005-0000-0000-0000A4130000}"/>
    <cellStyle name="Normal 125 4 2 4" xfId="5579" xr:uid="{00000000-0005-0000-0000-0000A5130000}"/>
    <cellStyle name="Normal 125 4 2 4 2" xfId="14620" xr:uid="{00000000-0005-0000-0000-0000A6130000}"/>
    <cellStyle name="Normal 125 4 2 5" xfId="10107" xr:uid="{00000000-0005-0000-0000-0000A7130000}"/>
    <cellStyle name="Normal 125 4 3" xfId="1620" xr:uid="{00000000-0005-0000-0000-0000A8130000}"/>
    <cellStyle name="Normal 125 4 3 2" xfId="2973" xr:uid="{00000000-0005-0000-0000-0000A9130000}"/>
    <cellStyle name="Normal 125 4 3 2 2" xfId="7490" xr:uid="{00000000-0005-0000-0000-0000AA130000}"/>
    <cellStyle name="Normal 125 4 3 2 2 2" xfId="16531" xr:uid="{00000000-0005-0000-0000-0000AB130000}"/>
    <cellStyle name="Normal 125 4 3 2 3" xfId="12018" xr:uid="{00000000-0005-0000-0000-0000AC130000}"/>
    <cellStyle name="Normal 125 4 3 3" xfId="6143" xr:uid="{00000000-0005-0000-0000-0000AD130000}"/>
    <cellStyle name="Normal 125 4 3 3 2" xfId="15184" xr:uid="{00000000-0005-0000-0000-0000AE130000}"/>
    <cellStyle name="Normal 125 4 3 4" xfId="10671" xr:uid="{00000000-0005-0000-0000-0000AF130000}"/>
    <cellStyle name="Normal 125 4 4" xfId="2970" xr:uid="{00000000-0005-0000-0000-0000B0130000}"/>
    <cellStyle name="Normal 125 4 4 2" xfId="7487" xr:uid="{00000000-0005-0000-0000-0000B1130000}"/>
    <cellStyle name="Normal 125 4 4 2 2" xfId="16528" xr:uid="{00000000-0005-0000-0000-0000B2130000}"/>
    <cellStyle name="Normal 125 4 4 3" xfId="12015" xr:uid="{00000000-0005-0000-0000-0000B3130000}"/>
    <cellStyle name="Normal 125 4 5" xfId="5015" xr:uid="{00000000-0005-0000-0000-0000B4130000}"/>
    <cellStyle name="Normal 125 4 5 2" xfId="14056" xr:uid="{00000000-0005-0000-0000-0000B5130000}"/>
    <cellStyle name="Normal 125 4 6" xfId="9543" xr:uid="{00000000-0005-0000-0000-0000B6130000}"/>
    <cellStyle name="Normal 125 5" xfId="638" xr:uid="{00000000-0005-0000-0000-0000B7130000}"/>
    <cellStyle name="Normal 125 5 2" xfId="1808" xr:uid="{00000000-0005-0000-0000-0000B8130000}"/>
    <cellStyle name="Normal 125 5 2 2" xfId="2975" xr:uid="{00000000-0005-0000-0000-0000B9130000}"/>
    <cellStyle name="Normal 125 5 2 2 2" xfId="7492" xr:uid="{00000000-0005-0000-0000-0000BA130000}"/>
    <cellStyle name="Normal 125 5 2 2 2 2" xfId="16533" xr:uid="{00000000-0005-0000-0000-0000BB130000}"/>
    <cellStyle name="Normal 125 5 2 2 3" xfId="12020" xr:uid="{00000000-0005-0000-0000-0000BC130000}"/>
    <cellStyle name="Normal 125 5 2 3" xfId="6331" xr:uid="{00000000-0005-0000-0000-0000BD130000}"/>
    <cellStyle name="Normal 125 5 2 3 2" xfId="15372" xr:uid="{00000000-0005-0000-0000-0000BE130000}"/>
    <cellStyle name="Normal 125 5 2 4" xfId="10859" xr:uid="{00000000-0005-0000-0000-0000BF130000}"/>
    <cellStyle name="Normal 125 5 3" xfId="2974" xr:uid="{00000000-0005-0000-0000-0000C0130000}"/>
    <cellStyle name="Normal 125 5 3 2" xfId="7491" xr:uid="{00000000-0005-0000-0000-0000C1130000}"/>
    <cellStyle name="Normal 125 5 3 2 2" xfId="16532" xr:uid="{00000000-0005-0000-0000-0000C2130000}"/>
    <cellStyle name="Normal 125 5 3 3" xfId="12019" xr:uid="{00000000-0005-0000-0000-0000C3130000}"/>
    <cellStyle name="Normal 125 5 4" xfId="5203" xr:uid="{00000000-0005-0000-0000-0000C4130000}"/>
    <cellStyle name="Normal 125 5 4 2" xfId="14244" xr:uid="{00000000-0005-0000-0000-0000C5130000}"/>
    <cellStyle name="Normal 125 5 5" xfId="9731" xr:uid="{00000000-0005-0000-0000-0000C6130000}"/>
    <cellStyle name="Normal 125 6" xfId="1244" xr:uid="{00000000-0005-0000-0000-0000C7130000}"/>
    <cellStyle name="Normal 125 6 2" xfId="2976" xr:uid="{00000000-0005-0000-0000-0000C8130000}"/>
    <cellStyle name="Normal 125 6 2 2" xfId="7493" xr:uid="{00000000-0005-0000-0000-0000C9130000}"/>
    <cellStyle name="Normal 125 6 2 2 2" xfId="16534" xr:uid="{00000000-0005-0000-0000-0000CA130000}"/>
    <cellStyle name="Normal 125 6 2 3" xfId="12021" xr:uid="{00000000-0005-0000-0000-0000CB130000}"/>
    <cellStyle name="Normal 125 6 3" xfId="5767" xr:uid="{00000000-0005-0000-0000-0000CC130000}"/>
    <cellStyle name="Normal 125 6 3 2" xfId="14808" xr:uid="{00000000-0005-0000-0000-0000CD130000}"/>
    <cellStyle name="Normal 125 6 4" xfId="10295" xr:uid="{00000000-0005-0000-0000-0000CE130000}"/>
    <cellStyle name="Normal 125 7" xfId="2953" xr:uid="{00000000-0005-0000-0000-0000CF130000}"/>
    <cellStyle name="Normal 125 7 2" xfId="7470" xr:uid="{00000000-0005-0000-0000-0000D0130000}"/>
    <cellStyle name="Normal 125 7 2 2" xfId="16511" xr:uid="{00000000-0005-0000-0000-0000D1130000}"/>
    <cellStyle name="Normal 125 7 3" xfId="11998" xr:uid="{00000000-0005-0000-0000-0000D2130000}"/>
    <cellStyle name="Normal 125 8" xfId="4639" xr:uid="{00000000-0005-0000-0000-0000D3130000}"/>
    <cellStyle name="Normal 125 8 2" xfId="13680" xr:uid="{00000000-0005-0000-0000-0000D4130000}"/>
    <cellStyle name="Normal 125 9" xfId="9167" xr:uid="{00000000-0005-0000-0000-0000D5130000}"/>
    <cellStyle name="Normal 126" xfId="32" xr:uid="{00000000-0005-0000-0000-0000D6130000}"/>
    <cellStyle name="Normal 126 2" xfId="128" xr:uid="{00000000-0005-0000-0000-0000D7130000}"/>
    <cellStyle name="Normal 126 2 2" xfId="357" xr:uid="{00000000-0005-0000-0000-0000D8130000}"/>
    <cellStyle name="Normal 126 2 2 2" xfId="921" xr:uid="{00000000-0005-0000-0000-0000D9130000}"/>
    <cellStyle name="Normal 126 2 2 2 2" xfId="2091" xr:uid="{00000000-0005-0000-0000-0000DA130000}"/>
    <cellStyle name="Normal 126 2 2 2 2 2" xfId="2981" xr:uid="{00000000-0005-0000-0000-0000DB130000}"/>
    <cellStyle name="Normal 126 2 2 2 2 2 2" xfId="7498" xr:uid="{00000000-0005-0000-0000-0000DC130000}"/>
    <cellStyle name="Normal 126 2 2 2 2 2 2 2" xfId="16539" xr:uid="{00000000-0005-0000-0000-0000DD130000}"/>
    <cellStyle name="Normal 126 2 2 2 2 2 3" xfId="12026" xr:uid="{00000000-0005-0000-0000-0000DE130000}"/>
    <cellStyle name="Normal 126 2 2 2 2 3" xfId="6614" xr:uid="{00000000-0005-0000-0000-0000DF130000}"/>
    <cellStyle name="Normal 126 2 2 2 2 3 2" xfId="15655" xr:uid="{00000000-0005-0000-0000-0000E0130000}"/>
    <cellStyle name="Normal 126 2 2 2 2 4" xfId="11142" xr:uid="{00000000-0005-0000-0000-0000E1130000}"/>
    <cellStyle name="Normal 126 2 2 2 3" xfId="2980" xr:uid="{00000000-0005-0000-0000-0000E2130000}"/>
    <cellStyle name="Normal 126 2 2 2 3 2" xfId="7497" xr:uid="{00000000-0005-0000-0000-0000E3130000}"/>
    <cellStyle name="Normal 126 2 2 2 3 2 2" xfId="16538" xr:uid="{00000000-0005-0000-0000-0000E4130000}"/>
    <cellStyle name="Normal 126 2 2 2 3 3" xfId="12025" xr:uid="{00000000-0005-0000-0000-0000E5130000}"/>
    <cellStyle name="Normal 126 2 2 2 4" xfId="5486" xr:uid="{00000000-0005-0000-0000-0000E6130000}"/>
    <cellStyle name="Normal 126 2 2 2 4 2" xfId="14527" xr:uid="{00000000-0005-0000-0000-0000E7130000}"/>
    <cellStyle name="Normal 126 2 2 2 5" xfId="10014" xr:uid="{00000000-0005-0000-0000-0000E8130000}"/>
    <cellStyle name="Normal 126 2 2 3" xfId="1527" xr:uid="{00000000-0005-0000-0000-0000E9130000}"/>
    <cellStyle name="Normal 126 2 2 3 2" xfId="2982" xr:uid="{00000000-0005-0000-0000-0000EA130000}"/>
    <cellStyle name="Normal 126 2 2 3 2 2" xfId="7499" xr:uid="{00000000-0005-0000-0000-0000EB130000}"/>
    <cellStyle name="Normal 126 2 2 3 2 2 2" xfId="16540" xr:uid="{00000000-0005-0000-0000-0000EC130000}"/>
    <cellStyle name="Normal 126 2 2 3 2 3" xfId="12027" xr:uid="{00000000-0005-0000-0000-0000ED130000}"/>
    <cellStyle name="Normal 126 2 2 3 3" xfId="6050" xr:uid="{00000000-0005-0000-0000-0000EE130000}"/>
    <cellStyle name="Normal 126 2 2 3 3 2" xfId="15091" xr:uid="{00000000-0005-0000-0000-0000EF130000}"/>
    <cellStyle name="Normal 126 2 2 3 4" xfId="10578" xr:uid="{00000000-0005-0000-0000-0000F0130000}"/>
    <cellStyle name="Normal 126 2 2 4" xfId="2979" xr:uid="{00000000-0005-0000-0000-0000F1130000}"/>
    <cellStyle name="Normal 126 2 2 4 2" xfId="7496" xr:uid="{00000000-0005-0000-0000-0000F2130000}"/>
    <cellStyle name="Normal 126 2 2 4 2 2" xfId="16537" xr:uid="{00000000-0005-0000-0000-0000F3130000}"/>
    <cellStyle name="Normal 126 2 2 4 3" xfId="12024" xr:uid="{00000000-0005-0000-0000-0000F4130000}"/>
    <cellStyle name="Normal 126 2 2 5" xfId="4922" xr:uid="{00000000-0005-0000-0000-0000F5130000}"/>
    <cellStyle name="Normal 126 2 2 5 2" xfId="13963" xr:uid="{00000000-0005-0000-0000-0000F6130000}"/>
    <cellStyle name="Normal 126 2 2 6" xfId="9450" xr:uid="{00000000-0005-0000-0000-0000F7130000}"/>
    <cellStyle name="Normal 126 2 3" xfId="545" xr:uid="{00000000-0005-0000-0000-0000F8130000}"/>
    <cellStyle name="Normal 126 2 3 2" xfId="1109" xr:uid="{00000000-0005-0000-0000-0000F9130000}"/>
    <cellStyle name="Normal 126 2 3 2 2" xfId="2279" xr:uid="{00000000-0005-0000-0000-0000FA130000}"/>
    <cellStyle name="Normal 126 2 3 2 2 2" xfId="2985" xr:uid="{00000000-0005-0000-0000-0000FB130000}"/>
    <cellStyle name="Normal 126 2 3 2 2 2 2" xfId="7502" xr:uid="{00000000-0005-0000-0000-0000FC130000}"/>
    <cellStyle name="Normal 126 2 3 2 2 2 2 2" xfId="16543" xr:uid="{00000000-0005-0000-0000-0000FD130000}"/>
    <cellStyle name="Normal 126 2 3 2 2 2 3" xfId="12030" xr:uid="{00000000-0005-0000-0000-0000FE130000}"/>
    <cellStyle name="Normal 126 2 3 2 2 3" xfId="6802" xr:uid="{00000000-0005-0000-0000-0000FF130000}"/>
    <cellStyle name="Normal 126 2 3 2 2 3 2" xfId="15843" xr:uid="{00000000-0005-0000-0000-000000140000}"/>
    <cellStyle name="Normal 126 2 3 2 2 4" xfId="11330" xr:uid="{00000000-0005-0000-0000-000001140000}"/>
    <cellStyle name="Normal 126 2 3 2 3" xfId="2984" xr:uid="{00000000-0005-0000-0000-000002140000}"/>
    <cellStyle name="Normal 126 2 3 2 3 2" xfId="7501" xr:uid="{00000000-0005-0000-0000-000003140000}"/>
    <cellStyle name="Normal 126 2 3 2 3 2 2" xfId="16542" xr:uid="{00000000-0005-0000-0000-000004140000}"/>
    <cellStyle name="Normal 126 2 3 2 3 3" xfId="12029" xr:uid="{00000000-0005-0000-0000-000005140000}"/>
    <cellStyle name="Normal 126 2 3 2 4" xfId="5674" xr:uid="{00000000-0005-0000-0000-000006140000}"/>
    <cellStyle name="Normal 126 2 3 2 4 2" xfId="14715" xr:uid="{00000000-0005-0000-0000-000007140000}"/>
    <cellStyle name="Normal 126 2 3 2 5" xfId="10202" xr:uid="{00000000-0005-0000-0000-000008140000}"/>
    <cellStyle name="Normal 126 2 3 3" xfId="1715" xr:uid="{00000000-0005-0000-0000-000009140000}"/>
    <cellStyle name="Normal 126 2 3 3 2" xfId="2986" xr:uid="{00000000-0005-0000-0000-00000A140000}"/>
    <cellStyle name="Normal 126 2 3 3 2 2" xfId="7503" xr:uid="{00000000-0005-0000-0000-00000B140000}"/>
    <cellStyle name="Normal 126 2 3 3 2 2 2" xfId="16544" xr:uid="{00000000-0005-0000-0000-00000C140000}"/>
    <cellStyle name="Normal 126 2 3 3 2 3" xfId="12031" xr:uid="{00000000-0005-0000-0000-00000D140000}"/>
    <cellStyle name="Normal 126 2 3 3 3" xfId="6238" xr:uid="{00000000-0005-0000-0000-00000E140000}"/>
    <cellStyle name="Normal 126 2 3 3 3 2" xfId="15279" xr:uid="{00000000-0005-0000-0000-00000F140000}"/>
    <cellStyle name="Normal 126 2 3 3 4" xfId="10766" xr:uid="{00000000-0005-0000-0000-000010140000}"/>
    <cellStyle name="Normal 126 2 3 4" xfId="2983" xr:uid="{00000000-0005-0000-0000-000011140000}"/>
    <cellStyle name="Normal 126 2 3 4 2" xfId="7500" xr:uid="{00000000-0005-0000-0000-000012140000}"/>
    <cellStyle name="Normal 126 2 3 4 2 2" xfId="16541" xr:uid="{00000000-0005-0000-0000-000013140000}"/>
    <cellStyle name="Normal 126 2 3 4 3" xfId="12028" xr:uid="{00000000-0005-0000-0000-000014140000}"/>
    <cellStyle name="Normal 126 2 3 5" xfId="5110" xr:uid="{00000000-0005-0000-0000-000015140000}"/>
    <cellStyle name="Normal 126 2 3 5 2" xfId="14151" xr:uid="{00000000-0005-0000-0000-000016140000}"/>
    <cellStyle name="Normal 126 2 3 6" xfId="9638" xr:uid="{00000000-0005-0000-0000-000017140000}"/>
    <cellStyle name="Normal 126 2 4" xfId="733" xr:uid="{00000000-0005-0000-0000-000018140000}"/>
    <cellStyle name="Normal 126 2 4 2" xfId="1903" xr:uid="{00000000-0005-0000-0000-000019140000}"/>
    <cellStyle name="Normal 126 2 4 2 2" xfId="2988" xr:uid="{00000000-0005-0000-0000-00001A140000}"/>
    <cellStyle name="Normal 126 2 4 2 2 2" xfId="7505" xr:uid="{00000000-0005-0000-0000-00001B140000}"/>
    <cellStyle name="Normal 126 2 4 2 2 2 2" xfId="16546" xr:uid="{00000000-0005-0000-0000-00001C140000}"/>
    <cellStyle name="Normal 126 2 4 2 2 3" xfId="12033" xr:uid="{00000000-0005-0000-0000-00001D140000}"/>
    <cellStyle name="Normal 126 2 4 2 3" xfId="6426" xr:uid="{00000000-0005-0000-0000-00001E140000}"/>
    <cellStyle name="Normal 126 2 4 2 3 2" xfId="15467" xr:uid="{00000000-0005-0000-0000-00001F140000}"/>
    <cellStyle name="Normal 126 2 4 2 4" xfId="10954" xr:uid="{00000000-0005-0000-0000-000020140000}"/>
    <cellStyle name="Normal 126 2 4 3" xfId="2987" xr:uid="{00000000-0005-0000-0000-000021140000}"/>
    <cellStyle name="Normal 126 2 4 3 2" xfId="7504" xr:uid="{00000000-0005-0000-0000-000022140000}"/>
    <cellStyle name="Normal 126 2 4 3 2 2" xfId="16545" xr:uid="{00000000-0005-0000-0000-000023140000}"/>
    <cellStyle name="Normal 126 2 4 3 3" xfId="12032" xr:uid="{00000000-0005-0000-0000-000024140000}"/>
    <cellStyle name="Normal 126 2 4 4" xfId="5298" xr:uid="{00000000-0005-0000-0000-000025140000}"/>
    <cellStyle name="Normal 126 2 4 4 2" xfId="14339" xr:uid="{00000000-0005-0000-0000-000026140000}"/>
    <cellStyle name="Normal 126 2 4 5" xfId="9826" xr:uid="{00000000-0005-0000-0000-000027140000}"/>
    <cellStyle name="Normal 126 2 5" xfId="1339" xr:uid="{00000000-0005-0000-0000-000028140000}"/>
    <cellStyle name="Normal 126 2 5 2" xfId="2989" xr:uid="{00000000-0005-0000-0000-000029140000}"/>
    <cellStyle name="Normal 126 2 5 2 2" xfId="7506" xr:uid="{00000000-0005-0000-0000-00002A140000}"/>
    <cellStyle name="Normal 126 2 5 2 2 2" xfId="16547" xr:uid="{00000000-0005-0000-0000-00002B140000}"/>
    <cellStyle name="Normal 126 2 5 2 3" xfId="12034" xr:uid="{00000000-0005-0000-0000-00002C140000}"/>
    <cellStyle name="Normal 126 2 5 3" xfId="5862" xr:uid="{00000000-0005-0000-0000-00002D140000}"/>
    <cellStyle name="Normal 126 2 5 3 2" xfId="14903" xr:uid="{00000000-0005-0000-0000-00002E140000}"/>
    <cellStyle name="Normal 126 2 5 4" xfId="10390" xr:uid="{00000000-0005-0000-0000-00002F140000}"/>
    <cellStyle name="Normal 126 2 6" xfId="2978" xr:uid="{00000000-0005-0000-0000-000030140000}"/>
    <cellStyle name="Normal 126 2 6 2" xfId="7495" xr:uid="{00000000-0005-0000-0000-000031140000}"/>
    <cellStyle name="Normal 126 2 6 2 2" xfId="16536" xr:uid="{00000000-0005-0000-0000-000032140000}"/>
    <cellStyle name="Normal 126 2 6 3" xfId="12023" xr:uid="{00000000-0005-0000-0000-000033140000}"/>
    <cellStyle name="Normal 126 2 7" xfId="4734" xr:uid="{00000000-0005-0000-0000-000034140000}"/>
    <cellStyle name="Normal 126 2 7 2" xfId="13775" xr:uid="{00000000-0005-0000-0000-000035140000}"/>
    <cellStyle name="Normal 126 2 8" xfId="9262" xr:uid="{00000000-0005-0000-0000-000036140000}"/>
    <cellStyle name="Normal 126 3" xfId="263" xr:uid="{00000000-0005-0000-0000-000037140000}"/>
    <cellStyle name="Normal 126 3 2" xfId="827" xr:uid="{00000000-0005-0000-0000-000038140000}"/>
    <cellStyle name="Normal 126 3 2 2" xfId="1997" xr:uid="{00000000-0005-0000-0000-000039140000}"/>
    <cellStyle name="Normal 126 3 2 2 2" xfId="2992" xr:uid="{00000000-0005-0000-0000-00003A140000}"/>
    <cellStyle name="Normal 126 3 2 2 2 2" xfId="7509" xr:uid="{00000000-0005-0000-0000-00003B140000}"/>
    <cellStyle name="Normal 126 3 2 2 2 2 2" xfId="16550" xr:uid="{00000000-0005-0000-0000-00003C140000}"/>
    <cellStyle name="Normal 126 3 2 2 2 3" xfId="12037" xr:uid="{00000000-0005-0000-0000-00003D140000}"/>
    <cellStyle name="Normal 126 3 2 2 3" xfId="6520" xr:uid="{00000000-0005-0000-0000-00003E140000}"/>
    <cellStyle name="Normal 126 3 2 2 3 2" xfId="15561" xr:uid="{00000000-0005-0000-0000-00003F140000}"/>
    <cellStyle name="Normal 126 3 2 2 4" xfId="11048" xr:uid="{00000000-0005-0000-0000-000040140000}"/>
    <cellStyle name="Normal 126 3 2 3" xfId="2991" xr:uid="{00000000-0005-0000-0000-000041140000}"/>
    <cellStyle name="Normal 126 3 2 3 2" xfId="7508" xr:uid="{00000000-0005-0000-0000-000042140000}"/>
    <cellStyle name="Normal 126 3 2 3 2 2" xfId="16549" xr:uid="{00000000-0005-0000-0000-000043140000}"/>
    <cellStyle name="Normal 126 3 2 3 3" xfId="12036" xr:uid="{00000000-0005-0000-0000-000044140000}"/>
    <cellStyle name="Normal 126 3 2 4" xfId="5392" xr:uid="{00000000-0005-0000-0000-000045140000}"/>
    <cellStyle name="Normal 126 3 2 4 2" xfId="14433" xr:uid="{00000000-0005-0000-0000-000046140000}"/>
    <cellStyle name="Normal 126 3 2 5" xfId="9920" xr:uid="{00000000-0005-0000-0000-000047140000}"/>
    <cellStyle name="Normal 126 3 3" xfId="1433" xr:uid="{00000000-0005-0000-0000-000048140000}"/>
    <cellStyle name="Normal 126 3 3 2" xfId="2993" xr:uid="{00000000-0005-0000-0000-000049140000}"/>
    <cellStyle name="Normal 126 3 3 2 2" xfId="7510" xr:uid="{00000000-0005-0000-0000-00004A140000}"/>
    <cellStyle name="Normal 126 3 3 2 2 2" xfId="16551" xr:uid="{00000000-0005-0000-0000-00004B140000}"/>
    <cellStyle name="Normal 126 3 3 2 3" xfId="12038" xr:uid="{00000000-0005-0000-0000-00004C140000}"/>
    <cellStyle name="Normal 126 3 3 3" xfId="5956" xr:uid="{00000000-0005-0000-0000-00004D140000}"/>
    <cellStyle name="Normal 126 3 3 3 2" xfId="14997" xr:uid="{00000000-0005-0000-0000-00004E140000}"/>
    <cellStyle name="Normal 126 3 3 4" xfId="10484" xr:uid="{00000000-0005-0000-0000-00004F140000}"/>
    <cellStyle name="Normal 126 3 4" xfId="2990" xr:uid="{00000000-0005-0000-0000-000050140000}"/>
    <cellStyle name="Normal 126 3 4 2" xfId="7507" xr:uid="{00000000-0005-0000-0000-000051140000}"/>
    <cellStyle name="Normal 126 3 4 2 2" xfId="16548" xr:uid="{00000000-0005-0000-0000-000052140000}"/>
    <cellStyle name="Normal 126 3 4 3" xfId="12035" xr:uid="{00000000-0005-0000-0000-000053140000}"/>
    <cellStyle name="Normal 126 3 5" xfId="4828" xr:uid="{00000000-0005-0000-0000-000054140000}"/>
    <cellStyle name="Normal 126 3 5 2" xfId="13869" xr:uid="{00000000-0005-0000-0000-000055140000}"/>
    <cellStyle name="Normal 126 3 6" xfId="9356" xr:uid="{00000000-0005-0000-0000-000056140000}"/>
    <cellStyle name="Normal 126 4" xfId="451" xr:uid="{00000000-0005-0000-0000-000057140000}"/>
    <cellStyle name="Normal 126 4 2" xfId="1015" xr:uid="{00000000-0005-0000-0000-000058140000}"/>
    <cellStyle name="Normal 126 4 2 2" xfId="2185" xr:uid="{00000000-0005-0000-0000-000059140000}"/>
    <cellStyle name="Normal 126 4 2 2 2" xfId="2996" xr:uid="{00000000-0005-0000-0000-00005A140000}"/>
    <cellStyle name="Normal 126 4 2 2 2 2" xfId="7513" xr:uid="{00000000-0005-0000-0000-00005B140000}"/>
    <cellStyle name="Normal 126 4 2 2 2 2 2" xfId="16554" xr:uid="{00000000-0005-0000-0000-00005C140000}"/>
    <cellStyle name="Normal 126 4 2 2 2 3" xfId="12041" xr:uid="{00000000-0005-0000-0000-00005D140000}"/>
    <cellStyle name="Normal 126 4 2 2 3" xfId="6708" xr:uid="{00000000-0005-0000-0000-00005E140000}"/>
    <cellStyle name="Normal 126 4 2 2 3 2" xfId="15749" xr:uid="{00000000-0005-0000-0000-00005F140000}"/>
    <cellStyle name="Normal 126 4 2 2 4" xfId="11236" xr:uid="{00000000-0005-0000-0000-000060140000}"/>
    <cellStyle name="Normal 126 4 2 3" xfId="2995" xr:uid="{00000000-0005-0000-0000-000061140000}"/>
    <cellStyle name="Normal 126 4 2 3 2" xfId="7512" xr:uid="{00000000-0005-0000-0000-000062140000}"/>
    <cellStyle name="Normal 126 4 2 3 2 2" xfId="16553" xr:uid="{00000000-0005-0000-0000-000063140000}"/>
    <cellStyle name="Normal 126 4 2 3 3" xfId="12040" xr:uid="{00000000-0005-0000-0000-000064140000}"/>
    <cellStyle name="Normal 126 4 2 4" xfId="5580" xr:uid="{00000000-0005-0000-0000-000065140000}"/>
    <cellStyle name="Normal 126 4 2 4 2" xfId="14621" xr:uid="{00000000-0005-0000-0000-000066140000}"/>
    <cellStyle name="Normal 126 4 2 5" xfId="10108" xr:uid="{00000000-0005-0000-0000-000067140000}"/>
    <cellStyle name="Normal 126 4 3" xfId="1621" xr:uid="{00000000-0005-0000-0000-000068140000}"/>
    <cellStyle name="Normal 126 4 3 2" xfId="2997" xr:uid="{00000000-0005-0000-0000-000069140000}"/>
    <cellStyle name="Normal 126 4 3 2 2" xfId="7514" xr:uid="{00000000-0005-0000-0000-00006A140000}"/>
    <cellStyle name="Normal 126 4 3 2 2 2" xfId="16555" xr:uid="{00000000-0005-0000-0000-00006B140000}"/>
    <cellStyle name="Normal 126 4 3 2 3" xfId="12042" xr:uid="{00000000-0005-0000-0000-00006C140000}"/>
    <cellStyle name="Normal 126 4 3 3" xfId="6144" xr:uid="{00000000-0005-0000-0000-00006D140000}"/>
    <cellStyle name="Normal 126 4 3 3 2" xfId="15185" xr:uid="{00000000-0005-0000-0000-00006E140000}"/>
    <cellStyle name="Normal 126 4 3 4" xfId="10672" xr:uid="{00000000-0005-0000-0000-00006F140000}"/>
    <cellStyle name="Normal 126 4 4" xfId="2994" xr:uid="{00000000-0005-0000-0000-000070140000}"/>
    <cellStyle name="Normal 126 4 4 2" xfId="7511" xr:uid="{00000000-0005-0000-0000-000071140000}"/>
    <cellStyle name="Normal 126 4 4 2 2" xfId="16552" xr:uid="{00000000-0005-0000-0000-000072140000}"/>
    <cellStyle name="Normal 126 4 4 3" xfId="12039" xr:uid="{00000000-0005-0000-0000-000073140000}"/>
    <cellStyle name="Normal 126 4 5" xfId="5016" xr:uid="{00000000-0005-0000-0000-000074140000}"/>
    <cellStyle name="Normal 126 4 5 2" xfId="14057" xr:uid="{00000000-0005-0000-0000-000075140000}"/>
    <cellStyle name="Normal 126 4 6" xfId="9544" xr:uid="{00000000-0005-0000-0000-000076140000}"/>
    <cellStyle name="Normal 126 5" xfId="639" xr:uid="{00000000-0005-0000-0000-000077140000}"/>
    <cellStyle name="Normal 126 5 2" xfId="1809" xr:uid="{00000000-0005-0000-0000-000078140000}"/>
    <cellStyle name="Normal 126 5 2 2" xfId="2999" xr:uid="{00000000-0005-0000-0000-000079140000}"/>
    <cellStyle name="Normal 126 5 2 2 2" xfId="7516" xr:uid="{00000000-0005-0000-0000-00007A140000}"/>
    <cellStyle name="Normal 126 5 2 2 2 2" xfId="16557" xr:uid="{00000000-0005-0000-0000-00007B140000}"/>
    <cellStyle name="Normal 126 5 2 2 3" xfId="12044" xr:uid="{00000000-0005-0000-0000-00007C140000}"/>
    <cellStyle name="Normal 126 5 2 3" xfId="6332" xr:uid="{00000000-0005-0000-0000-00007D140000}"/>
    <cellStyle name="Normal 126 5 2 3 2" xfId="15373" xr:uid="{00000000-0005-0000-0000-00007E140000}"/>
    <cellStyle name="Normal 126 5 2 4" xfId="10860" xr:uid="{00000000-0005-0000-0000-00007F140000}"/>
    <cellStyle name="Normal 126 5 3" xfId="2998" xr:uid="{00000000-0005-0000-0000-000080140000}"/>
    <cellStyle name="Normal 126 5 3 2" xfId="7515" xr:uid="{00000000-0005-0000-0000-000081140000}"/>
    <cellStyle name="Normal 126 5 3 2 2" xfId="16556" xr:uid="{00000000-0005-0000-0000-000082140000}"/>
    <cellStyle name="Normal 126 5 3 3" xfId="12043" xr:uid="{00000000-0005-0000-0000-000083140000}"/>
    <cellStyle name="Normal 126 5 4" xfId="5204" xr:uid="{00000000-0005-0000-0000-000084140000}"/>
    <cellStyle name="Normal 126 5 4 2" xfId="14245" xr:uid="{00000000-0005-0000-0000-000085140000}"/>
    <cellStyle name="Normal 126 5 5" xfId="9732" xr:uid="{00000000-0005-0000-0000-000086140000}"/>
    <cellStyle name="Normal 126 6" xfId="1245" xr:uid="{00000000-0005-0000-0000-000087140000}"/>
    <cellStyle name="Normal 126 6 2" xfId="3000" xr:uid="{00000000-0005-0000-0000-000088140000}"/>
    <cellStyle name="Normal 126 6 2 2" xfId="7517" xr:uid="{00000000-0005-0000-0000-000089140000}"/>
    <cellStyle name="Normal 126 6 2 2 2" xfId="16558" xr:uid="{00000000-0005-0000-0000-00008A140000}"/>
    <cellStyle name="Normal 126 6 2 3" xfId="12045" xr:uid="{00000000-0005-0000-0000-00008B140000}"/>
    <cellStyle name="Normal 126 6 3" xfId="5768" xr:uid="{00000000-0005-0000-0000-00008C140000}"/>
    <cellStyle name="Normal 126 6 3 2" xfId="14809" xr:uid="{00000000-0005-0000-0000-00008D140000}"/>
    <cellStyle name="Normal 126 6 4" xfId="10296" xr:uid="{00000000-0005-0000-0000-00008E140000}"/>
    <cellStyle name="Normal 126 7" xfId="2977" xr:uid="{00000000-0005-0000-0000-00008F140000}"/>
    <cellStyle name="Normal 126 7 2" xfId="7494" xr:uid="{00000000-0005-0000-0000-000090140000}"/>
    <cellStyle name="Normal 126 7 2 2" xfId="16535" xr:uid="{00000000-0005-0000-0000-000091140000}"/>
    <cellStyle name="Normal 126 7 3" xfId="12022" xr:uid="{00000000-0005-0000-0000-000092140000}"/>
    <cellStyle name="Normal 126 8" xfId="4640" xr:uid="{00000000-0005-0000-0000-000093140000}"/>
    <cellStyle name="Normal 126 8 2" xfId="13681" xr:uid="{00000000-0005-0000-0000-000094140000}"/>
    <cellStyle name="Normal 126 9" xfId="9168" xr:uid="{00000000-0005-0000-0000-000095140000}"/>
    <cellStyle name="Normal 127" xfId="33" xr:uid="{00000000-0005-0000-0000-000096140000}"/>
    <cellStyle name="Normal 127 2" xfId="129" xr:uid="{00000000-0005-0000-0000-000097140000}"/>
    <cellStyle name="Normal 127 2 2" xfId="358" xr:uid="{00000000-0005-0000-0000-000098140000}"/>
    <cellStyle name="Normal 127 2 2 2" xfId="922" xr:uid="{00000000-0005-0000-0000-000099140000}"/>
    <cellStyle name="Normal 127 2 2 2 2" xfId="2092" xr:uid="{00000000-0005-0000-0000-00009A140000}"/>
    <cellStyle name="Normal 127 2 2 2 2 2" xfId="3005" xr:uid="{00000000-0005-0000-0000-00009B140000}"/>
    <cellStyle name="Normal 127 2 2 2 2 2 2" xfId="7522" xr:uid="{00000000-0005-0000-0000-00009C140000}"/>
    <cellStyle name="Normal 127 2 2 2 2 2 2 2" xfId="16563" xr:uid="{00000000-0005-0000-0000-00009D140000}"/>
    <cellStyle name="Normal 127 2 2 2 2 2 3" xfId="12050" xr:uid="{00000000-0005-0000-0000-00009E140000}"/>
    <cellStyle name="Normal 127 2 2 2 2 3" xfId="6615" xr:uid="{00000000-0005-0000-0000-00009F140000}"/>
    <cellStyle name="Normal 127 2 2 2 2 3 2" xfId="15656" xr:uid="{00000000-0005-0000-0000-0000A0140000}"/>
    <cellStyle name="Normal 127 2 2 2 2 4" xfId="11143" xr:uid="{00000000-0005-0000-0000-0000A1140000}"/>
    <cellStyle name="Normal 127 2 2 2 3" xfId="3004" xr:uid="{00000000-0005-0000-0000-0000A2140000}"/>
    <cellStyle name="Normal 127 2 2 2 3 2" xfId="7521" xr:uid="{00000000-0005-0000-0000-0000A3140000}"/>
    <cellStyle name="Normal 127 2 2 2 3 2 2" xfId="16562" xr:uid="{00000000-0005-0000-0000-0000A4140000}"/>
    <cellStyle name="Normal 127 2 2 2 3 3" xfId="12049" xr:uid="{00000000-0005-0000-0000-0000A5140000}"/>
    <cellStyle name="Normal 127 2 2 2 4" xfId="5487" xr:uid="{00000000-0005-0000-0000-0000A6140000}"/>
    <cellStyle name="Normal 127 2 2 2 4 2" xfId="14528" xr:uid="{00000000-0005-0000-0000-0000A7140000}"/>
    <cellStyle name="Normal 127 2 2 2 5" xfId="10015" xr:uid="{00000000-0005-0000-0000-0000A8140000}"/>
    <cellStyle name="Normal 127 2 2 3" xfId="1528" xr:uid="{00000000-0005-0000-0000-0000A9140000}"/>
    <cellStyle name="Normal 127 2 2 3 2" xfId="3006" xr:uid="{00000000-0005-0000-0000-0000AA140000}"/>
    <cellStyle name="Normal 127 2 2 3 2 2" xfId="7523" xr:uid="{00000000-0005-0000-0000-0000AB140000}"/>
    <cellStyle name="Normal 127 2 2 3 2 2 2" xfId="16564" xr:uid="{00000000-0005-0000-0000-0000AC140000}"/>
    <cellStyle name="Normal 127 2 2 3 2 3" xfId="12051" xr:uid="{00000000-0005-0000-0000-0000AD140000}"/>
    <cellStyle name="Normal 127 2 2 3 3" xfId="6051" xr:uid="{00000000-0005-0000-0000-0000AE140000}"/>
    <cellStyle name="Normal 127 2 2 3 3 2" xfId="15092" xr:uid="{00000000-0005-0000-0000-0000AF140000}"/>
    <cellStyle name="Normal 127 2 2 3 4" xfId="10579" xr:uid="{00000000-0005-0000-0000-0000B0140000}"/>
    <cellStyle name="Normal 127 2 2 4" xfId="3003" xr:uid="{00000000-0005-0000-0000-0000B1140000}"/>
    <cellStyle name="Normal 127 2 2 4 2" xfId="7520" xr:uid="{00000000-0005-0000-0000-0000B2140000}"/>
    <cellStyle name="Normal 127 2 2 4 2 2" xfId="16561" xr:uid="{00000000-0005-0000-0000-0000B3140000}"/>
    <cellStyle name="Normal 127 2 2 4 3" xfId="12048" xr:uid="{00000000-0005-0000-0000-0000B4140000}"/>
    <cellStyle name="Normal 127 2 2 5" xfId="4923" xr:uid="{00000000-0005-0000-0000-0000B5140000}"/>
    <cellStyle name="Normal 127 2 2 5 2" xfId="13964" xr:uid="{00000000-0005-0000-0000-0000B6140000}"/>
    <cellStyle name="Normal 127 2 2 6" xfId="9451" xr:uid="{00000000-0005-0000-0000-0000B7140000}"/>
    <cellStyle name="Normal 127 2 3" xfId="546" xr:uid="{00000000-0005-0000-0000-0000B8140000}"/>
    <cellStyle name="Normal 127 2 3 2" xfId="1110" xr:uid="{00000000-0005-0000-0000-0000B9140000}"/>
    <cellStyle name="Normal 127 2 3 2 2" xfId="2280" xr:uid="{00000000-0005-0000-0000-0000BA140000}"/>
    <cellStyle name="Normal 127 2 3 2 2 2" xfId="3009" xr:uid="{00000000-0005-0000-0000-0000BB140000}"/>
    <cellStyle name="Normal 127 2 3 2 2 2 2" xfId="7526" xr:uid="{00000000-0005-0000-0000-0000BC140000}"/>
    <cellStyle name="Normal 127 2 3 2 2 2 2 2" xfId="16567" xr:uid="{00000000-0005-0000-0000-0000BD140000}"/>
    <cellStyle name="Normal 127 2 3 2 2 2 3" xfId="12054" xr:uid="{00000000-0005-0000-0000-0000BE140000}"/>
    <cellStyle name="Normal 127 2 3 2 2 3" xfId="6803" xr:uid="{00000000-0005-0000-0000-0000BF140000}"/>
    <cellStyle name="Normal 127 2 3 2 2 3 2" xfId="15844" xr:uid="{00000000-0005-0000-0000-0000C0140000}"/>
    <cellStyle name="Normal 127 2 3 2 2 4" xfId="11331" xr:uid="{00000000-0005-0000-0000-0000C1140000}"/>
    <cellStyle name="Normal 127 2 3 2 3" xfId="3008" xr:uid="{00000000-0005-0000-0000-0000C2140000}"/>
    <cellStyle name="Normal 127 2 3 2 3 2" xfId="7525" xr:uid="{00000000-0005-0000-0000-0000C3140000}"/>
    <cellStyle name="Normal 127 2 3 2 3 2 2" xfId="16566" xr:uid="{00000000-0005-0000-0000-0000C4140000}"/>
    <cellStyle name="Normal 127 2 3 2 3 3" xfId="12053" xr:uid="{00000000-0005-0000-0000-0000C5140000}"/>
    <cellStyle name="Normal 127 2 3 2 4" xfId="5675" xr:uid="{00000000-0005-0000-0000-0000C6140000}"/>
    <cellStyle name="Normal 127 2 3 2 4 2" xfId="14716" xr:uid="{00000000-0005-0000-0000-0000C7140000}"/>
    <cellStyle name="Normal 127 2 3 2 5" xfId="10203" xr:uid="{00000000-0005-0000-0000-0000C8140000}"/>
    <cellStyle name="Normal 127 2 3 3" xfId="1716" xr:uid="{00000000-0005-0000-0000-0000C9140000}"/>
    <cellStyle name="Normal 127 2 3 3 2" xfId="3010" xr:uid="{00000000-0005-0000-0000-0000CA140000}"/>
    <cellStyle name="Normal 127 2 3 3 2 2" xfId="7527" xr:uid="{00000000-0005-0000-0000-0000CB140000}"/>
    <cellStyle name="Normal 127 2 3 3 2 2 2" xfId="16568" xr:uid="{00000000-0005-0000-0000-0000CC140000}"/>
    <cellStyle name="Normal 127 2 3 3 2 3" xfId="12055" xr:uid="{00000000-0005-0000-0000-0000CD140000}"/>
    <cellStyle name="Normal 127 2 3 3 3" xfId="6239" xr:uid="{00000000-0005-0000-0000-0000CE140000}"/>
    <cellStyle name="Normal 127 2 3 3 3 2" xfId="15280" xr:uid="{00000000-0005-0000-0000-0000CF140000}"/>
    <cellStyle name="Normal 127 2 3 3 4" xfId="10767" xr:uid="{00000000-0005-0000-0000-0000D0140000}"/>
    <cellStyle name="Normal 127 2 3 4" xfId="3007" xr:uid="{00000000-0005-0000-0000-0000D1140000}"/>
    <cellStyle name="Normal 127 2 3 4 2" xfId="7524" xr:uid="{00000000-0005-0000-0000-0000D2140000}"/>
    <cellStyle name="Normal 127 2 3 4 2 2" xfId="16565" xr:uid="{00000000-0005-0000-0000-0000D3140000}"/>
    <cellStyle name="Normal 127 2 3 4 3" xfId="12052" xr:uid="{00000000-0005-0000-0000-0000D4140000}"/>
    <cellStyle name="Normal 127 2 3 5" xfId="5111" xr:uid="{00000000-0005-0000-0000-0000D5140000}"/>
    <cellStyle name="Normal 127 2 3 5 2" xfId="14152" xr:uid="{00000000-0005-0000-0000-0000D6140000}"/>
    <cellStyle name="Normal 127 2 3 6" xfId="9639" xr:uid="{00000000-0005-0000-0000-0000D7140000}"/>
    <cellStyle name="Normal 127 2 4" xfId="734" xr:uid="{00000000-0005-0000-0000-0000D8140000}"/>
    <cellStyle name="Normal 127 2 4 2" xfId="1904" xr:uid="{00000000-0005-0000-0000-0000D9140000}"/>
    <cellStyle name="Normal 127 2 4 2 2" xfId="3012" xr:uid="{00000000-0005-0000-0000-0000DA140000}"/>
    <cellStyle name="Normal 127 2 4 2 2 2" xfId="7529" xr:uid="{00000000-0005-0000-0000-0000DB140000}"/>
    <cellStyle name="Normal 127 2 4 2 2 2 2" xfId="16570" xr:uid="{00000000-0005-0000-0000-0000DC140000}"/>
    <cellStyle name="Normal 127 2 4 2 2 3" xfId="12057" xr:uid="{00000000-0005-0000-0000-0000DD140000}"/>
    <cellStyle name="Normal 127 2 4 2 3" xfId="6427" xr:uid="{00000000-0005-0000-0000-0000DE140000}"/>
    <cellStyle name="Normal 127 2 4 2 3 2" xfId="15468" xr:uid="{00000000-0005-0000-0000-0000DF140000}"/>
    <cellStyle name="Normal 127 2 4 2 4" xfId="10955" xr:uid="{00000000-0005-0000-0000-0000E0140000}"/>
    <cellStyle name="Normal 127 2 4 3" xfId="3011" xr:uid="{00000000-0005-0000-0000-0000E1140000}"/>
    <cellStyle name="Normal 127 2 4 3 2" xfId="7528" xr:uid="{00000000-0005-0000-0000-0000E2140000}"/>
    <cellStyle name="Normal 127 2 4 3 2 2" xfId="16569" xr:uid="{00000000-0005-0000-0000-0000E3140000}"/>
    <cellStyle name="Normal 127 2 4 3 3" xfId="12056" xr:uid="{00000000-0005-0000-0000-0000E4140000}"/>
    <cellStyle name="Normal 127 2 4 4" xfId="5299" xr:uid="{00000000-0005-0000-0000-0000E5140000}"/>
    <cellStyle name="Normal 127 2 4 4 2" xfId="14340" xr:uid="{00000000-0005-0000-0000-0000E6140000}"/>
    <cellStyle name="Normal 127 2 4 5" xfId="9827" xr:uid="{00000000-0005-0000-0000-0000E7140000}"/>
    <cellStyle name="Normal 127 2 5" xfId="1340" xr:uid="{00000000-0005-0000-0000-0000E8140000}"/>
    <cellStyle name="Normal 127 2 5 2" xfId="3013" xr:uid="{00000000-0005-0000-0000-0000E9140000}"/>
    <cellStyle name="Normal 127 2 5 2 2" xfId="7530" xr:uid="{00000000-0005-0000-0000-0000EA140000}"/>
    <cellStyle name="Normal 127 2 5 2 2 2" xfId="16571" xr:uid="{00000000-0005-0000-0000-0000EB140000}"/>
    <cellStyle name="Normal 127 2 5 2 3" xfId="12058" xr:uid="{00000000-0005-0000-0000-0000EC140000}"/>
    <cellStyle name="Normal 127 2 5 3" xfId="5863" xr:uid="{00000000-0005-0000-0000-0000ED140000}"/>
    <cellStyle name="Normal 127 2 5 3 2" xfId="14904" xr:uid="{00000000-0005-0000-0000-0000EE140000}"/>
    <cellStyle name="Normal 127 2 5 4" xfId="10391" xr:uid="{00000000-0005-0000-0000-0000EF140000}"/>
    <cellStyle name="Normal 127 2 6" xfId="3002" xr:uid="{00000000-0005-0000-0000-0000F0140000}"/>
    <cellStyle name="Normal 127 2 6 2" xfId="7519" xr:uid="{00000000-0005-0000-0000-0000F1140000}"/>
    <cellStyle name="Normal 127 2 6 2 2" xfId="16560" xr:uid="{00000000-0005-0000-0000-0000F2140000}"/>
    <cellStyle name="Normal 127 2 6 3" xfId="12047" xr:uid="{00000000-0005-0000-0000-0000F3140000}"/>
    <cellStyle name="Normal 127 2 7" xfId="4735" xr:uid="{00000000-0005-0000-0000-0000F4140000}"/>
    <cellStyle name="Normal 127 2 7 2" xfId="13776" xr:uid="{00000000-0005-0000-0000-0000F5140000}"/>
    <cellStyle name="Normal 127 2 8" xfId="9263" xr:uid="{00000000-0005-0000-0000-0000F6140000}"/>
    <cellStyle name="Normal 127 3" xfId="264" xr:uid="{00000000-0005-0000-0000-0000F7140000}"/>
    <cellStyle name="Normal 127 3 2" xfId="828" xr:uid="{00000000-0005-0000-0000-0000F8140000}"/>
    <cellStyle name="Normal 127 3 2 2" xfId="1998" xr:uid="{00000000-0005-0000-0000-0000F9140000}"/>
    <cellStyle name="Normal 127 3 2 2 2" xfId="3016" xr:uid="{00000000-0005-0000-0000-0000FA140000}"/>
    <cellStyle name="Normal 127 3 2 2 2 2" xfId="7533" xr:uid="{00000000-0005-0000-0000-0000FB140000}"/>
    <cellStyle name="Normal 127 3 2 2 2 2 2" xfId="16574" xr:uid="{00000000-0005-0000-0000-0000FC140000}"/>
    <cellStyle name="Normal 127 3 2 2 2 3" xfId="12061" xr:uid="{00000000-0005-0000-0000-0000FD140000}"/>
    <cellStyle name="Normal 127 3 2 2 3" xfId="6521" xr:uid="{00000000-0005-0000-0000-0000FE140000}"/>
    <cellStyle name="Normal 127 3 2 2 3 2" xfId="15562" xr:uid="{00000000-0005-0000-0000-0000FF140000}"/>
    <cellStyle name="Normal 127 3 2 2 4" xfId="11049" xr:uid="{00000000-0005-0000-0000-000000150000}"/>
    <cellStyle name="Normal 127 3 2 3" xfId="3015" xr:uid="{00000000-0005-0000-0000-000001150000}"/>
    <cellStyle name="Normal 127 3 2 3 2" xfId="7532" xr:uid="{00000000-0005-0000-0000-000002150000}"/>
    <cellStyle name="Normal 127 3 2 3 2 2" xfId="16573" xr:uid="{00000000-0005-0000-0000-000003150000}"/>
    <cellStyle name="Normal 127 3 2 3 3" xfId="12060" xr:uid="{00000000-0005-0000-0000-000004150000}"/>
    <cellStyle name="Normal 127 3 2 4" xfId="5393" xr:uid="{00000000-0005-0000-0000-000005150000}"/>
    <cellStyle name="Normal 127 3 2 4 2" xfId="14434" xr:uid="{00000000-0005-0000-0000-000006150000}"/>
    <cellStyle name="Normal 127 3 2 5" xfId="9921" xr:uid="{00000000-0005-0000-0000-000007150000}"/>
    <cellStyle name="Normal 127 3 3" xfId="1434" xr:uid="{00000000-0005-0000-0000-000008150000}"/>
    <cellStyle name="Normal 127 3 3 2" xfId="3017" xr:uid="{00000000-0005-0000-0000-000009150000}"/>
    <cellStyle name="Normal 127 3 3 2 2" xfId="7534" xr:uid="{00000000-0005-0000-0000-00000A150000}"/>
    <cellStyle name="Normal 127 3 3 2 2 2" xfId="16575" xr:uid="{00000000-0005-0000-0000-00000B150000}"/>
    <cellStyle name="Normal 127 3 3 2 3" xfId="12062" xr:uid="{00000000-0005-0000-0000-00000C150000}"/>
    <cellStyle name="Normal 127 3 3 3" xfId="5957" xr:uid="{00000000-0005-0000-0000-00000D150000}"/>
    <cellStyle name="Normal 127 3 3 3 2" xfId="14998" xr:uid="{00000000-0005-0000-0000-00000E150000}"/>
    <cellStyle name="Normal 127 3 3 4" xfId="10485" xr:uid="{00000000-0005-0000-0000-00000F150000}"/>
    <cellStyle name="Normal 127 3 4" xfId="3014" xr:uid="{00000000-0005-0000-0000-000010150000}"/>
    <cellStyle name="Normal 127 3 4 2" xfId="7531" xr:uid="{00000000-0005-0000-0000-000011150000}"/>
    <cellStyle name="Normal 127 3 4 2 2" xfId="16572" xr:uid="{00000000-0005-0000-0000-000012150000}"/>
    <cellStyle name="Normal 127 3 4 3" xfId="12059" xr:uid="{00000000-0005-0000-0000-000013150000}"/>
    <cellStyle name="Normal 127 3 5" xfId="4829" xr:uid="{00000000-0005-0000-0000-000014150000}"/>
    <cellStyle name="Normal 127 3 5 2" xfId="13870" xr:uid="{00000000-0005-0000-0000-000015150000}"/>
    <cellStyle name="Normal 127 3 6" xfId="9357" xr:uid="{00000000-0005-0000-0000-000016150000}"/>
    <cellStyle name="Normal 127 4" xfId="452" xr:uid="{00000000-0005-0000-0000-000017150000}"/>
    <cellStyle name="Normal 127 4 2" xfId="1016" xr:uid="{00000000-0005-0000-0000-000018150000}"/>
    <cellStyle name="Normal 127 4 2 2" xfId="2186" xr:uid="{00000000-0005-0000-0000-000019150000}"/>
    <cellStyle name="Normal 127 4 2 2 2" xfId="3020" xr:uid="{00000000-0005-0000-0000-00001A150000}"/>
    <cellStyle name="Normal 127 4 2 2 2 2" xfId="7537" xr:uid="{00000000-0005-0000-0000-00001B150000}"/>
    <cellStyle name="Normal 127 4 2 2 2 2 2" xfId="16578" xr:uid="{00000000-0005-0000-0000-00001C150000}"/>
    <cellStyle name="Normal 127 4 2 2 2 3" xfId="12065" xr:uid="{00000000-0005-0000-0000-00001D150000}"/>
    <cellStyle name="Normal 127 4 2 2 3" xfId="6709" xr:uid="{00000000-0005-0000-0000-00001E150000}"/>
    <cellStyle name="Normal 127 4 2 2 3 2" xfId="15750" xr:uid="{00000000-0005-0000-0000-00001F150000}"/>
    <cellStyle name="Normal 127 4 2 2 4" xfId="11237" xr:uid="{00000000-0005-0000-0000-000020150000}"/>
    <cellStyle name="Normal 127 4 2 3" xfId="3019" xr:uid="{00000000-0005-0000-0000-000021150000}"/>
    <cellStyle name="Normal 127 4 2 3 2" xfId="7536" xr:uid="{00000000-0005-0000-0000-000022150000}"/>
    <cellStyle name="Normal 127 4 2 3 2 2" xfId="16577" xr:uid="{00000000-0005-0000-0000-000023150000}"/>
    <cellStyle name="Normal 127 4 2 3 3" xfId="12064" xr:uid="{00000000-0005-0000-0000-000024150000}"/>
    <cellStyle name="Normal 127 4 2 4" xfId="5581" xr:uid="{00000000-0005-0000-0000-000025150000}"/>
    <cellStyle name="Normal 127 4 2 4 2" xfId="14622" xr:uid="{00000000-0005-0000-0000-000026150000}"/>
    <cellStyle name="Normal 127 4 2 5" xfId="10109" xr:uid="{00000000-0005-0000-0000-000027150000}"/>
    <cellStyle name="Normal 127 4 3" xfId="1622" xr:uid="{00000000-0005-0000-0000-000028150000}"/>
    <cellStyle name="Normal 127 4 3 2" xfId="3021" xr:uid="{00000000-0005-0000-0000-000029150000}"/>
    <cellStyle name="Normal 127 4 3 2 2" xfId="7538" xr:uid="{00000000-0005-0000-0000-00002A150000}"/>
    <cellStyle name="Normal 127 4 3 2 2 2" xfId="16579" xr:uid="{00000000-0005-0000-0000-00002B150000}"/>
    <cellStyle name="Normal 127 4 3 2 3" xfId="12066" xr:uid="{00000000-0005-0000-0000-00002C150000}"/>
    <cellStyle name="Normal 127 4 3 3" xfId="6145" xr:uid="{00000000-0005-0000-0000-00002D150000}"/>
    <cellStyle name="Normal 127 4 3 3 2" xfId="15186" xr:uid="{00000000-0005-0000-0000-00002E150000}"/>
    <cellStyle name="Normal 127 4 3 4" xfId="10673" xr:uid="{00000000-0005-0000-0000-00002F150000}"/>
    <cellStyle name="Normal 127 4 4" xfId="3018" xr:uid="{00000000-0005-0000-0000-000030150000}"/>
    <cellStyle name="Normal 127 4 4 2" xfId="7535" xr:uid="{00000000-0005-0000-0000-000031150000}"/>
    <cellStyle name="Normal 127 4 4 2 2" xfId="16576" xr:uid="{00000000-0005-0000-0000-000032150000}"/>
    <cellStyle name="Normal 127 4 4 3" xfId="12063" xr:uid="{00000000-0005-0000-0000-000033150000}"/>
    <cellStyle name="Normal 127 4 5" xfId="5017" xr:uid="{00000000-0005-0000-0000-000034150000}"/>
    <cellStyle name="Normal 127 4 5 2" xfId="14058" xr:uid="{00000000-0005-0000-0000-000035150000}"/>
    <cellStyle name="Normal 127 4 6" xfId="9545" xr:uid="{00000000-0005-0000-0000-000036150000}"/>
    <cellStyle name="Normal 127 5" xfId="640" xr:uid="{00000000-0005-0000-0000-000037150000}"/>
    <cellStyle name="Normal 127 5 2" xfId="1810" xr:uid="{00000000-0005-0000-0000-000038150000}"/>
    <cellStyle name="Normal 127 5 2 2" xfId="3023" xr:uid="{00000000-0005-0000-0000-000039150000}"/>
    <cellStyle name="Normal 127 5 2 2 2" xfId="7540" xr:uid="{00000000-0005-0000-0000-00003A150000}"/>
    <cellStyle name="Normal 127 5 2 2 2 2" xfId="16581" xr:uid="{00000000-0005-0000-0000-00003B150000}"/>
    <cellStyle name="Normal 127 5 2 2 3" xfId="12068" xr:uid="{00000000-0005-0000-0000-00003C150000}"/>
    <cellStyle name="Normal 127 5 2 3" xfId="6333" xr:uid="{00000000-0005-0000-0000-00003D150000}"/>
    <cellStyle name="Normal 127 5 2 3 2" xfId="15374" xr:uid="{00000000-0005-0000-0000-00003E150000}"/>
    <cellStyle name="Normal 127 5 2 4" xfId="10861" xr:uid="{00000000-0005-0000-0000-00003F150000}"/>
    <cellStyle name="Normal 127 5 3" xfId="3022" xr:uid="{00000000-0005-0000-0000-000040150000}"/>
    <cellStyle name="Normal 127 5 3 2" xfId="7539" xr:uid="{00000000-0005-0000-0000-000041150000}"/>
    <cellStyle name="Normal 127 5 3 2 2" xfId="16580" xr:uid="{00000000-0005-0000-0000-000042150000}"/>
    <cellStyle name="Normal 127 5 3 3" xfId="12067" xr:uid="{00000000-0005-0000-0000-000043150000}"/>
    <cellStyle name="Normal 127 5 4" xfId="5205" xr:uid="{00000000-0005-0000-0000-000044150000}"/>
    <cellStyle name="Normal 127 5 4 2" xfId="14246" xr:uid="{00000000-0005-0000-0000-000045150000}"/>
    <cellStyle name="Normal 127 5 5" xfId="9733" xr:uid="{00000000-0005-0000-0000-000046150000}"/>
    <cellStyle name="Normal 127 6" xfId="1246" xr:uid="{00000000-0005-0000-0000-000047150000}"/>
    <cellStyle name="Normal 127 6 2" xfId="3024" xr:uid="{00000000-0005-0000-0000-000048150000}"/>
    <cellStyle name="Normal 127 6 2 2" xfId="7541" xr:uid="{00000000-0005-0000-0000-000049150000}"/>
    <cellStyle name="Normal 127 6 2 2 2" xfId="16582" xr:uid="{00000000-0005-0000-0000-00004A150000}"/>
    <cellStyle name="Normal 127 6 2 3" xfId="12069" xr:uid="{00000000-0005-0000-0000-00004B150000}"/>
    <cellStyle name="Normal 127 6 3" xfId="5769" xr:uid="{00000000-0005-0000-0000-00004C150000}"/>
    <cellStyle name="Normal 127 6 3 2" xfId="14810" xr:uid="{00000000-0005-0000-0000-00004D150000}"/>
    <cellStyle name="Normal 127 6 4" xfId="10297" xr:uid="{00000000-0005-0000-0000-00004E150000}"/>
    <cellStyle name="Normal 127 7" xfId="3001" xr:uid="{00000000-0005-0000-0000-00004F150000}"/>
    <cellStyle name="Normal 127 7 2" xfId="7518" xr:uid="{00000000-0005-0000-0000-000050150000}"/>
    <cellStyle name="Normal 127 7 2 2" xfId="16559" xr:uid="{00000000-0005-0000-0000-000051150000}"/>
    <cellStyle name="Normal 127 7 3" xfId="12046" xr:uid="{00000000-0005-0000-0000-000052150000}"/>
    <cellStyle name="Normal 127 8" xfId="4641" xr:uid="{00000000-0005-0000-0000-000053150000}"/>
    <cellStyle name="Normal 127 8 2" xfId="13682" xr:uid="{00000000-0005-0000-0000-000054150000}"/>
    <cellStyle name="Normal 127 9" xfId="9169" xr:uid="{00000000-0005-0000-0000-000055150000}"/>
    <cellStyle name="Normal 128" xfId="34" xr:uid="{00000000-0005-0000-0000-000056150000}"/>
    <cellStyle name="Normal 128 2" xfId="130" xr:uid="{00000000-0005-0000-0000-000057150000}"/>
    <cellStyle name="Normal 128 2 2" xfId="359" xr:uid="{00000000-0005-0000-0000-000058150000}"/>
    <cellStyle name="Normal 128 2 2 2" xfId="923" xr:uid="{00000000-0005-0000-0000-000059150000}"/>
    <cellStyle name="Normal 128 2 2 2 2" xfId="2093" xr:uid="{00000000-0005-0000-0000-00005A150000}"/>
    <cellStyle name="Normal 128 2 2 2 2 2" xfId="3029" xr:uid="{00000000-0005-0000-0000-00005B150000}"/>
    <cellStyle name="Normal 128 2 2 2 2 2 2" xfId="7546" xr:uid="{00000000-0005-0000-0000-00005C150000}"/>
    <cellStyle name="Normal 128 2 2 2 2 2 2 2" xfId="16587" xr:uid="{00000000-0005-0000-0000-00005D150000}"/>
    <cellStyle name="Normal 128 2 2 2 2 2 3" xfId="12074" xr:uid="{00000000-0005-0000-0000-00005E150000}"/>
    <cellStyle name="Normal 128 2 2 2 2 3" xfId="6616" xr:uid="{00000000-0005-0000-0000-00005F150000}"/>
    <cellStyle name="Normal 128 2 2 2 2 3 2" xfId="15657" xr:uid="{00000000-0005-0000-0000-000060150000}"/>
    <cellStyle name="Normal 128 2 2 2 2 4" xfId="11144" xr:uid="{00000000-0005-0000-0000-000061150000}"/>
    <cellStyle name="Normal 128 2 2 2 3" xfId="3028" xr:uid="{00000000-0005-0000-0000-000062150000}"/>
    <cellStyle name="Normal 128 2 2 2 3 2" xfId="7545" xr:uid="{00000000-0005-0000-0000-000063150000}"/>
    <cellStyle name="Normal 128 2 2 2 3 2 2" xfId="16586" xr:uid="{00000000-0005-0000-0000-000064150000}"/>
    <cellStyle name="Normal 128 2 2 2 3 3" xfId="12073" xr:uid="{00000000-0005-0000-0000-000065150000}"/>
    <cellStyle name="Normal 128 2 2 2 4" xfId="5488" xr:uid="{00000000-0005-0000-0000-000066150000}"/>
    <cellStyle name="Normal 128 2 2 2 4 2" xfId="14529" xr:uid="{00000000-0005-0000-0000-000067150000}"/>
    <cellStyle name="Normal 128 2 2 2 5" xfId="10016" xr:uid="{00000000-0005-0000-0000-000068150000}"/>
    <cellStyle name="Normal 128 2 2 3" xfId="1529" xr:uid="{00000000-0005-0000-0000-000069150000}"/>
    <cellStyle name="Normal 128 2 2 3 2" xfId="3030" xr:uid="{00000000-0005-0000-0000-00006A150000}"/>
    <cellStyle name="Normal 128 2 2 3 2 2" xfId="7547" xr:uid="{00000000-0005-0000-0000-00006B150000}"/>
    <cellStyle name="Normal 128 2 2 3 2 2 2" xfId="16588" xr:uid="{00000000-0005-0000-0000-00006C150000}"/>
    <cellStyle name="Normal 128 2 2 3 2 3" xfId="12075" xr:uid="{00000000-0005-0000-0000-00006D150000}"/>
    <cellStyle name="Normal 128 2 2 3 3" xfId="6052" xr:uid="{00000000-0005-0000-0000-00006E150000}"/>
    <cellStyle name="Normal 128 2 2 3 3 2" xfId="15093" xr:uid="{00000000-0005-0000-0000-00006F150000}"/>
    <cellStyle name="Normal 128 2 2 3 4" xfId="10580" xr:uid="{00000000-0005-0000-0000-000070150000}"/>
    <cellStyle name="Normal 128 2 2 4" xfId="3027" xr:uid="{00000000-0005-0000-0000-000071150000}"/>
    <cellStyle name="Normal 128 2 2 4 2" xfId="7544" xr:uid="{00000000-0005-0000-0000-000072150000}"/>
    <cellStyle name="Normal 128 2 2 4 2 2" xfId="16585" xr:uid="{00000000-0005-0000-0000-000073150000}"/>
    <cellStyle name="Normal 128 2 2 4 3" xfId="12072" xr:uid="{00000000-0005-0000-0000-000074150000}"/>
    <cellStyle name="Normal 128 2 2 5" xfId="4924" xr:uid="{00000000-0005-0000-0000-000075150000}"/>
    <cellStyle name="Normal 128 2 2 5 2" xfId="13965" xr:uid="{00000000-0005-0000-0000-000076150000}"/>
    <cellStyle name="Normal 128 2 2 6" xfId="9452" xr:uid="{00000000-0005-0000-0000-000077150000}"/>
    <cellStyle name="Normal 128 2 3" xfId="547" xr:uid="{00000000-0005-0000-0000-000078150000}"/>
    <cellStyle name="Normal 128 2 3 2" xfId="1111" xr:uid="{00000000-0005-0000-0000-000079150000}"/>
    <cellStyle name="Normal 128 2 3 2 2" xfId="2281" xr:uid="{00000000-0005-0000-0000-00007A150000}"/>
    <cellStyle name="Normal 128 2 3 2 2 2" xfId="3033" xr:uid="{00000000-0005-0000-0000-00007B150000}"/>
    <cellStyle name="Normal 128 2 3 2 2 2 2" xfId="7550" xr:uid="{00000000-0005-0000-0000-00007C150000}"/>
    <cellStyle name="Normal 128 2 3 2 2 2 2 2" xfId="16591" xr:uid="{00000000-0005-0000-0000-00007D150000}"/>
    <cellStyle name="Normal 128 2 3 2 2 2 3" xfId="12078" xr:uid="{00000000-0005-0000-0000-00007E150000}"/>
    <cellStyle name="Normal 128 2 3 2 2 3" xfId="6804" xr:uid="{00000000-0005-0000-0000-00007F150000}"/>
    <cellStyle name="Normal 128 2 3 2 2 3 2" xfId="15845" xr:uid="{00000000-0005-0000-0000-000080150000}"/>
    <cellStyle name="Normal 128 2 3 2 2 4" xfId="11332" xr:uid="{00000000-0005-0000-0000-000081150000}"/>
    <cellStyle name="Normal 128 2 3 2 3" xfId="3032" xr:uid="{00000000-0005-0000-0000-000082150000}"/>
    <cellStyle name="Normal 128 2 3 2 3 2" xfId="7549" xr:uid="{00000000-0005-0000-0000-000083150000}"/>
    <cellStyle name="Normal 128 2 3 2 3 2 2" xfId="16590" xr:uid="{00000000-0005-0000-0000-000084150000}"/>
    <cellStyle name="Normal 128 2 3 2 3 3" xfId="12077" xr:uid="{00000000-0005-0000-0000-000085150000}"/>
    <cellStyle name="Normal 128 2 3 2 4" xfId="5676" xr:uid="{00000000-0005-0000-0000-000086150000}"/>
    <cellStyle name="Normal 128 2 3 2 4 2" xfId="14717" xr:uid="{00000000-0005-0000-0000-000087150000}"/>
    <cellStyle name="Normal 128 2 3 2 5" xfId="10204" xr:uid="{00000000-0005-0000-0000-000088150000}"/>
    <cellStyle name="Normal 128 2 3 3" xfId="1717" xr:uid="{00000000-0005-0000-0000-000089150000}"/>
    <cellStyle name="Normal 128 2 3 3 2" xfId="3034" xr:uid="{00000000-0005-0000-0000-00008A150000}"/>
    <cellStyle name="Normal 128 2 3 3 2 2" xfId="7551" xr:uid="{00000000-0005-0000-0000-00008B150000}"/>
    <cellStyle name="Normal 128 2 3 3 2 2 2" xfId="16592" xr:uid="{00000000-0005-0000-0000-00008C150000}"/>
    <cellStyle name="Normal 128 2 3 3 2 3" xfId="12079" xr:uid="{00000000-0005-0000-0000-00008D150000}"/>
    <cellStyle name="Normal 128 2 3 3 3" xfId="6240" xr:uid="{00000000-0005-0000-0000-00008E150000}"/>
    <cellStyle name="Normal 128 2 3 3 3 2" xfId="15281" xr:uid="{00000000-0005-0000-0000-00008F150000}"/>
    <cellStyle name="Normal 128 2 3 3 4" xfId="10768" xr:uid="{00000000-0005-0000-0000-000090150000}"/>
    <cellStyle name="Normal 128 2 3 4" xfId="3031" xr:uid="{00000000-0005-0000-0000-000091150000}"/>
    <cellStyle name="Normal 128 2 3 4 2" xfId="7548" xr:uid="{00000000-0005-0000-0000-000092150000}"/>
    <cellStyle name="Normal 128 2 3 4 2 2" xfId="16589" xr:uid="{00000000-0005-0000-0000-000093150000}"/>
    <cellStyle name="Normal 128 2 3 4 3" xfId="12076" xr:uid="{00000000-0005-0000-0000-000094150000}"/>
    <cellStyle name="Normal 128 2 3 5" xfId="5112" xr:uid="{00000000-0005-0000-0000-000095150000}"/>
    <cellStyle name="Normal 128 2 3 5 2" xfId="14153" xr:uid="{00000000-0005-0000-0000-000096150000}"/>
    <cellStyle name="Normal 128 2 3 6" xfId="9640" xr:uid="{00000000-0005-0000-0000-000097150000}"/>
    <cellStyle name="Normal 128 2 4" xfId="735" xr:uid="{00000000-0005-0000-0000-000098150000}"/>
    <cellStyle name="Normal 128 2 4 2" xfId="1905" xr:uid="{00000000-0005-0000-0000-000099150000}"/>
    <cellStyle name="Normal 128 2 4 2 2" xfId="3036" xr:uid="{00000000-0005-0000-0000-00009A150000}"/>
    <cellStyle name="Normal 128 2 4 2 2 2" xfId="7553" xr:uid="{00000000-0005-0000-0000-00009B150000}"/>
    <cellStyle name="Normal 128 2 4 2 2 2 2" xfId="16594" xr:uid="{00000000-0005-0000-0000-00009C150000}"/>
    <cellStyle name="Normal 128 2 4 2 2 3" xfId="12081" xr:uid="{00000000-0005-0000-0000-00009D150000}"/>
    <cellStyle name="Normal 128 2 4 2 3" xfId="6428" xr:uid="{00000000-0005-0000-0000-00009E150000}"/>
    <cellStyle name="Normal 128 2 4 2 3 2" xfId="15469" xr:uid="{00000000-0005-0000-0000-00009F150000}"/>
    <cellStyle name="Normal 128 2 4 2 4" xfId="10956" xr:uid="{00000000-0005-0000-0000-0000A0150000}"/>
    <cellStyle name="Normal 128 2 4 3" xfId="3035" xr:uid="{00000000-0005-0000-0000-0000A1150000}"/>
    <cellStyle name="Normal 128 2 4 3 2" xfId="7552" xr:uid="{00000000-0005-0000-0000-0000A2150000}"/>
    <cellStyle name="Normal 128 2 4 3 2 2" xfId="16593" xr:uid="{00000000-0005-0000-0000-0000A3150000}"/>
    <cellStyle name="Normal 128 2 4 3 3" xfId="12080" xr:uid="{00000000-0005-0000-0000-0000A4150000}"/>
    <cellStyle name="Normal 128 2 4 4" xfId="5300" xr:uid="{00000000-0005-0000-0000-0000A5150000}"/>
    <cellStyle name="Normal 128 2 4 4 2" xfId="14341" xr:uid="{00000000-0005-0000-0000-0000A6150000}"/>
    <cellStyle name="Normal 128 2 4 5" xfId="9828" xr:uid="{00000000-0005-0000-0000-0000A7150000}"/>
    <cellStyle name="Normal 128 2 5" xfId="1341" xr:uid="{00000000-0005-0000-0000-0000A8150000}"/>
    <cellStyle name="Normal 128 2 5 2" xfId="3037" xr:uid="{00000000-0005-0000-0000-0000A9150000}"/>
    <cellStyle name="Normal 128 2 5 2 2" xfId="7554" xr:uid="{00000000-0005-0000-0000-0000AA150000}"/>
    <cellStyle name="Normal 128 2 5 2 2 2" xfId="16595" xr:uid="{00000000-0005-0000-0000-0000AB150000}"/>
    <cellStyle name="Normal 128 2 5 2 3" xfId="12082" xr:uid="{00000000-0005-0000-0000-0000AC150000}"/>
    <cellStyle name="Normal 128 2 5 3" xfId="5864" xr:uid="{00000000-0005-0000-0000-0000AD150000}"/>
    <cellStyle name="Normal 128 2 5 3 2" xfId="14905" xr:uid="{00000000-0005-0000-0000-0000AE150000}"/>
    <cellStyle name="Normal 128 2 5 4" xfId="10392" xr:uid="{00000000-0005-0000-0000-0000AF150000}"/>
    <cellStyle name="Normal 128 2 6" xfId="3026" xr:uid="{00000000-0005-0000-0000-0000B0150000}"/>
    <cellStyle name="Normal 128 2 6 2" xfId="7543" xr:uid="{00000000-0005-0000-0000-0000B1150000}"/>
    <cellStyle name="Normal 128 2 6 2 2" xfId="16584" xr:uid="{00000000-0005-0000-0000-0000B2150000}"/>
    <cellStyle name="Normal 128 2 6 3" xfId="12071" xr:uid="{00000000-0005-0000-0000-0000B3150000}"/>
    <cellStyle name="Normal 128 2 7" xfId="4736" xr:uid="{00000000-0005-0000-0000-0000B4150000}"/>
    <cellStyle name="Normal 128 2 7 2" xfId="13777" xr:uid="{00000000-0005-0000-0000-0000B5150000}"/>
    <cellStyle name="Normal 128 2 8" xfId="9264" xr:uid="{00000000-0005-0000-0000-0000B6150000}"/>
    <cellStyle name="Normal 128 3" xfId="265" xr:uid="{00000000-0005-0000-0000-0000B7150000}"/>
    <cellStyle name="Normal 128 3 2" xfId="829" xr:uid="{00000000-0005-0000-0000-0000B8150000}"/>
    <cellStyle name="Normal 128 3 2 2" xfId="1999" xr:uid="{00000000-0005-0000-0000-0000B9150000}"/>
    <cellStyle name="Normal 128 3 2 2 2" xfId="3040" xr:uid="{00000000-0005-0000-0000-0000BA150000}"/>
    <cellStyle name="Normal 128 3 2 2 2 2" xfId="7557" xr:uid="{00000000-0005-0000-0000-0000BB150000}"/>
    <cellStyle name="Normal 128 3 2 2 2 2 2" xfId="16598" xr:uid="{00000000-0005-0000-0000-0000BC150000}"/>
    <cellStyle name="Normal 128 3 2 2 2 3" xfId="12085" xr:uid="{00000000-0005-0000-0000-0000BD150000}"/>
    <cellStyle name="Normal 128 3 2 2 3" xfId="6522" xr:uid="{00000000-0005-0000-0000-0000BE150000}"/>
    <cellStyle name="Normal 128 3 2 2 3 2" xfId="15563" xr:uid="{00000000-0005-0000-0000-0000BF150000}"/>
    <cellStyle name="Normal 128 3 2 2 4" xfId="11050" xr:uid="{00000000-0005-0000-0000-0000C0150000}"/>
    <cellStyle name="Normal 128 3 2 3" xfId="3039" xr:uid="{00000000-0005-0000-0000-0000C1150000}"/>
    <cellStyle name="Normal 128 3 2 3 2" xfId="7556" xr:uid="{00000000-0005-0000-0000-0000C2150000}"/>
    <cellStyle name="Normal 128 3 2 3 2 2" xfId="16597" xr:uid="{00000000-0005-0000-0000-0000C3150000}"/>
    <cellStyle name="Normal 128 3 2 3 3" xfId="12084" xr:uid="{00000000-0005-0000-0000-0000C4150000}"/>
    <cellStyle name="Normal 128 3 2 4" xfId="5394" xr:uid="{00000000-0005-0000-0000-0000C5150000}"/>
    <cellStyle name="Normal 128 3 2 4 2" xfId="14435" xr:uid="{00000000-0005-0000-0000-0000C6150000}"/>
    <cellStyle name="Normal 128 3 2 5" xfId="9922" xr:uid="{00000000-0005-0000-0000-0000C7150000}"/>
    <cellStyle name="Normal 128 3 3" xfId="1435" xr:uid="{00000000-0005-0000-0000-0000C8150000}"/>
    <cellStyle name="Normal 128 3 3 2" xfId="3041" xr:uid="{00000000-0005-0000-0000-0000C9150000}"/>
    <cellStyle name="Normal 128 3 3 2 2" xfId="7558" xr:uid="{00000000-0005-0000-0000-0000CA150000}"/>
    <cellStyle name="Normal 128 3 3 2 2 2" xfId="16599" xr:uid="{00000000-0005-0000-0000-0000CB150000}"/>
    <cellStyle name="Normal 128 3 3 2 3" xfId="12086" xr:uid="{00000000-0005-0000-0000-0000CC150000}"/>
    <cellStyle name="Normal 128 3 3 3" xfId="5958" xr:uid="{00000000-0005-0000-0000-0000CD150000}"/>
    <cellStyle name="Normal 128 3 3 3 2" xfId="14999" xr:uid="{00000000-0005-0000-0000-0000CE150000}"/>
    <cellStyle name="Normal 128 3 3 4" xfId="10486" xr:uid="{00000000-0005-0000-0000-0000CF150000}"/>
    <cellStyle name="Normal 128 3 4" xfId="3038" xr:uid="{00000000-0005-0000-0000-0000D0150000}"/>
    <cellStyle name="Normal 128 3 4 2" xfId="7555" xr:uid="{00000000-0005-0000-0000-0000D1150000}"/>
    <cellStyle name="Normal 128 3 4 2 2" xfId="16596" xr:uid="{00000000-0005-0000-0000-0000D2150000}"/>
    <cellStyle name="Normal 128 3 4 3" xfId="12083" xr:uid="{00000000-0005-0000-0000-0000D3150000}"/>
    <cellStyle name="Normal 128 3 5" xfId="4830" xr:uid="{00000000-0005-0000-0000-0000D4150000}"/>
    <cellStyle name="Normal 128 3 5 2" xfId="13871" xr:uid="{00000000-0005-0000-0000-0000D5150000}"/>
    <cellStyle name="Normal 128 3 6" xfId="9358" xr:uid="{00000000-0005-0000-0000-0000D6150000}"/>
    <cellStyle name="Normal 128 4" xfId="453" xr:uid="{00000000-0005-0000-0000-0000D7150000}"/>
    <cellStyle name="Normal 128 4 2" xfId="1017" xr:uid="{00000000-0005-0000-0000-0000D8150000}"/>
    <cellStyle name="Normal 128 4 2 2" xfId="2187" xr:uid="{00000000-0005-0000-0000-0000D9150000}"/>
    <cellStyle name="Normal 128 4 2 2 2" xfId="3044" xr:uid="{00000000-0005-0000-0000-0000DA150000}"/>
    <cellStyle name="Normal 128 4 2 2 2 2" xfId="7561" xr:uid="{00000000-0005-0000-0000-0000DB150000}"/>
    <cellStyle name="Normal 128 4 2 2 2 2 2" xfId="16602" xr:uid="{00000000-0005-0000-0000-0000DC150000}"/>
    <cellStyle name="Normal 128 4 2 2 2 3" xfId="12089" xr:uid="{00000000-0005-0000-0000-0000DD150000}"/>
    <cellStyle name="Normal 128 4 2 2 3" xfId="6710" xr:uid="{00000000-0005-0000-0000-0000DE150000}"/>
    <cellStyle name="Normal 128 4 2 2 3 2" xfId="15751" xr:uid="{00000000-0005-0000-0000-0000DF150000}"/>
    <cellStyle name="Normal 128 4 2 2 4" xfId="11238" xr:uid="{00000000-0005-0000-0000-0000E0150000}"/>
    <cellStyle name="Normal 128 4 2 3" xfId="3043" xr:uid="{00000000-0005-0000-0000-0000E1150000}"/>
    <cellStyle name="Normal 128 4 2 3 2" xfId="7560" xr:uid="{00000000-0005-0000-0000-0000E2150000}"/>
    <cellStyle name="Normal 128 4 2 3 2 2" xfId="16601" xr:uid="{00000000-0005-0000-0000-0000E3150000}"/>
    <cellStyle name="Normal 128 4 2 3 3" xfId="12088" xr:uid="{00000000-0005-0000-0000-0000E4150000}"/>
    <cellStyle name="Normal 128 4 2 4" xfId="5582" xr:uid="{00000000-0005-0000-0000-0000E5150000}"/>
    <cellStyle name="Normal 128 4 2 4 2" xfId="14623" xr:uid="{00000000-0005-0000-0000-0000E6150000}"/>
    <cellStyle name="Normal 128 4 2 5" xfId="10110" xr:uid="{00000000-0005-0000-0000-0000E7150000}"/>
    <cellStyle name="Normal 128 4 3" xfId="1623" xr:uid="{00000000-0005-0000-0000-0000E8150000}"/>
    <cellStyle name="Normal 128 4 3 2" xfId="3045" xr:uid="{00000000-0005-0000-0000-0000E9150000}"/>
    <cellStyle name="Normal 128 4 3 2 2" xfId="7562" xr:uid="{00000000-0005-0000-0000-0000EA150000}"/>
    <cellStyle name="Normal 128 4 3 2 2 2" xfId="16603" xr:uid="{00000000-0005-0000-0000-0000EB150000}"/>
    <cellStyle name="Normal 128 4 3 2 3" xfId="12090" xr:uid="{00000000-0005-0000-0000-0000EC150000}"/>
    <cellStyle name="Normal 128 4 3 3" xfId="6146" xr:uid="{00000000-0005-0000-0000-0000ED150000}"/>
    <cellStyle name="Normal 128 4 3 3 2" xfId="15187" xr:uid="{00000000-0005-0000-0000-0000EE150000}"/>
    <cellStyle name="Normal 128 4 3 4" xfId="10674" xr:uid="{00000000-0005-0000-0000-0000EF150000}"/>
    <cellStyle name="Normal 128 4 4" xfId="3042" xr:uid="{00000000-0005-0000-0000-0000F0150000}"/>
    <cellStyle name="Normal 128 4 4 2" xfId="7559" xr:uid="{00000000-0005-0000-0000-0000F1150000}"/>
    <cellStyle name="Normal 128 4 4 2 2" xfId="16600" xr:uid="{00000000-0005-0000-0000-0000F2150000}"/>
    <cellStyle name="Normal 128 4 4 3" xfId="12087" xr:uid="{00000000-0005-0000-0000-0000F3150000}"/>
    <cellStyle name="Normal 128 4 5" xfId="5018" xr:uid="{00000000-0005-0000-0000-0000F4150000}"/>
    <cellStyle name="Normal 128 4 5 2" xfId="14059" xr:uid="{00000000-0005-0000-0000-0000F5150000}"/>
    <cellStyle name="Normal 128 4 6" xfId="9546" xr:uid="{00000000-0005-0000-0000-0000F6150000}"/>
    <cellStyle name="Normal 128 5" xfId="641" xr:uid="{00000000-0005-0000-0000-0000F7150000}"/>
    <cellStyle name="Normal 128 5 2" xfId="1811" xr:uid="{00000000-0005-0000-0000-0000F8150000}"/>
    <cellStyle name="Normal 128 5 2 2" xfId="3047" xr:uid="{00000000-0005-0000-0000-0000F9150000}"/>
    <cellStyle name="Normal 128 5 2 2 2" xfId="7564" xr:uid="{00000000-0005-0000-0000-0000FA150000}"/>
    <cellStyle name="Normal 128 5 2 2 2 2" xfId="16605" xr:uid="{00000000-0005-0000-0000-0000FB150000}"/>
    <cellStyle name="Normal 128 5 2 2 3" xfId="12092" xr:uid="{00000000-0005-0000-0000-0000FC150000}"/>
    <cellStyle name="Normal 128 5 2 3" xfId="6334" xr:uid="{00000000-0005-0000-0000-0000FD150000}"/>
    <cellStyle name="Normal 128 5 2 3 2" xfId="15375" xr:uid="{00000000-0005-0000-0000-0000FE150000}"/>
    <cellStyle name="Normal 128 5 2 4" xfId="10862" xr:uid="{00000000-0005-0000-0000-0000FF150000}"/>
    <cellStyle name="Normal 128 5 3" xfId="3046" xr:uid="{00000000-0005-0000-0000-000000160000}"/>
    <cellStyle name="Normal 128 5 3 2" xfId="7563" xr:uid="{00000000-0005-0000-0000-000001160000}"/>
    <cellStyle name="Normal 128 5 3 2 2" xfId="16604" xr:uid="{00000000-0005-0000-0000-000002160000}"/>
    <cellStyle name="Normal 128 5 3 3" xfId="12091" xr:uid="{00000000-0005-0000-0000-000003160000}"/>
    <cellStyle name="Normal 128 5 4" xfId="5206" xr:uid="{00000000-0005-0000-0000-000004160000}"/>
    <cellStyle name="Normal 128 5 4 2" xfId="14247" xr:uid="{00000000-0005-0000-0000-000005160000}"/>
    <cellStyle name="Normal 128 5 5" xfId="9734" xr:uid="{00000000-0005-0000-0000-000006160000}"/>
    <cellStyle name="Normal 128 6" xfId="1247" xr:uid="{00000000-0005-0000-0000-000007160000}"/>
    <cellStyle name="Normal 128 6 2" xfId="3048" xr:uid="{00000000-0005-0000-0000-000008160000}"/>
    <cellStyle name="Normal 128 6 2 2" xfId="7565" xr:uid="{00000000-0005-0000-0000-000009160000}"/>
    <cellStyle name="Normal 128 6 2 2 2" xfId="16606" xr:uid="{00000000-0005-0000-0000-00000A160000}"/>
    <cellStyle name="Normal 128 6 2 3" xfId="12093" xr:uid="{00000000-0005-0000-0000-00000B160000}"/>
    <cellStyle name="Normal 128 6 3" xfId="5770" xr:uid="{00000000-0005-0000-0000-00000C160000}"/>
    <cellStyle name="Normal 128 6 3 2" xfId="14811" xr:uid="{00000000-0005-0000-0000-00000D160000}"/>
    <cellStyle name="Normal 128 6 4" xfId="10298" xr:uid="{00000000-0005-0000-0000-00000E160000}"/>
    <cellStyle name="Normal 128 7" xfId="3025" xr:uid="{00000000-0005-0000-0000-00000F160000}"/>
    <cellStyle name="Normal 128 7 2" xfId="7542" xr:uid="{00000000-0005-0000-0000-000010160000}"/>
    <cellStyle name="Normal 128 7 2 2" xfId="16583" xr:uid="{00000000-0005-0000-0000-000011160000}"/>
    <cellStyle name="Normal 128 7 3" xfId="12070" xr:uid="{00000000-0005-0000-0000-000012160000}"/>
    <cellStyle name="Normal 128 8" xfId="4642" xr:uid="{00000000-0005-0000-0000-000013160000}"/>
    <cellStyle name="Normal 128 8 2" xfId="13683" xr:uid="{00000000-0005-0000-0000-000014160000}"/>
    <cellStyle name="Normal 128 9" xfId="9170" xr:uid="{00000000-0005-0000-0000-000015160000}"/>
    <cellStyle name="Normal 129" xfId="35" xr:uid="{00000000-0005-0000-0000-000016160000}"/>
    <cellStyle name="Normal 129 2" xfId="131" xr:uid="{00000000-0005-0000-0000-000017160000}"/>
    <cellStyle name="Normal 129 2 2" xfId="360" xr:uid="{00000000-0005-0000-0000-000018160000}"/>
    <cellStyle name="Normal 129 2 2 2" xfId="924" xr:uid="{00000000-0005-0000-0000-000019160000}"/>
    <cellStyle name="Normal 129 2 2 2 2" xfId="2094" xr:uid="{00000000-0005-0000-0000-00001A160000}"/>
    <cellStyle name="Normal 129 2 2 2 2 2" xfId="3053" xr:uid="{00000000-0005-0000-0000-00001B160000}"/>
    <cellStyle name="Normal 129 2 2 2 2 2 2" xfId="7570" xr:uid="{00000000-0005-0000-0000-00001C160000}"/>
    <cellStyle name="Normal 129 2 2 2 2 2 2 2" xfId="16611" xr:uid="{00000000-0005-0000-0000-00001D160000}"/>
    <cellStyle name="Normal 129 2 2 2 2 2 3" xfId="12098" xr:uid="{00000000-0005-0000-0000-00001E160000}"/>
    <cellStyle name="Normal 129 2 2 2 2 3" xfId="6617" xr:uid="{00000000-0005-0000-0000-00001F160000}"/>
    <cellStyle name="Normal 129 2 2 2 2 3 2" xfId="15658" xr:uid="{00000000-0005-0000-0000-000020160000}"/>
    <cellStyle name="Normal 129 2 2 2 2 4" xfId="11145" xr:uid="{00000000-0005-0000-0000-000021160000}"/>
    <cellStyle name="Normal 129 2 2 2 3" xfId="3052" xr:uid="{00000000-0005-0000-0000-000022160000}"/>
    <cellStyle name="Normal 129 2 2 2 3 2" xfId="7569" xr:uid="{00000000-0005-0000-0000-000023160000}"/>
    <cellStyle name="Normal 129 2 2 2 3 2 2" xfId="16610" xr:uid="{00000000-0005-0000-0000-000024160000}"/>
    <cellStyle name="Normal 129 2 2 2 3 3" xfId="12097" xr:uid="{00000000-0005-0000-0000-000025160000}"/>
    <cellStyle name="Normal 129 2 2 2 4" xfId="5489" xr:uid="{00000000-0005-0000-0000-000026160000}"/>
    <cellStyle name="Normal 129 2 2 2 4 2" xfId="14530" xr:uid="{00000000-0005-0000-0000-000027160000}"/>
    <cellStyle name="Normal 129 2 2 2 5" xfId="10017" xr:uid="{00000000-0005-0000-0000-000028160000}"/>
    <cellStyle name="Normal 129 2 2 3" xfId="1530" xr:uid="{00000000-0005-0000-0000-000029160000}"/>
    <cellStyle name="Normal 129 2 2 3 2" xfId="3054" xr:uid="{00000000-0005-0000-0000-00002A160000}"/>
    <cellStyle name="Normal 129 2 2 3 2 2" xfId="7571" xr:uid="{00000000-0005-0000-0000-00002B160000}"/>
    <cellStyle name="Normal 129 2 2 3 2 2 2" xfId="16612" xr:uid="{00000000-0005-0000-0000-00002C160000}"/>
    <cellStyle name="Normal 129 2 2 3 2 3" xfId="12099" xr:uid="{00000000-0005-0000-0000-00002D160000}"/>
    <cellStyle name="Normal 129 2 2 3 3" xfId="6053" xr:uid="{00000000-0005-0000-0000-00002E160000}"/>
    <cellStyle name="Normal 129 2 2 3 3 2" xfId="15094" xr:uid="{00000000-0005-0000-0000-00002F160000}"/>
    <cellStyle name="Normal 129 2 2 3 4" xfId="10581" xr:uid="{00000000-0005-0000-0000-000030160000}"/>
    <cellStyle name="Normal 129 2 2 4" xfId="3051" xr:uid="{00000000-0005-0000-0000-000031160000}"/>
    <cellStyle name="Normal 129 2 2 4 2" xfId="7568" xr:uid="{00000000-0005-0000-0000-000032160000}"/>
    <cellStyle name="Normal 129 2 2 4 2 2" xfId="16609" xr:uid="{00000000-0005-0000-0000-000033160000}"/>
    <cellStyle name="Normal 129 2 2 4 3" xfId="12096" xr:uid="{00000000-0005-0000-0000-000034160000}"/>
    <cellStyle name="Normal 129 2 2 5" xfId="4925" xr:uid="{00000000-0005-0000-0000-000035160000}"/>
    <cellStyle name="Normal 129 2 2 5 2" xfId="13966" xr:uid="{00000000-0005-0000-0000-000036160000}"/>
    <cellStyle name="Normal 129 2 2 6" xfId="9453" xr:uid="{00000000-0005-0000-0000-000037160000}"/>
    <cellStyle name="Normal 129 2 3" xfId="548" xr:uid="{00000000-0005-0000-0000-000038160000}"/>
    <cellStyle name="Normal 129 2 3 2" xfId="1112" xr:uid="{00000000-0005-0000-0000-000039160000}"/>
    <cellStyle name="Normal 129 2 3 2 2" xfId="2282" xr:uid="{00000000-0005-0000-0000-00003A160000}"/>
    <cellStyle name="Normal 129 2 3 2 2 2" xfId="3057" xr:uid="{00000000-0005-0000-0000-00003B160000}"/>
    <cellStyle name="Normal 129 2 3 2 2 2 2" xfId="7574" xr:uid="{00000000-0005-0000-0000-00003C160000}"/>
    <cellStyle name="Normal 129 2 3 2 2 2 2 2" xfId="16615" xr:uid="{00000000-0005-0000-0000-00003D160000}"/>
    <cellStyle name="Normal 129 2 3 2 2 2 3" xfId="12102" xr:uid="{00000000-0005-0000-0000-00003E160000}"/>
    <cellStyle name="Normal 129 2 3 2 2 3" xfId="6805" xr:uid="{00000000-0005-0000-0000-00003F160000}"/>
    <cellStyle name="Normal 129 2 3 2 2 3 2" xfId="15846" xr:uid="{00000000-0005-0000-0000-000040160000}"/>
    <cellStyle name="Normal 129 2 3 2 2 4" xfId="11333" xr:uid="{00000000-0005-0000-0000-000041160000}"/>
    <cellStyle name="Normal 129 2 3 2 3" xfId="3056" xr:uid="{00000000-0005-0000-0000-000042160000}"/>
    <cellStyle name="Normal 129 2 3 2 3 2" xfId="7573" xr:uid="{00000000-0005-0000-0000-000043160000}"/>
    <cellStyle name="Normal 129 2 3 2 3 2 2" xfId="16614" xr:uid="{00000000-0005-0000-0000-000044160000}"/>
    <cellStyle name="Normal 129 2 3 2 3 3" xfId="12101" xr:uid="{00000000-0005-0000-0000-000045160000}"/>
    <cellStyle name="Normal 129 2 3 2 4" xfId="5677" xr:uid="{00000000-0005-0000-0000-000046160000}"/>
    <cellStyle name="Normal 129 2 3 2 4 2" xfId="14718" xr:uid="{00000000-0005-0000-0000-000047160000}"/>
    <cellStyle name="Normal 129 2 3 2 5" xfId="10205" xr:uid="{00000000-0005-0000-0000-000048160000}"/>
    <cellStyle name="Normal 129 2 3 3" xfId="1718" xr:uid="{00000000-0005-0000-0000-000049160000}"/>
    <cellStyle name="Normal 129 2 3 3 2" xfId="3058" xr:uid="{00000000-0005-0000-0000-00004A160000}"/>
    <cellStyle name="Normal 129 2 3 3 2 2" xfId="7575" xr:uid="{00000000-0005-0000-0000-00004B160000}"/>
    <cellStyle name="Normal 129 2 3 3 2 2 2" xfId="16616" xr:uid="{00000000-0005-0000-0000-00004C160000}"/>
    <cellStyle name="Normal 129 2 3 3 2 3" xfId="12103" xr:uid="{00000000-0005-0000-0000-00004D160000}"/>
    <cellStyle name="Normal 129 2 3 3 3" xfId="6241" xr:uid="{00000000-0005-0000-0000-00004E160000}"/>
    <cellStyle name="Normal 129 2 3 3 3 2" xfId="15282" xr:uid="{00000000-0005-0000-0000-00004F160000}"/>
    <cellStyle name="Normal 129 2 3 3 4" xfId="10769" xr:uid="{00000000-0005-0000-0000-000050160000}"/>
    <cellStyle name="Normal 129 2 3 4" xfId="3055" xr:uid="{00000000-0005-0000-0000-000051160000}"/>
    <cellStyle name="Normal 129 2 3 4 2" xfId="7572" xr:uid="{00000000-0005-0000-0000-000052160000}"/>
    <cellStyle name="Normal 129 2 3 4 2 2" xfId="16613" xr:uid="{00000000-0005-0000-0000-000053160000}"/>
    <cellStyle name="Normal 129 2 3 4 3" xfId="12100" xr:uid="{00000000-0005-0000-0000-000054160000}"/>
    <cellStyle name="Normal 129 2 3 5" xfId="5113" xr:uid="{00000000-0005-0000-0000-000055160000}"/>
    <cellStyle name="Normal 129 2 3 5 2" xfId="14154" xr:uid="{00000000-0005-0000-0000-000056160000}"/>
    <cellStyle name="Normal 129 2 3 6" xfId="9641" xr:uid="{00000000-0005-0000-0000-000057160000}"/>
    <cellStyle name="Normal 129 2 4" xfId="736" xr:uid="{00000000-0005-0000-0000-000058160000}"/>
    <cellStyle name="Normal 129 2 4 2" xfId="1906" xr:uid="{00000000-0005-0000-0000-000059160000}"/>
    <cellStyle name="Normal 129 2 4 2 2" xfId="3060" xr:uid="{00000000-0005-0000-0000-00005A160000}"/>
    <cellStyle name="Normal 129 2 4 2 2 2" xfId="7577" xr:uid="{00000000-0005-0000-0000-00005B160000}"/>
    <cellStyle name="Normal 129 2 4 2 2 2 2" xfId="16618" xr:uid="{00000000-0005-0000-0000-00005C160000}"/>
    <cellStyle name="Normal 129 2 4 2 2 3" xfId="12105" xr:uid="{00000000-0005-0000-0000-00005D160000}"/>
    <cellStyle name="Normal 129 2 4 2 3" xfId="6429" xr:uid="{00000000-0005-0000-0000-00005E160000}"/>
    <cellStyle name="Normal 129 2 4 2 3 2" xfId="15470" xr:uid="{00000000-0005-0000-0000-00005F160000}"/>
    <cellStyle name="Normal 129 2 4 2 4" xfId="10957" xr:uid="{00000000-0005-0000-0000-000060160000}"/>
    <cellStyle name="Normal 129 2 4 3" xfId="3059" xr:uid="{00000000-0005-0000-0000-000061160000}"/>
    <cellStyle name="Normal 129 2 4 3 2" xfId="7576" xr:uid="{00000000-0005-0000-0000-000062160000}"/>
    <cellStyle name="Normal 129 2 4 3 2 2" xfId="16617" xr:uid="{00000000-0005-0000-0000-000063160000}"/>
    <cellStyle name="Normal 129 2 4 3 3" xfId="12104" xr:uid="{00000000-0005-0000-0000-000064160000}"/>
    <cellStyle name="Normal 129 2 4 4" xfId="5301" xr:uid="{00000000-0005-0000-0000-000065160000}"/>
    <cellStyle name="Normal 129 2 4 4 2" xfId="14342" xr:uid="{00000000-0005-0000-0000-000066160000}"/>
    <cellStyle name="Normal 129 2 4 5" xfId="9829" xr:uid="{00000000-0005-0000-0000-000067160000}"/>
    <cellStyle name="Normal 129 2 5" xfId="1342" xr:uid="{00000000-0005-0000-0000-000068160000}"/>
    <cellStyle name="Normal 129 2 5 2" xfId="3061" xr:uid="{00000000-0005-0000-0000-000069160000}"/>
    <cellStyle name="Normal 129 2 5 2 2" xfId="7578" xr:uid="{00000000-0005-0000-0000-00006A160000}"/>
    <cellStyle name="Normal 129 2 5 2 2 2" xfId="16619" xr:uid="{00000000-0005-0000-0000-00006B160000}"/>
    <cellStyle name="Normal 129 2 5 2 3" xfId="12106" xr:uid="{00000000-0005-0000-0000-00006C160000}"/>
    <cellStyle name="Normal 129 2 5 3" xfId="5865" xr:uid="{00000000-0005-0000-0000-00006D160000}"/>
    <cellStyle name="Normal 129 2 5 3 2" xfId="14906" xr:uid="{00000000-0005-0000-0000-00006E160000}"/>
    <cellStyle name="Normal 129 2 5 4" xfId="10393" xr:uid="{00000000-0005-0000-0000-00006F160000}"/>
    <cellStyle name="Normal 129 2 6" xfId="3050" xr:uid="{00000000-0005-0000-0000-000070160000}"/>
    <cellStyle name="Normal 129 2 6 2" xfId="7567" xr:uid="{00000000-0005-0000-0000-000071160000}"/>
    <cellStyle name="Normal 129 2 6 2 2" xfId="16608" xr:uid="{00000000-0005-0000-0000-000072160000}"/>
    <cellStyle name="Normal 129 2 6 3" xfId="12095" xr:uid="{00000000-0005-0000-0000-000073160000}"/>
    <cellStyle name="Normal 129 2 7" xfId="4737" xr:uid="{00000000-0005-0000-0000-000074160000}"/>
    <cellStyle name="Normal 129 2 7 2" xfId="13778" xr:uid="{00000000-0005-0000-0000-000075160000}"/>
    <cellStyle name="Normal 129 2 8" xfId="9265" xr:uid="{00000000-0005-0000-0000-000076160000}"/>
    <cellStyle name="Normal 129 3" xfId="266" xr:uid="{00000000-0005-0000-0000-000077160000}"/>
    <cellStyle name="Normal 129 3 2" xfId="830" xr:uid="{00000000-0005-0000-0000-000078160000}"/>
    <cellStyle name="Normal 129 3 2 2" xfId="2000" xr:uid="{00000000-0005-0000-0000-000079160000}"/>
    <cellStyle name="Normal 129 3 2 2 2" xfId="3064" xr:uid="{00000000-0005-0000-0000-00007A160000}"/>
    <cellStyle name="Normal 129 3 2 2 2 2" xfId="7581" xr:uid="{00000000-0005-0000-0000-00007B160000}"/>
    <cellStyle name="Normal 129 3 2 2 2 2 2" xfId="16622" xr:uid="{00000000-0005-0000-0000-00007C160000}"/>
    <cellStyle name="Normal 129 3 2 2 2 3" xfId="12109" xr:uid="{00000000-0005-0000-0000-00007D160000}"/>
    <cellStyle name="Normal 129 3 2 2 3" xfId="6523" xr:uid="{00000000-0005-0000-0000-00007E160000}"/>
    <cellStyle name="Normal 129 3 2 2 3 2" xfId="15564" xr:uid="{00000000-0005-0000-0000-00007F160000}"/>
    <cellStyle name="Normal 129 3 2 2 4" xfId="11051" xr:uid="{00000000-0005-0000-0000-000080160000}"/>
    <cellStyle name="Normal 129 3 2 3" xfId="3063" xr:uid="{00000000-0005-0000-0000-000081160000}"/>
    <cellStyle name="Normal 129 3 2 3 2" xfId="7580" xr:uid="{00000000-0005-0000-0000-000082160000}"/>
    <cellStyle name="Normal 129 3 2 3 2 2" xfId="16621" xr:uid="{00000000-0005-0000-0000-000083160000}"/>
    <cellStyle name="Normal 129 3 2 3 3" xfId="12108" xr:uid="{00000000-0005-0000-0000-000084160000}"/>
    <cellStyle name="Normal 129 3 2 4" xfId="5395" xr:uid="{00000000-0005-0000-0000-000085160000}"/>
    <cellStyle name="Normal 129 3 2 4 2" xfId="14436" xr:uid="{00000000-0005-0000-0000-000086160000}"/>
    <cellStyle name="Normal 129 3 2 5" xfId="9923" xr:uid="{00000000-0005-0000-0000-000087160000}"/>
    <cellStyle name="Normal 129 3 3" xfId="1436" xr:uid="{00000000-0005-0000-0000-000088160000}"/>
    <cellStyle name="Normal 129 3 3 2" xfId="3065" xr:uid="{00000000-0005-0000-0000-000089160000}"/>
    <cellStyle name="Normal 129 3 3 2 2" xfId="7582" xr:uid="{00000000-0005-0000-0000-00008A160000}"/>
    <cellStyle name="Normal 129 3 3 2 2 2" xfId="16623" xr:uid="{00000000-0005-0000-0000-00008B160000}"/>
    <cellStyle name="Normal 129 3 3 2 3" xfId="12110" xr:uid="{00000000-0005-0000-0000-00008C160000}"/>
    <cellStyle name="Normal 129 3 3 3" xfId="5959" xr:uid="{00000000-0005-0000-0000-00008D160000}"/>
    <cellStyle name="Normal 129 3 3 3 2" xfId="15000" xr:uid="{00000000-0005-0000-0000-00008E160000}"/>
    <cellStyle name="Normal 129 3 3 4" xfId="10487" xr:uid="{00000000-0005-0000-0000-00008F160000}"/>
    <cellStyle name="Normal 129 3 4" xfId="3062" xr:uid="{00000000-0005-0000-0000-000090160000}"/>
    <cellStyle name="Normal 129 3 4 2" xfId="7579" xr:uid="{00000000-0005-0000-0000-000091160000}"/>
    <cellStyle name="Normal 129 3 4 2 2" xfId="16620" xr:uid="{00000000-0005-0000-0000-000092160000}"/>
    <cellStyle name="Normal 129 3 4 3" xfId="12107" xr:uid="{00000000-0005-0000-0000-000093160000}"/>
    <cellStyle name="Normal 129 3 5" xfId="4831" xr:uid="{00000000-0005-0000-0000-000094160000}"/>
    <cellStyle name="Normal 129 3 5 2" xfId="13872" xr:uid="{00000000-0005-0000-0000-000095160000}"/>
    <cellStyle name="Normal 129 3 6" xfId="9359" xr:uid="{00000000-0005-0000-0000-000096160000}"/>
    <cellStyle name="Normal 129 4" xfId="454" xr:uid="{00000000-0005-0000-0000-000097160000}"/>
    <cellStyle name="Normal 129 4 2" xfId="1018" xr:uid="{00000000-0005-0000-0000-000098160000}"/>
    <cellStyle name="Normal 129 4 2 2" xfId="2188" xr:uid="{00000000-0005-0000-0000-000099160000}"/>
    <cellStyle name="Normal 129 4 2 2 2" xfId="3068" xr:uid="{00000000-0005-0000-0000-00009A160000}"/>
    <cellStyle name="Normal 129 4 2 2 2 2" xfId="7585" xr:uid="{00000000-0005-0000-0000-00009B160000}"/>
    <cellStyle name="Normal 129 4 2 2 2 2 2" xfId="16626" xr:uid="{00000000-0005-0000-0000-00009C160000}"/>
    <cellStyle name="Normal 129 4 2 2 2 3" xfId="12113" xr:uid="{00000000-0005-0000-0000-00009D160000}"/>
    <cellStyle name="Normal 129 4 2 2 3" xfId="6711" xr:uid="{00000000-0005-0000-0000-00009E160000}"/>
    <cellStyle name="Normal 129 4 2 2 3 2" xfId="15752" xr:uid="{00000000-0005-0000-0000-00009F160000}"/>
    <cellStyle name="Normal 129 4 2 2 4" xfId="11239" xr:uid="{00000000-0005-0000-0000-0000A0160000}"/>
    <cellStyle name="Normal 129 4 2 3" xfId="3067" xr:uid="{00000000-0005-0000-0000-0000A1160000}"/>
    <cellStyle name="Normal 129 4 2 3 2" xfId="7584" xr:uid="{00000000-0005-0000-0000-0000A2160000}"/>
    <cellStyle name="Normal 129 4 2 3 2 2" xfId="16625" xr:uid="{00000000-0005-0000-0000-0000A3160000}"/>
    <cellStyle name="Normal 129 4 2 3 3" xfId="12112" xr:uid="{00000000-0005-0000-0000-0000A4160000}"/>
    <cellStyle name="Normal 129 4 2 4" xfId="5583" xr:uid="{00000000-0005-0000-0000-0000A5160000}"/>
    <cellStyle name="Normal 129 4 2 4 2" xfId="14624" xr:uid="{00000000-0005-0000-0000-0000A6160000}"/>
    <cellStyle name="Normal 129 4 2 5" xfId="10111" xr:uid="{00000000-0005-0000-0000-0000A7160000}"/>
    <cellStyle name="Normal 129 4 3" xfId="1624" xr:uid="{00000000-0005-0000-0000-0000A8160000}"/>
    <cellStyle name="Normal 129 4 3 2" xfId="3069" xr:uid="{00000000-0005-0000-0000-0000A9160000}"/>
    <cellStyle name="Normal 129 4 3 2 2" xfId="7586" xr:uid="{00000000-0005-0000-0000-0000AA160000}"/>
    <cellStyle name="Normal 129 4 3 2 2 2" xfId="16627" xr:uid="{00000000-0005-0000-0000-0000AB160000}"/>
    <cellStyle name="Normal 129 4 3 2 3" xfId="12114" xr:uid="{00000000-0005-0000-0000-0000AC160000}"/>
    <cellStyle name="Normal 129 4 3 3" xfId="6147" xr:uid="{00000000-0005-0000-0000-0000AD160000}"/>
    <cellStyle name="Normal 129 4 3 3 2" xfId="15188" xr:uid="{00000000-0005-0000-0000-0000AE160000}"/>
    <cellStyle name="Normal 129 4 3 4" xfId="10675" xr:uid="{00000000-0005-0000-0000-0000AF160000}"/>
    <cellStyle name="Normal 129 4 4" xfId="3066" xr:uid="{00000000-0005-0000-0000-0000B0160000}"/>
    <cellStyle name="Normal 129 4 4 2" xfId="7583" xr:uid="{00000000-0005-0000-0000-0000B1160000}"/>
    <cellStyle name="Normal 129 4 4 2 2" xfId="16624" xr:uid="{00000000-0005-0000-0000-0000B2160000}"/>
    <cellStyle name="Normal 129 4 4 3" xfId="12111" xr:uid="{00000000-0005-0000-0000-0000B3160000}"/>
    <cellStyle name="Normal 129 4 5" xfId="5019" xr:uid="{00000000-0005-0000-0000-0000B4160000}"/>
    <cellStyle name="Normal 129 4 5 2" xfId="14060" xr:uid="{00000000-0005-0000-0000-0000B5160000}"/>
    <cellStyle name="Normal 129 4 6" xfId="9547" xr:uid="{00000000-0005-0000-0000-0000B6160000}"/>
    <cellStyle name="Normal 129 5" xfId="642" xr:uid="{00000000-0005-0000-0000-0000B7160000}"/>
    <cellStyle name="Normal 129 5 2" xfId="1812" xr:uid="{00000000-0005-0000-0000-0000B8160000}"/>
    <cellStyle name="Normal 129 5 2 2" xfId="3071" xr:uid="{00000000-0005-0000-0000-0000B9160000}"/>
    <cellStyle name="Normal 129 5 2 2 2" xfId="7588" xr:uid="{00000000-0005-0000-0000-0000BA160000}"/>
    <cellStyle name="Normal 129 5 2 2 2 2" xfId="16629" xr:uid="{00000000-0005-0000-0000-0000BB160000}"/>
    <cellStyle name="Normal 129 5 2 2 3" xfId="12116" xr:uid="{00000000-0005-0000-0000-0000BC160000}"/>
    <cellStyle name="Normal 129 5 2 3" xfId="6335" xr:uid="{00000000-0005-0000-0000-0000BD160000}"/>
    <cellStyle name="Normal 129 5 2 3 2" xfId="15376" xr:uid="{00000000-0005-0000-0000-0000BE160000}"/>
    <cellStyle name="Normal 129 5 2 4" xfId="10863" xr:uid="{00000000-0005-0000-0000-0000BF160000}"/>
    <cellStyle name="Normal 129 5 3" xfId="3070" xr:uid="{00000000-0005-0000-0000-0000C0160000}"/>
    <cellStyle name="Normal 129 5 3 2" xfId="7587" xr:uid="{00000000-0005-0000-0000-0000C1160000}"/>
    <cellStyle name="Normal 129 5 3 2 2" xfId="16628" xr:uid="{00000000-0005-0000-0000-0000C2160000}"/>
    <cellStyle name="Normal 129 5 3 3" xfId="12115" xr:uid="{00000000-0005-0000-0000-0000C3160000}"/>
    <cellStyle name="Normal 129 5 4" xfId="5207" xr:uid="{00000000-0005-0000-0000-0000C4160000}"/>
    <cellStyle name="Normal 129 5 4 2" xfId="14248" xr:uid="{00000000-0005-0000-0000-0000C5160000}"/>
    <cellStyle name="Normal 129 5 5" xfId="9735" xr:uid="{00000000-0005-0000-0000-0000C6160000}"/>
    <cellStyle name="Normal 129 6" xfId="1248" xr:uid="{00000000-0005-0000-0000-0000C7160000}"/>
    <cellStyle name="Normal 129 6 2" xfId="3072" xr:uid="{00000000-0005-0000-0000-0000C8160000}"/>
    <cellStyle name="Normal 129 6 2 2" xfId="7589" xr:uid="{00000000-0005-0000-0000-0000C9160000}"/>
    <cellStyle name="Normal 129 6 2 2 2" xfId="16630" xr:uid="{00000000-0005-0000-0000-0000CA160000}"/>
    <cellStyle name="Normal 129 6 2 3" xfId="12117" xr:uid="{00000000-0005-0000-0000-0000CB160000}"/>
    <cellStyle name="Normal 129 6 3" xfId="5771" xr:uid="{00000000-0005-0000-0000-0000CC160000}"/>
    <cellStyle name="Normal 129 6 3 2" xfId="14812" xr:uid="{00000000-0005-0000-0000-0000CD160000}"/>
    <cellStyle name="Normal 129 6 4" xfId="10299" xr:uid="{00000000-0005-0000-0000-0000CE160000}"/>
    <cellStyle name="Normal 129 7" xfId="3049" xr:uid="{00000000-0005-0000-0000-0000CF160000}"/>
    <cellStyle name="Normal 129 7 2" xfId="7566" xr:uid="{00000000-0005-0000-0000-0000D0160000}"/>
    <cellStyle name="Normal 129 7 2 2" xfId="16607" xr:uid="{00000000-0005-0000-0000-0000D1160000}"/>
    <cellStyle name="Normal 129 7 3" xfId="12094" xr:uid="{00000000-0005-0000-0000-0000D2160000}"/>
    <cellStyle name="Normal 129 8" xfId="4643" xr:uid="{00000000-0005-0000-0000-0000D3160000}"/>
    <cellStyle name="Normal 129 8 2" xfId="13684" xr:uid="{00000000-0005-0000-0000-0000D4160000}"/>
    <cellStyle name="Normal 129 9" xfId="9171" xr:uid="{00000000-0005-0000-0000-0000D5160000}"/>
    <cellStyle name="Normal 130" xfId="36" xr:uid="{00000000-0005-0000-0000-0000D6160000}"/>
    <cellStyle name="Normal 130 2" xfId="132" xr:uid="{00000000-0005-0000-0000-0000D7160000}"/>
    <cellStyle name="Normal 130 2 2" xfId="361" xr:uid="{00000000-0005-0000-0000-0000D8160000}"/>
    <cellStyle name="Normal 130 2 2 2" xfId="925" xr:uid="{00000000-0005-0000-0000-0000D9160000}"/>
    <cellStyle name="Normal 130 2 2 2 2" xfId="2095" xr:uid="{00000000-0005-0000-0000-0000DA160000}"/>
    <cellStyle name="Normal 130 2 2 2 2 2" xfId="3077" xr:uid="{00000000-0005-0000-0000-0000DB160000}"/>
    <cellStyle name="Normal 130 2 2 2 2 2 2" xfId="7594" xr:uid="{00000000-0005-0000-0000-0000DC160000}"/>
    <cellStyle name="Normal 130 2 2 2 2 2 2 2" xfId="16635" xr:uid="{00000000-0005-0000-0000-0000DD160000}"/>
    <cellStyle name="Normal 130 2 2 2 2 2 3" xfId="12122" xr:uid="{00000000-0005-0000-0000-0000DE160000}"/>
    <cellStyle name="Normal 130 2 2 2 2 3" xfId="6618" xr:uid="{00000000-0005-0000-0000-0000DF160000}"/>
    <cellStyle name="Normal 130 2 2 2 2 3 2" xfId="15659" xr:uid="{00000000-0005-0000-0000-0000E0160000}"/>
    <cellStyle name="Normal 130 2 2 2 2 4" xfId="11146" xr:uid="{00000000-0005-0000-0000-0000E1160000}"/>
    <cellStyle name="Normal 130 2 2 2 3" xfId="3076" xr:uid="{00000000-0005-0000-0000-0000E2160000}"/>
    <cellStyle name="Normal 130 2 2 2 3 2" xfId="7593" xr:uid="{00000000-0005-0000-0000-0000E3160000}"/>
    <cellStyle name="Normal 130 2 2 2 3 2 2" xfId="16634" xr:uid="{00000000-0005-0000-0000-0000E4160000}"/>
    <cellStyle name="Normal 130 2 2 2 3 3" xfId="12121" xr:uid="{00000000-0005-0000-0000-0000E5160000}"/>
    <cellStyle name="Normal 130 2 2 2 4" xfId="5490" xr:uid="{00000000-0005-0000-0000-0000E6160000}"/>
    <cellStyle name="Normal 130 2 2 2 4 2" xfId="14531" xr:uid="{00000000-0005-0000-0000-0000E7160000}"/>
    <cellStyle name="Normal 130 2 2 2 5" xfId="10018" xr:uid="{00000000-0005-0000-0000-0000E8160000}"/>
    <cellStyle name="Normal 130 2 2 3" xfId="1531" xr:uid="{00000000-0005-0000-0000-0000E9160000}"/>
    <cellStyle name="Normal 130 2 2 3 2" xfId="3078" xr:uid="{00000000-0005-0000-0000-0000EA160000}"/>
    <cellStyle name="Normal 130 2 2 3 2 2" xfId="7595" xr:uid="{00000000-0005-0000-0000-0000EB160000}"/>
    <cellStyle name="Normal 130 2 2 3 2 2 2" xfId="16636" xr:uid="{00000000-0005-0000-0000-0000EC160000}"/>
    <cellStyle name="Normal 130 2 2 3 2 3" xfId="12123" xr:uid="{00000000-0005-0000-0000-0000ED160000}"/>
    <cellStyle name="Normal 130 2 2 3 3" xfId="6054" xr:uid="{00000000-0005-0000-0000-0000EE160000}"/>
    <cellStyle name="Normal 130 2 2 3 3 2" xfId="15095" xr:uid="{00000000-0005-0000-0000-0000EF160000}"/>
    <cellStyle name="Normal 130 2 2 3 4" xfId="10582" xr:uid="{00000000-0005-0000-0000-0000F0160000}"/>
    <cellStyle name="Normal 130 2 2 4" xfId="3075" xr:uid="{00000000-0005-0000-0000-0000F1160000}"/>
    <cellStyle name="Normal 130 2 2 4 2" xfId="7592" xr:uid="{00000000-0005-0000-0000-0000F2160000}"/>
    <cellStyle name="Normal 130 2 2 4 2 2" xfId="16633" xr:uid="{00000000-0005-0000-0000-0000F3160000}"/>
    <cellStyle name="Normal 130 2 2 4 3" xfId="12120" xr:uid="{00000000-0005-0000-0000-0000F4160000}"/>
    <cellStyle name="Normal 130 2 2 5" xfId="4926" xr:uid="{00000000-0005-0000-0000-0000F5160000}"/>
    <cellStyle name="Normal 130 2 2 5 2" xfId="13967" xr:uid="{00000000-0005-0000-0000-0000F6160000}"/>
    <cellStyle name="Normal 130 2 2 6" xfId="9454" xr:uid="{00000000-0005-0000-0000-0000F7160000}"/>
    <cellStyle name="Normal 130 2 3" xfId="549" xr:uid="{00000000-0005-0000-0000-0000F8160000}"/>
    <cellStyle name="Normal 130 2 3 2" xfId="1113" xr:uid="{00000000-0005-0000-0000-0000F9160000}"/>
    <cellStyle name="Normal 130 2 3 2 2" xfId="2283" xr:uid="{00000000-0005-0000-0000-0000FA160000}"/>
    <cellStyle name="Normal 130 2 3 2 2 2" xfId="3081" xr:uid="{00000000-0005-0000-0000-0000FB160000}"/>
    <cellStyle name="Normal 130 2 3 2 2 2 2" xfId="7598" xr:uid="{00000000-0005-0000-0000-0000FC160000}"/>
    <cellStyle name="Normal 130 2 3 2 2 2 2 2" xfId="16639" xr:uid="{00000000-0005-0000-0000-0000FD160000}"/>
    <cellStyle name="Normal 130 2 3 2 2 2 3" xfId="12126" xr:uid="{00000000-0005-0000-0000-0000FE160000}"/>
    <cellStyle name="Normal 130 2 3 2 2 3" xfId="6806" xr:uid="{00000000-0005-0000-0000-0000FF160000}"/>
    <cellStyle name="Normal 130 2 3 2 2 3 2" xfId="15847" xr:uid="{00000000-0005-0000-0000-000000170000}"/>
    <cellStyle name="Normal 130 2 3 2 2 4" xfId="11334" xr:uid="{00000000-0005-0000-0000-000001170000}"/>
    <cellStyle name="Normal 130 2 3 2 3" xfId="3080" xr:uid="{00000000-0005-0000-0000-000002170000}"/>
    <cellStyle name="Normal 130 2 3 2 3 2" xfId="7597" xr:uid="{00000000-0005-0000-0000-000003170000}"/>
    <cellStyle name="Normal 130 2 3 2 3 2 2" xfId="16638" xr:uid="{00000000-0005-0000-0000-000004170000}"/>
    <cellStyle name="Normal 130 2 3 2 3 3" xfId="12125" xr:uid="{00000000-0005-0000-0000-000005170000}"/>
    <cellStyle name="Normal 130 2 3 2 4" xfId="5678" xr:uid="{00000000-0005-0000-0000-000006170000}"/>
    <cellStyle name="Normal 130 2 3 2 4 2" xfId="14719" xr:uid="{00000000-0005-0000-0000-000007170000}"/>
    <cellStyle name="Normal 130 2 3 2 5" xfId="10206" xr:uid="{00000000-0005-0000-0000-000008170000}"/>
    <cellStyle name="Normal 130 2 3 3" xfId="1719" xr:uid="{00000000-0005-0000-0000-000009170000}"/>
    <cellStyle name="Normal 130 2 3 3 2" xfId="3082" xr:uid="{00000000-0005-0000-0000-00000A170000}"/>
    <cellStyle name="Normal 130 2 3 3 2 2" xfId="7599" xr:uid="{00000000-0005-0000-0000-00000B170000}"/>
    <cellStyle name="Normal 130 2 3 3 2 2 2" xfId="16640" xr:uid="{00000000-0005-0000-0000-00000C170000}"/>
    <cellStyle name="Normal 130 2 3 3 2 3" xfId="12127" xr:uid="{00000000-0005-0000-0000-00000D170000}"/>
    <cellStyle name="Normal 130 2 3 3 3" xfId="6242" xr:uid="{00000000-0005-0000-0000-00000E170000}"/>
    <cellStyle name="Normal 130 2 3 3 3 2" xfId="15283" xr:uid="{00000000-0005-0000-0000-00000F170000}"/>
    <cellStyle name="Normal 130 2 3 3 4" xfId="10770" xr:uid="{00000000-0005-0000-0000-000010170000}"/>
    <cellStyle name="Normal 130 2 3 4" xfId="3079" xr:uid="{00000000-0005-0000-0000-000011170000}"/>
    <cellStyle name="Normal 130 2 3 4 2" xfId="7596" xr:uid="{00000000-0005-0000-0000-000012170000}"/>
    <cellStyle name="Normal 130 2 3 4 2 2" xfId="16637" xr:uid="{00000000-0005-0000-0000-000013170000}"/>
    <cellStyle name="Normal 130 2 3 4 3" xfId="12124" xr:uid="{00000000-0005-0000-0000-000014170000}"/>
    <cellStyle name="Normal 130 2 3 5" xfId="5114" xr:uid="{00000000-0005-0000-0000-000015170000}"/>
    <cellStyle name="Normal 130 2 3 5 2" xfId="14155" xr:uid="{00000000-0005-0000-0000-000016170000}"/>
    <cellStyle name="Normal 130 2 3 6" xfId="9642" xr:uid="{00000000-0005-0000-0000-000017170000}"/>
    <cellStyle name="Normal 130 2 4" xfId="737" xr:uid="{00000000-0005-0000-0000-000018170000}"/>
    <cellStyle name="Normal 130 2 4 2" xfId="1907" xr:uid="{00000000-0005-0000-0000-000019170000}"/>
    <cellStyle name="Normal 130 2 4 2 2" xfId="3084" xr:uid="{00000000-0005-0000-0000-00001A170000}"/>
    <cellStyle name="Normal 130 2 4 2 2 2" xfId="7601" xr:uid="{00000000-0005-0000-0000-00001B170000}"/>
    <cellStyle name="Normal 130 2 4 2 2 2 2" xfId="16642" xr:uid="{00000000-0005-0000-0000-00001C170000}"/>
    <cellStyle name="Normal 130 2 4 2 2 3" xfId="12129" xr:uid="{00000000-0005-0000-0000-00001D170000}"/>
    <cellStyle name="Normal 130 2 4 2 3" xfId="6430" xr:uid="{00000000-0005-0000-0000-00001E170000}"/>
    <cellStyle name="Normal 130 2 4 2 3 2" xfId="15471" xr:uid="{00000000-0005-0000-0000-00001F170000}"/>
    <cellStyle name="Normal 130 2 4 2 4" xfId="10958" xr:uid="{00000000-0005-0000-0000-000020170000}"/>
    <cellStyle name="Normal 130 2 4 3" xfId="3083" xr:uid="{00000000-0005-0000-0000-000021170000}"/>
    <cellStyle name="Normal 130 2 4 3 2" xfId="7600" xr:uid="{00000000-0005-0000-0000-000022170000}"/>
    <cellStyle name="Normal 130 2 4 3 2 2" xfId="16641" xr:uid="{00000000-0005-0000-0000-000023170000}"/>
    <cellStyle name="Normal 130 2 4 3 3" xfId="12128" xr:uid="{00000000-0005-0000-0000-000024170000}"/>
    <cellStyle name="Normal 130 2 4 4" xfId="5302" xr:uid="{00000000-0005-0000-0000-000025170000}"/>
    <cellStyle name="Normal 130 2 4 4 2" xfId="14343" xr:uid="{00000000-0005-0000-0000-000026170000}"/>
    <cellStyle name="Normal 130 2 4 5" xfId="9830" xr:uid="{00000000-0005-0000-0000-000027170000}"/>
    <cellStyle name="Normal 130 2 5" xfId="1343" xr:uid="{00000000-0005-0000-0000-000028170000}"/>
    <cellStyle name="Normal 130 2 5 2" xfId="3085" xr:uid="{00000000-0005-0000-0000-000029170000}"/>
    <cellStyle name="Normal 130 2 5 2 2" xfId="7602" xr:uid="{00000000-0005-0000-0000-00002A170000}"/>
    <cellStyle name="Normal 130 2 5 2 2 2" xfId="16643" xr:uid="{00000000-0005-0000-0000-00002B170000}"/>
    <cellStyle name="Normal 130 2 5 2 3" xfId="12130" xr:uid="{00000000-0005-0000-0000-00002C170000}"/>
    <cellStyle name="Normal 130 2 5 3" xfId="5866" xr:uid="{00000000-0005-0000-0000-00002D170000}"/>
    <cellStyle name="Normal 130 2 5 3 2" xfId="14907" xr:uid="{00000000-0005-0000-0000-00002E170000}"/>
    <cellStyle name="Normal 130 2 5 4" xfId="10394" xr:uid="{00000000-0005-0000-0000-00002F170000}"/>
    <cellStyle name="Normal 130 2 6" xfId="3074" xr:uid="{00000000-0005-0000-0000-000030170000}"/>
    <cellStyle name="Normal 130 2 6 2" xfId="7591" xr:uid="{00000000-0005-0000-0000-000031170000}"/>
    <cellStyle name="Normal 130 2 6 2 2" xfId="16632" xr:uid="{00000000-0005-0000-0000-000032170000}"/>
    <cellStyle name="Normal 130 2 6 3" xfId="12119" xr:uid="{00000000-0005-0000-0000-000033170000}"/>
    <cellStyle name="Normal 130 2 7" xfId="4738" xr:uid="{00000000-0005-0000-0000-000034170000}"/>
    <cellStyle name="Normal 130 2 7 2" xfId="13779" xr:uid="{00000000-0005-0000-0000-000035170000}"/>
    <cellStyle name="Normal 130 2 8" xfId="9266" xr:uid="{00000000-0005-0000-0000-000036170000}"/>
    <cellStyle name="Normal 130 3" xfId="267" xr:uid="{00000000-0005-0000-0000-000037170000}"/>
    <cellStyle name="Normal 130 3 2" xfId="831" xr:uid="{00000000-0005-0000-0000-000038170000}"/>
    <cellStyle name="Normal 130 3 2 2" xfId="2001" xr:uid="{00000000-0005-0000-0000-000039170000}"/>
    <cellStyle name="Normal 130 3 2 2 2" xfId="3088" xr:uid="{00000000-0005-0000-0000-00003A170000}"/>
    <cellStyle name="Normal 130 3 2 2 2 2" xfId="7605" xr:uid="{00000000-0005-0000-0000-00003B170000}"/>
    <cellStyle name="Normal 130 3 2 2 2 2 2" xfId="16646" xr:uid="{00000000-0005-0000-0000-00003C170000}"/>
    <cellStyle name="Normal 130 3 2 2 2 3" xfId="12133" xr:uid="{00000000-0005-0000-0000-00003D170000}"/>
    <cellStyle name="Normal 130 3 2 2 3" xfId="6524" xr:uid="{00000000-0005-0000-0000-00003E170000}"/>
    <cellStyle name="Normal 130 3 2 2 3 2" xfId="15565" xr:uid="{00000000-0005-0000-0000-00003F170000}"/>
    <cellStyle name="Normal 130 3 2 2 4" xfId="11052" xr:uid="{00000000-0005-0000-0000-000040170000}"/>
    <cellStyle name="Normal 130 3 2 3" xfId="3087" xr:uid="{00000000-0005-0000-0000-000041170000}"/>
    <cellStyle name="Normal 130 3 2 3 2" xfId="7604" xr:uid="{00000000-0005-0000-0000-000042170000}"/>
    <cellStyle name="Normal 130 3 2 3 2 2" xfId="16645" xr:uid="{00000000-0005-0000-0000-000043170000}"/>
    <cellStyle name="Normal 130 3 2 3 3" xfId="12132" xr:uid="{00000000-0005-0000-0000-000044170000}"/>
    <cellStyle name="Normal 130 3 2 4" xfId="5396" xr:uid="{00000000-0005-0000-0000-000045170000}"/>
    <cellStyle name="Normal 130 3 2 4 2" xfId="14437" xr:uid="{00000000-0005-0000-0000-000046170000}"/>
    <cellStyle name="Normal 130 3 2 5" xfId="9924" xr:uid="{00000000-0005-0000-0000-000047170000}"/>
    <cellStyle name="Normal 130 3 3" xfId="1437" xr:uid="{00000000-0005-0000-0000-000048170000}"/>
    <cellStyle name="Normal 130 3 3 2" xfId="3089" xr:uid="{00000000-0005-0000-0000-000049170000}"/>
    <cellStyle name="Normal 130 3 3 2 2" xfId="7606" xr:uid="{00000000-0005-0000-0000-00004A170000}"/>
    <cellStyle name="Normal 130 3 3 2 2 2" xfId="16647" xr:uid="{00000000-0005-0000-0000-00004B170000}"/>
    <cellStyle name="Normal 130 3 3 2 3" xfId="12134" xr:uid="{00000000-0005-0000-0000-00004C170000}"/>
    <cellStyle name="Normal 130 3 3 3" xfId="5960" xr:uid="{00000000-0005-0000-0000-00004D170000}"/>
    <cellStyle name="Normal 130 3 3 3 2" xfId="15001" xr:uid="{00000000-0005-0000-0000-00004E170000}"/>
    <cellStyle name="Normal 130 3 3 4" xfId="10488" xr:uid="{00000000-0005-0000-0000-00004F170000}"/>
    <cellStyle name="Normal 130 3 4" xfId="3086" xr:uid="{00000000-0005-0000-0000-000050170000}"/>
    <cellStyle name="Normal 130 3 4 2" xfId="7603" xr:uid="{00000000-0005-0000-0000-000051170000}"/>
    <cellStyle name="Normal 130 3 4 2 2" xfId="16644" xr:uid="{00000000-0005-0000-0000-000052170000}"/>
    <cellStyle name="Normal 130 3 4 3" xfId="12131" xr:uid="{00000000-0005-0000-0000-000053170000}"/>
    <cellStyle name="Normal 130 3 5" xfId="4832" xr:uid="{00000000-0005-0000-0000-000054170000}"/>
    <cellStyle name="Normal 130 3 5 2" xfId="13873" xr:uid="{00000000-0005-0000-0000-000055170000}"/>
    <cellStyle name="Normal 130 3 6" xfId="9360" xr:uid="{00000000-0005-0000-0000-000056170000}"/>
    <cellStyle name="Normal 130 4" xfId="455" xr:uid="{00000000-0005-0000-0000-000057170000}"/>
    <cellStyle name="Normal 130 4 2" xfId="1019" xr:uid="{00000000-0005-0000-0000-000058170000}"/>
    <cellStyle name="Normal 130 4 2 2" xfId="2189" xr:uid="{00000000-0005-0000-0000-000059170000}"/>
    <cellStyle name="Normal 130 4 2 2 2" xfId="3092" xr:uid="{00000000-0005-0000-0000-00005A170000}"/>
    <cellStyle name="Normal 130 4 2 2 2 2" xfId="7609" xr:uid="{00000000-0005-0000-0000-00005B170000}"/>
    <cellStyle name="Normal 130 4 2 2 2 2 2" xfId="16650" xr:uid="{00000000-0005-0000-0000-00005C170000}"/>
    <cellStyle name="Normal 130 4 2 2 2 3" xfId="12137" xr:uid="{00000000-0005-0000-0000-00005D170000}"/>
    <cellStyle name="Normal 130 4 2 2 3" xfId="6712" xr:uid="{00000000-0005-0000-0000-00005E170000}"/>
    <cellStyle name="Normal 130 4 2 2 3 2" xfId="15753" xr:uid="{00000000-0005-0000-0000-00005F170000}"/>
    <cellStyle name="Normal 130 4 2 2 4" xfId="11240" xr:uid="{00000000-0005-0000-0000-000060170000}"/>
    <cellStyle name="Normal 130 4 2 3" xfId="3091" xr:uid="{00000000-0005-0000-0000-000061170000}"/>
    <cellStyle name="Normal 130 4 2 3 2" xfId="7608" xr:uid="{00000000-0005-0000-0000-000062170000}"/>
    <cellStyle name="Normal 130 4 2 3 2 2" xfId="16649" xr:uid="{00000000-0005-0000-0000-000063170000}"/>
    <cellStyle name="Normal 130 4 2 3 3" xfId="12136" xr:uid="{00000000-0005-0000-0000-000064170000}"/>
    <cellStyle name="Normal 130 4 2 4" xfId="5584" xr:uid="{00000000-0005-0000-0000-000065170000}"/>
    <cellStyle name="Normal 130 4 2 4 2" xfId="14625" xr:uid="{00000000-0005-0000-0000-000066170000}"/>
    <cellStyle name="Normal 130 4 2 5" xfId="10112" xr:uid="{00000000-0005-0000-0000-000067170000}"/>
    <cellStyle name="Normal 130 4 3" xfId="1625" xr:uid="{00000000-0005-0000-0000-000068170000}"/>
    <cellStyle name="Normal 130 4 3 2" xfId="3093" xr:uid="{00000000-0005-0000-0000-000069170000}"/>
    <cellStyle name="Normal 130 4 3 2 2" xfId="7610" xr:uid="{00000000-0005-0000-0000-00006A170000}"/>
    <cellStyle name="Normal 130 4 3 2 2 2" xfId="16651" xr:uid="{00000000-0005-0000-0000-00006B170000}"/>
    <cellStyle name="Normal 130 4 3 2 3" xfId="12138" xr:uid="{00000000-0005-0000-0000-00006C170000}"/>
    <cellStyle name="Normal 130 4 3 3" xfId="6148" xr:uid="{00000000-0005-0000-0000-00006D170000}"/>
    <cellStyle name="Normal 130 4 3 3 2" xfId="15189" xr:uid="{00000000-0005-0000-0000-00006E170000}"/>
    <cellStyle name="Normal 130 4 3 4" xfId="10676" xr:uid="{00000000-0005-0000-0000-00006F170000}"/>
    <cellStyle name="Normal 130 4 4" xfId="3090" xr:uid="{00000000-0005-0000-0000-000070170000}"/>
    <cellStyle name="Normal 130 4 4 2" xfId="7607" xr:uid="{00000000-0005-0000-0000-000071170000}"/>
    <cellStyle name="Normal 130 4 4 2 2" xfId="16648" xr:uid="{00000000-0005-0000-0000-000072170000}"/>
    <cellStyle name="Normal 130 4 4 3" xfId="12135" xr:uid="{00000000-0005-0000-0000-000073170000}"/>
    <cellStyle name="Normal 130 4 5" xfId="5020" xr:uid="{00000000-0005-0000-0000-000074170000}"/>
    <cellStyle name="Normal 130 4 5 2" xfId="14061" xr:uid="{00000000-0005-0000-0000-000075170000}"/>
    <cellStyle name="Normal 130 4 6" xfId="9548" xr:uid="{00000000-0005-0000-0000-000076170000}"/>
    <cellStyle name="Normal 130 5" xfId="643" xr:uid="{00000000-0005-0000-0000-000077170000}"/>
    <cellStyle name="Normal 130 5 2" xfId="1813" xr:uid="{00000000-0005-0000-0000-000078170000}"/>
    <cellStyle name="Normal 130 5 2 2" xfId="3095" xr:uid="{00000000-0005-0000-0000-000079170000}"/>
    <cellStyle name="Normal 130 5 2 2 2" xfId="7612" xr:uid="{00000000-0005-0000-0000-00007A170000}"/>
    <cellStyle name="Normal 130 5 2 2 2 2" xfId="16653" xr:uid="{00000000-0005-0000-0000-00007B170000}"/>
    <cellStyle name="Normal 130 5 2 2 3" xfId="12140" xr:uid="{00000000-0005-0000-0000-00007C170000}"/>
    <cellStyle name="Normal 130 5 2 3" xfId="6336" xr:uid="{00000000-0005-0000-0000-00007D170000}"/>
    <cellStyle name="Normal 130 5 2 3 2" xfId="15377" xr:uid="{00000000-0005-0000-0000-00007E170000}"/>
    <cellStyle name="Normal 130 5 2 4" xfId="10864" xr:uid="{00000000-0005-0000-0000-00007F170000}"/>
    <cellStyle name="Normal 130 5 3" xfId="3094" xr:uid="{00000000-0005-0000-0000-000080170000}"/>
    <cellStyle name="Normal 130 5 3 2" xfId="7611" xr:uid="{00000000-0005-0000-0000-000081170000}"/>
    <cellStyle name="Normal 130 5 3 2 2" xfId="16652" xr:uid="{00000000-0005-0000-0000-000082170000}"/>
    <cellStyle name="Normal 130 5 3 3" xfId="12139" xr:uid="{00000000-0005-0000-0000-000083170000}"/>
    <cellStyle name="Normal 130 5 4" xfId="5208" xr:uid="{00000000-0005-0000-0000-000084170000}"/>
    <cellStyle name="Normal 130 5 4 2" xfId="14249" xr:uid="{00000000-0005-0000-0000-000085170000}"/>
    <cellStyle name="Normal 130 5 5" xfId="9736" xr:uid="{00000000-0005-0000-0000-000086170000}"/>
    <cellStyle name="Normal 130 6" xfId="1249" xr:uid="{00000000-0005-0000-0000-000087170000}"/>
    <cellStyle name="Normal 130 6 2" xfId="3096" xr:uid="{00000000-0005-0000-0000-000088170000}"/>
    <cellStyle name="Normal 130 6 2 2" xfId="7613" xr:uid="{00000000-0005-0000-0000-000089170000}"/>
    <cellStyle name="Normal 130 6 2 2 2" xfId="16654" xr:uid="{00000000-0005-0000-0000-00008A170000}"/>
    <cellStyle name="Normal 130 6 2 3" xfId="12141" xr:uid="{00000000-0005-0000-0000-00008B170000}"/>
    <cellStyle name="Normal 130 6 3" xfId="5772" xr:uid="{00000000-0005-0000-0000-00008C170000}"/>
    <cellStyle name="Normal 130 6 3 2" xfId="14813" xr:uid="{00000000-0005-0000-0000-00008D170000}"/>
    <cellStyle name="Normal 130 6 4" xfId="10300" xr:uid="{00000000-0005-0000-0000-00008E170000}"/>
    <cellStyle name="Normal 130 7" xfId="3073" xr:uid="{00000000-0005-0000-0000-00008F170000}"/>
    <cellStyle name="Normal 130 7 2" xfId="7590" xr:uid="{00000000-0005-0000-0000-000090170000}"/>
    <cellStyle name="Normal 130 7 2 2" xfId="16631" xr:uid="{00000000-0005-0000-0000-000091170000}"/>
    <cellStyle name="Normal 130 7 3" xfId="12118" xr:uid="{00000000-0005-0000-0000-000092170000}"/>
    <cellStyle name="Normal 130 8" xfId="4644" xr:uid="{00000000-0005-0000-0000-000093170000}"/>
    <cellStyle name="Normal 130 8 2" xfId="13685" xr:uid="{00000000-0005-0000-0000-000094170000}"/>
    <cellStyle name="Normal 130 9" xfId="9172" xr:uid="{00000000-0005-0000-0000-000095170000}"/>
    <cellStyle name="Normal 131" xfId="37" xr:uid="{00000000-0005-0000-0000-000096170000}"/>
    <cellStyle name="Normal 131 2" xfId="133" xr:uid="{00000000-0005-0000-0000-000097170000}"/>
    <cellStyle name="Normal 131 2 2" xfId="362" xr:uid="{00000000-0005-0000-0000-000098170000}"/>
    <cellStyle name="Normal 131 2 2 2" xfId="926" xr:uid="{00000000-0005-0000-0000-000099170000}"/>
    <cellStyle name="Normal 131 2 2 2 2" xfId="2096" xr:uid="{00000000-0005-0000-0000-00009A170000}"/>
    <cellStyle name="Normal 131 2 2 2 2 2" xfId="3101" xr:uid="{00000000-0005-0000-0000-00009B170000}"/>
    <cellStyle name="Normal 131 2 2 2 2 2 2" xfId="7618" xr:uid="{00000000-0005-0000-0000-00009C170000}"/>
    <cellStyle name="Normal 131 2 2 2 2 2 2 2" xfId="16659" xr:uid="{00000000-0005-0000-0000-00009D170000}"/>
    <cellStyle name="Normal 131 2 2 2 2 2 3" xfId="12146" xr:uid="{00000000-0005-0000-0000-00009E170000}"/>
    <cellStyle name="Normal 131 2 2 2 2 3" xfId="6619" xr:uid="{00000000-0005-0000-0000-00009F170000}"/>
    <cellStyle name="Normal 131 2 2 2 2 3 2" xfId="15660" xr:uid="{00000000-0005-0000-0000-0000A0170000}"/>
    <cellStyle name="Normal 131 2 2 2 2 4" xfId="11147" xr:uid="{00000000-0005-0000-0000-0000A1170000}"/>
    <cellStyle name="Normal 131 2 2 2 3" xfId="3100" xr:uid="{00000000-0005-0000-0000-0000A2170000}"/>
    <cellStyle name="Normal 131 2 2 2 3 2" xfId="7617" xr:uid="{00000000-0005-0000-0000-0000A3170000}"/>
    <cellStyle name="Normal 131 2 2 2 3 2 2" xfId="16658" xr:uid="{00000000-0005-0000-0000-0000A4170000}"/>
    <cellStyle name="Normal 131 2 2 2 3 3" xfId="12145" xr:uid="{00000000-0005-0000-0000-0000A5170000}"/>
    <cellStyle name="Normal 131 2 2 2 4" xfId="5491" xr:uid="{00000000-0005-0000-0000-0000A6170000}"/>
    <cellStyle name="Normal 131 2 2 2 4 2" xfId="14532" xr:uid="{00000000-0005-0000-0000-0000A7170000}"/>
    <cellStyle name="Normal 131 2 2 2 5" xfId="10019" xr:uid="{00000000-0005-0000-0000-0000A8170000}"/>
    <cellStyle name="Normal 131 2 2 3" xfId="1532" xr:uid="{00000000-0005-0000-0000-0000A9170000}"/>
    <cellStyle name="Normal 131 2 2 3 2" xfId="3102" xr:uid="{00000000-0005-0000-0000-0000AA170000}"/>
    <cellStyle name="Normal 131 2 2 3 2 2" xfId="7619" xr:uid="{00000000-0005-0000-0000-0000AB170000}"/>
    <cellStyle name="Normal 131 2 2 3 2 2 2" xfId="16660" xr:uid="{00000000-0005-0000-0000-0000AC170000}"/>
    <cellStyle name="Normal 131 2 2 3 2 3" xfId="12147" xr:uid="{00000000-0005-0000-0000-0000AD170000}"/>
    <cellStyle name="Normal 131 2 2 3 3" xfId="6055" xr:uid="{00000000-0005-0000-0000-0000AE170000}"/>
    <cellStyle name="Normal 131 2 2 3 3 2" xfId="15096" xr:uid="{00000000-0005-0000-0000-0000AF170000}"/>
    <cellStyle name="Normal 131 2 2 3 4" xfId="10583" xr:uid="{00000000-0005-0000-0000-0000B0170000}"/>
    <cellStyle name="Normal 131 2 2 4" xfId="3099" xr:uid="{00000000-0005-0000-0000-0000B1170000}"/>
    <cellStyle name="Normal 131 2 2 4 2" xfId="7616" xr:uid="{00000000-0005-0000-0000-0000B2170000}"/>
    <cellStyle name="Normal 131 2 2 4 2 2" xfId="16657" xr:uid="{00000000-0005-0000-0000-0000B3170000}"/>
    <cellStyle name="Normal 131 2 2 4 3" xfId="12144" xr:uid="{00000000-0005-0000-0000-0000B4170000}"/>
    <cellStyle name="Normal 131 2 2 5" xfId="4927" xr:uid="{00000000-0005-0000-0000-0000B5170000}"/>
    <cellStyle name="Normal 131 2 2 5 2" xfId="13968" xr:uid="{00000000-0005-0000-0000-0000B6170000}"/>
    <cellStyle name="Normal 131 2 2 6" xfId="9455" xr:uid="{00000000-0005-0000-0000-0000B7170000}"/>
    <cellStyle name="Normal 131 2 3" xfId="550" xr:uid="{00000000-0005-0000-0000-0000B8170000}"/>
    <cellStyle name="Normal 131 2 3 2" xfId="1114" xr:uid="{00000000-0005-0000-0000-0000B9170000}"/>
    <cellStyle name="Normal 131 2 3 2 2" xfId="2284" xr:uid="{00000000-0005-0000-0000-0000BA170000}"/>
    <cellStyle name="Normal 131 2 3 2 2 2" xfId="3105" xr:uid="{00000000-0005-0000-0000-0000BB170000}"/>
    <cellStyle name="Normal 131 2 3 2 2 2 2" xfId="7622" xr:uid="{00000000-0005-0000-0000-0000BC170000}"/>
    <cellStyle name="Normal 131 2 3 2 2 2 2 2" xfId="16663" xr:uid="{00000000-0005-0000-0000-0000BD170000}"/>
    <cellStyle name="Normal 131 2 3 2 2 2 3" xfId="12150" xr:uid="{00000000-0005-0000-0000-0000BE170000}"/>
    <cellStyle name="Normal 131 2 3 2 2 3" xfId="6807" xr:uid="{00000000-0005-0000-0000-0000BF170000}"/>
    <cellStyle name="Normal 131 2 3 2 2 3 2" xfId="15848" xr:uid="{00000000-0005-0000-0000-0000C0170000}"/>
    <cellStyle name="Normal 131 2 3 2 2 4" xfId="11335" xr:uid="{00000000-0005-0000-0000-0000C1170000}"/>
    <cellStyle name="Normal 131 2 3 2 3" xfId="3104" xr:uid="{00000000-0005-0000-0000-0000C2170000}"/>
    <cellStyle name="Normal 131 2 3 2 3 2" xfId="7621" xr:uid="{00000000-0005-0000-0000-0000C3170000}"/>
    <cellStyle name="Normal 131 2 3 2 3 2 2" xfId="16662" xr:uid="{00000000-0005-0000-0000-0000C4170000}"/>
    <cellStyle name="Normal 131 2 3 2 3 3" xfId="12149" xr:uid="{00000000-0005-0000-0000-0000C5170000}"/>
    <cellStyle name="Normal 131 2 3 2 4" xfId="5679" xr:uid="{00000000-0005-0000-0000-0000C6170000}"/>
    <cellStyle name="Normal 131 2 3 2 4 2" xfId="14720" xr:uid="{00000000-0005-0000-0000-0000C7170000}"/>
    <cellStyle name="Normal 131 2 3 2 5" xfId="10207" xr:uid="{00000000-0005-0000-0000-0000C8170000}"/>
    <cellStyle name="Normal 131 2 3 3" xfId="1720" xr:uid="{00000000-0005-0000-0000-0000C9170000}"/>
    <cellStyle name="Normal 131 2 3 3 2" xfId="3106" xr:uid="{00000000-0005-0000-0000-0000CA170000}"/>
    <cellStyle name="Normal 131 2 3 3 2 2" xfId="7623" xr:uid="{00000000-0005-0000-0000-0000CB170000}"/>
    <cellStyle name="Normal 131 2 3 3 2 2 2" xfId="16664" xr:uid="{00000000-0005-0000-0000-0000CC170000}"/>
    <cellStyle name="Normal 131 2 3 3 2 3" xfId="12151" xr:uid="{00000000-0005-0000-0000-0000CD170000}"/>
    <cellStyle name="Normal 131 2 3 3 3" xfId="6243" xr:uid="{00000000-0005-0000-0000-0000CE170000}"/>
    <cellStyle name="Normal 131 2 3 3 3 2" xfId="15284" xr:uid="{00000000-0005-0000-0000-0000CF170000}"/>
    <cellStyle name="Normal 131 2 3 3 4" xfId="10771" xr:uid="{00000000-0005-0000-0000-0000D0170000}"/>
    <cellStyle name="Normal 131 2 3 4" xfId="3103" xr:uid="{00000000-0005-0000-0000-0000D1170000}"/>
    <cellStyle name="Normal 131 2 3 4 2" xfId="7620" xr:uid="{00000000-0005-0000-0000-0000D2170000}"/>
    <cellStyle name="Normal 131 2 3 4 2 2" xfId="16661" xr:uid="{00000000-0005-0000-0000-0000D3170000}"/>
    <cellStyle name="Normal 131 2 3 4 3" xfId="12148" xr:uid="{00000000-0005-0000-0000-0000D4170000}"/>
    <cellStyle name="Normal 131 2 3 5" xfId="5115" xr:uid="{00000000-0005-0000-0000-0000D5170000}"/>
    <cellStyle name="Normal 131 2 3 5 2" xfId="14156" xr:uid="{00000000-0005-0000-0000-0000D6170000}"/>
    <cellStyle name="Normal 131 2 3 6" xfId="9643" xr:uid="{00000000-0005-0000-0000-0000D7170000}"/>
    <cellStyle name="Normal 131 2 4" xfId="738" xr:uid="{00000000-0005-0000-0000-0000D8170000}"/>
    <cellStyle name="Normal 131 2 4 2" xfId="1908" xr:uid="{00000000-0005-0000-0000-0000D9170000}"/>
    <cellStyle name="Normal 131 2 4 2 2" xfId="3108" xr:uid="{00000000-0005-0000-0000-0000DA170000}"/>
    <cellStyle name="Normal 131 2 4 2 2 2" xfId="7625" xr:uid="{00000000-0005-0000-0000-0000DB170000}"/>
    <cellStyle name="Normal 131 2 4 2 2 2 2" xfId="16666" xr:uid="{00000000-0005-0000-0000-0000DC170000}"/>
    <cellStyle name="Normal 131 2 4 2 2 3" xfId="12153" xr:uid="{00000000-0005-0000-0000-0000DD170000}"/>
    <cellStyle name="Normal 131 2 4 2 3" xfId="6431" xr:uid="{00000000-0005-0000-0000-0000DE170000}"/>
    <cellStyle name="Normal 131 2 4 2 3 2" xfId="15472" xr:uid="{00000000-0005-0000-0000-0000DF170000}"/>
    <cellStyle name="Normal 131 2 4 2 4" xfId="10959" xr:uid="{00000000-0005-0000-0000-0000E0170000}"/>
    <cellStyle name="Normal 131 2 4 3" xfId="3107" xr:uid="{00000000-0005-0000-0000-0000E1170000}"/>
    <cellStyle name="Normal 131 2 4 3 2" xfId="7624" xr:uid="{00000000-0005-0000-0000-0000E2170000}"/>
    <cellStyle name="Normal 131 2 4 3 2 2" xfId="16665" xr:uid="{00000000-0005-0000-0000-0000E3170000}"/>
    <cellStyle name="Normal 131 2 4 3 3" xfId="12152" xr:uid="{00000000-0005-0000-0000-0000E4170000}"/>
    <cellStyle name="Normal 131 2 4 4" xfId="5303" xr:uid="{00000000-0005-0000-0000-0000E5170000}"/>
    <cellStyle name="Normal 131 2 4 4 2" xfId="14344" xr:uid="{00000000-0005-0000-0000-0000E6170000}"/>
    <cellStyle name="Normal 131 2 4 5" xfId="9831" xr:uid="{00000000-0005-0000-0000-0000E7170000}"/>
    <cellStyle name="Normal 131 2 5" xfId="1344" xr:uid="{00000000-0005-0000-0000-0000E8170000}"/>
    <cellStyle name="Normal 131 2 5 2" xfId="3109" xr:uid="{00000000-0005-0000-0000-0000E9170000}"/>
    <cellStyle name="Normal 131 2 5 2 2" xfId="7626" xr:uid="{00000000-0005-0000-0000-0000EA170000}"/>
    <cellStyle name="Normal 131 2 5 2 2 2" xfId="16667" xr:uid="{00000000-0005-0000-0000-0000EB170000}"/>
    <cellStyle name="Normal 131 2 5 2 3" xfId="12154" xr:uid="{00000000-0005-0000-0000-0000EC170000}"/>
    <cellStyle name="Normal 131 2 5 3" xfId="5867" xr:uid="{00000000-0005-0000-0000-0000ED170000}"/>
    <cellStyle name="Normal 131 2 5 3 2" xfId="14908" xr:uid="{00000000-0005-0000-0000-0000EE170000}"/>
    <cellStyle name="Normal 131 2 5 4" xfId="10395" xr:uid="{00000000-0005-0000-0000-0000EF170000}"/>
    <cellStyle name="Normal 131 2 6" xfId="3098" xr:uid="{00000000-0005-0000-0000-0000F0170000}"/>
    <cellStyle name="Normal 131 2 6 2" xfId="7615" xr:uid="{00000000-0005-0000-0000-0000F1170000}"/>
    <cellStyle name="Normal 131 2 6 2 2" xfId="16656" xr:uid="{00000000-0005-0000-0000-0000F2170000}"/>
    <cellStyle name="Normal 131 2 6 3" xfId="12143" xr:uid="{00000000-0005-0000-0000-0000F3170000}"/>
    <cellStyle name="Normal 131 2 7" xfId="4739" xr:uid="{00000000-0005-0000-0000-0000F4170000}"/>
    <cellStyle name="Normal 131 2 7 2" xfId="13780" xr:uid="{00000000-0005-0000-0000-0000F5170000}"/>
    <cellStyle name="Normal 131 2 8" xfId="9267" xr:uid="{00000000-0005-0000-0000-0000F6170000}"/>
    <cellStyle name="Normal 131 3" xfId="268" xr:uid="{00000000-0005-0000-0000-0000F7170000}"/>
    <cellStyle name="Normal 131 3 2" xfId="832" xr:uid="{00000000-0005-0000-0000-0000F8170000}"/>
    <cellStyle name="Normal 131 3 2 2" xfId="2002" xr:uid="{00000000-0005-0000-0000-0000F9170000}"/>
    <cellStyle name="Normal 131 3 2 2 2" xfId="3112" xr:uid="{00000000-0005-0000-0000-0000FA170000}"/>
    <cellStyle name="Normal 131 3 2 2 2 2" xfId="7629" xr:uid="{00000000-0005-0000-0000-0000FB170000}"/>
    <cellStyle name="Normal 131 3 2 2 2 2 2" xfId="16670" xr:uid="{00000000-0005-0000-0000-0000FC170000}"/>
    <cellStyle name="Normal 131 3 2 2 2 3" xfId="12157" xr:uid="{00000000-0005-0000-0000-0000FD170000}"/>
    <cellStyle name="Normal 131 3 2 2 3" xfId="6525" xr:uid="{00000000-0005-0000-0000-0000FE170000}"/>
    <cellStyle name="Normal 131 3 2 2 3 2" xfId="15566" xr:uid="{00000000-0005-0000-0000-0000FF170000}"/>
    <cellStyle name="Normal 131 3 2 2 4" xfId="11053" xr:uid="{00000000-0005-0000-0000-000000180000}"/>
    <cellStyle name="Normal 131 3 2 3" xfId="3111" xr:uid="{00000000-0005-0000-0000-000001180000}"/>
    <cellStyle name="Normal 131 3 2 3 2" xfId="7628" xr:uid="{00000000-0005-0000-0000-000002180000}"/>
    <cellStyle name="Normal 131 3 2 3 2 2" xfId="16669" xr:uid="{00000000-0005-0000-0000-000003180000}"/>
    <cellStyle name="Normal 131 3 2 3 3" xfId="12156" xr:uid="{00000000-0005-0000-0000-000004180000}"/>
    <cellStyle name="Normal 131 3 2 4" xfId="5397" xr:uid="{00000000-0005-0000-0000-000005180000}"/>
    <cellStyle name="Normal 131 3 2 4 2" xfId="14438" xr:uid="{00000000-0005-0000-0000-000006180000}"/>
    <cellStyle name="Normal 131 3 2 5" xfId="9925" xr:uid="{00000000-0005-0000-0000-000007180000}"/>
    <cellStyle name="Normal 131 3 3" xfId="1438" xr:uid="{00000000-0005-0000-0000-000008180000}"/>
    <cellStyle name="Normal 131 3 3 2" xfId="3113" xr:uid="{00000000-0005-0000-0000-000009180000}"/>
    <cellStyle name="Normal 131 3 3 2 2" xfId="7630" xr:uid="{00000000-0005-0000-0000-00000A180000}"/>
    <cellStyle name="Normal 131 3 3 2 2 2" xfId="16671" xr:uid="{00000000-0005-0000-0000-00000B180000}"/>
    <cellStyle name="Normal 131 3 3 2 3" xfId="12158" xr:uid="{00000000-0005-0000-0000-00000C180000}"/>
    <cellStyle name="Normal 131 3 3 3" xfId="5961" xr:uid="{00000000-0005-0000-0000-00000D180000}"/>
    <cellStyle name="Normal 131 3 3 3 2" xfId="15002" xr:uid="{00000000-0005-0000-0000-00000E180000}"/>
    <cellStyle name="Normal 131 3 3 4" xfId="10489" xr:uid="{00000000-0005-0000-0000-00000F180000}"/>
    <cellStyle name="Normal 131 3 4" xfId="3110" xr:uid="{00000000-0005-0000-0000-000010180000}"/>
    <cellStyle name="Normal 131 3 4 2" xfId="7627" xr:uid="{00000000-0005-0000-0000-000011180000}"/>
    <cellStyle name="Normal 131 3 4 2 2" xfId="16668" xr:uid="{00000000-0005-0000-0000-000012180000}"/>
    <cellStyle name="Normal 131 3 4 3" xfId="12155" xr:uid="{00000000-0005-0000-0000-000013180000}"/>
    <cellStyle name="Normal 131 3 5" xfId="4833" xr:uid="{00000000-0005-0000-0000-000014180000}"/>
    <cellStyle name="Normal 131 3 5 2" xfId="13874" xr:uid="{00000000-0005-0000-0000-000015180000}"/>
    <cellStyle name="Normal 131 3 6" xfId="9361" xr:uid="{00000000-0005-0000-0000-000016180000}"/>
    <cellStyle name="Normal 131 4" xfId="456" xr:uid="{00000000-0005-0000-0000-000017180000}"/>
    <cellStyle name="Normal 131 4 2" xfId="1020" xr:uid="{00000000-0005-0000-0000-000018180000}"/>
    <cellStyle name="Normal 131 4 2 2" xfId="2190" xr:uid="{00000000-0005-0000-0000-000019180000}"/>
    <cellStyle name="Normal 131 4 2 2 2" xfId="3116" xr:uid="{00000000-0005-0000-0000-00001A180000}"/>
    <cellStyle name="Normal 131 4 2 2 2 2" xfId="7633" xr:uid="{00000000-0005-0000-0000-00001B180000}"/>
    <cellStyle name="Normal 131 4 2 2 2 2 2" xfId="16674" xr:uid="{00000000-0005-0000-0000-00001C180000}"/>
    <cellStyle name="Normal 131 4 2 2 2 3" xfId="12161" xr:uid="{00000000-0005-0000-0000-00001D180000}"/>
    <cellStyle name="Normal 131 4 2 2 3" xfId="6713" xr:uid="{00000000-0005-0000-0000-00001E180000}"/>
    <cellStyle name="Normal 131 4 2 2 3 2" xfId="15754" xr:uid="{00000000-0005-0000-0000-00001F180000}"/>
    <cellStyle name="Normal 131 4 2 2 4" xfId="11241" xr:uid="{00000000-0005-0000-0000-000020180000}"/>
    <cellStyle name="Normal 131 4 2 3" xfId="3115" xr:uid="{00000000-0005-0000-0000-000021180000}"/>
    <cellStyle name="Normal 131 4 2 3 2" xfId="7632" xr:uid="{00000000-0005-0000-0000-000022180000}"/>
    <cellStyle name="Normal 131 4 2 3 2 2" xfId="16673" xr:uid="{00000000-0005-0000-0000-000023180000}"/>
    <cellStyle name="Normal 131 4 2 3 3" xfId="12160" xr:uid="{00000000-0005-0000-0000-000024180000}"/>
    <cellStyle name="Normal 131 4 2 4" xfId="5585" xr:uid="{00000000-0005-0000-0000-000025180000}"/>
    <cellStyle name="Normal 131 4 2 4 2" xfId="14626" xr:uid="{00000000-0005-0000-0000-000026180000}"/>
    <cellStyle name="Normal 131 4 2 5" xfId="10113" xr:uid="{00000000-0005-0000-0000-000027180000}"/>
    <cellStyle name="Normal 131 4 3" xfId="1626" xr:uid="{00000000-0005-0000-0000-000028180000}"/>
    <cellStyle name="Normal 131 4 3 2" xfId="3117" xr:uid="{00000000-0005-0000-0000-000029180000}"/>
    <cellStyle name="Normal 131 4 3 2 2" xfId="7634" xr:uid="{00000000-0005-0000-0000-00002A180000}"/>
    <cellStyle name="Normal 131 4 3 2 2 2" xfId="16675" xr:uid="{00000000-0005-0000-0000-00002B180000}"/>
    <cellStyle name="Normal 131 4 3 2 3" xfId="12162" xr:uid="{00000000-0005-0000-0000-00002C180000}"/>
    <cellStyle name="Normal 131 4 3 3" xfId="6149" xr:uid="{00000000-0005-0000-0000-00002D180000}"/>
    <cellStyle name="Normal 131 4 3 3 2" xfId="15190" xr:uid="{00000000-0005-0000-0000-00002E180000}"/>
    <cellStyle name="Normal 131 4 3 4" xfId="10677" xr:uid="{00000000-0005-0000-0000-00002F180000}"/>
    <cellStyle name="Normal 131 4 4" xfId="3114" xr:uid="{00000000-0005-0000-0000-000030180000}"/>
    <cellStyle name="Normal 131 4 4 2" xfId="7631" xr:uid="{00000000-0005-0000-0000-000031180000}"/>
    <cellStyle name="Normal 131 4 4 2 2" xfId="16672" xr:uid="{00000000-0005-0000-0000-000032180000}"/>
    <cellStyle name="Normal 131 4 4 3" xfId="12159" xr:uid="{00000000-0005-0000-0000-000033180000}"/>
    <cellStyle name="Normal 131 4 5" xfId="5021" xr:uid="{00000000-0005-0000-0000-000034180000}"/>
    <cellStyle name="Normal 131 4 5 2" xfId="14062" xr:uid="{00000000-0005-0000-0000-000035180000}"/>
    <cellStyle name="Normal 131 4 6" xfId="9549" xr:uid="{00000000-0005-0000-0000-000036180000}"/>
    <cellStyle name="Normal 131 5" xfId="644" xr:uid="{00000000-0005-0000-0000-000037180000}"/>
    <cellStyle name="Normal 131 5 2" xfId="1814" xr:uid="{00000000-0005-0000-0000-000038180000}"/>
    <cellStyle name="Normal 131 5 2 2" xfId="3119" xr:uid="{00000000-0005-0000-0000-000039180000}"/>
    <cellStyle name="Normal 131 5 2 2 2" xfId="7636" xr:uid="{00000000-0005-0000-0000-00003A180000}"/>
    <cellStyle name="Normal 131 5 2 2 2 2" xfId="16677" xr:uid="{00000000-0005-0000-0000-00003B180000}"/>
    <cellStyle name="Normal 131 5 2 2 3" xfId="12164" xr:uid="{00000000-0005-0000-0000-00003C180000}"/>
    <cellStyle name="Normal 131 5 2 3" xfId="6337" xr:uid="{00000000-0005-0000-0000-00003D180000}"/>
    <cellStyle name="Normal 131 5 2 3 2" xfId="15378" xr:uid="{00000000-0005-0000-0000-00003E180000}"/>
    <cellStyle name="Normal 131 5 2 4" xfId="10865" xr:uid="{00000000-0005-0000-0000-00003F180000}"/>
    <cellStyle name="Normal 131 5 3" xfId="3118" xr:uid="{00000000-0005-0000-0000-000040180000}"/>
    <cellStyle name="Normal 131 5 3 2" xfId="7635" xr:uid="{00000000-0005-0000-0000-000041180000}"/>
    <cellStyle name="Normal 131 5 3 2 2" xfId="16676" xr:uid="{00000000-0005-0000-0000-000042180000}"/>
    <cellStyle name="Normal 131 5 3 3" xfId="12163" xr:uid="{00000000-0005-0000-0000-000043180000}"/>
    <cellStyle name="Normal 131 5 4" xfId="5209" xr:uid="{00000000-0005-0000-0000-000044180000}"/>
    <cellStyle name="Normal 131 5 4 2" xfId="14250" xr:uid="{00000000-0005-0000-0000-000045180000}"/>
    <cellStyle name="Normal 131 5 5" xfId="9737" xr:uid="{00000000-0005-0000-0000-000046180000}"/>
    <cellStyle name="Normal 131 6" xfId="1250" xr:uid="{00000000-0005-0000-0000-000047180000}"/>
    <cellStyle name="Normal 131 6 2" xfId="3120" xr:uid="{00000000-0005-0000-0000-000048180000}"/>
    <cellStyle name="Normal 131 6 2 2" xfId="7637" xr:uid="{00000000-0005-0000-0000-000049180000}"/>
    <cellStyle name="Normal 131 6 2 2 2" xfId="16678" xr:uid="{00000000-0005-0000-0000-00004A180000}"/>
    <cellStyle name="Normal 131 6 2 3" xfId="12165" xr:uid="{00000000-0005-0000-0000-00004B180000}"/>
    <cellStyle name="Normal 131 6 3" xfId="5773" xr:uid="{00000000-0005-0000-0000-00004C180000}"/>
    <cellStyle name="Normal 131 6 3 2" xfId="14814" xr:uid="{00000000-0005-0000-0000-00004D180000}"/>
    <cellStyle name="Normal 131 6 4" xfId="10301" xr:uid="{00000000-0005-0000-0000-00004E180000}"/>
    <cellStyle name="Normal 131 7" xfId="3097" xr:uid="{00000000-0005-0000-0000-00004F180000}"/>
    <cellStyle name="Normal 131 7 2" xfId="7614" xr:uid="{00000000-0005-0000-0000-000050180000}"/>
    <cellStyle name="Normal 131 7 2 2" xfId="16655" xr:uid="{00000000-0005-0000-0000-000051180000}"/>
    <cellStyle name="Normal 131 7 3" xfId="12142" xr:uid="{00000000-0005-0000-0000-000052180000}"/>
    <cellStyle name="Normal 131 8" xfId="4645" xr:uid="{00000000-0005-0000-0000-000053180000}"/>
    <cellStyle name="Normal 131 8 2" xfId="13686" xr:uid="{00000000-0005-0000-0000-000054180000}"/>
    <cellStyle name="Normal 131 9" xfId="9173" xr:uid="{00000000-0005-0000-0000-000055180000}"/>
    <cellStyle name="Normal 2" xfId="2" xr:uid="{00000000-0005-0000-0000-000056180000}"/>
    <cellStyle name="Normal 2 2" xfId="3122" xr:uid="{00000000-0005-0000-0000-000057180000}"/>
    <cellStyle name="Normal 2 2 2" xfId="9128" xr:uid="{00000000-0005-0000-0000-000058180000}"/>
    <cellStyle name="Normal 2 2 2 2" xfId="18169" xr:uid="{00000000-0005-0000-0000-000059180000}"/>
    <cellStyle name="Normal 2 3" xfId="3121" xr:uid="{00000000-0005-0000-0000-00005A180000}"/>
    <cellStyle name="Normal 2 3 2" xfId="9130" xr:uid="{00000000-0005-0000-0000-00005B180000}"/>
    <cellStyle name="Normal 2 4" xfId="9138" xr:uid="{00000000-0005-0000-0000-00005C180000}"/>
    <cellStyle name="Normal 2 4 2" xfId="18175" xr:uid="{00000000-0005-0000-0000-00005D180000}"/>
    <cellStyle name="Normal 3" xfId="101" xr:uid="{00000000-0005-0000-0000-00005E180000}"/>
    <cellStyle name="Normal 3 2" xfId="9127" xr:uid="{00000000-0005-0000-0000-00005F180000}"/>
    <cellStyle name="Normal 3 2 2" xfId="18168" xr:uid="{00000000-0005-0000-0000-000060180000}"/>
    <cellStyle name="Normal 3 3" xfId="9131" xr:uid="{00000000-0005-0000-0000-000061180000}"/>
    <cellStyle name="Normal 3 3 2" xfId="18170" xr:uid="{00000000-0005-0000-0000-000062180000}"/>
    <cellStyle name="Normal 36" xfId="38" xr:uid="{00000000-0005-0000-0000-000063180000}"/>
    <cellStyle name="Normal 36 2" xfId="134" xr:uid="{00000000-0005-0000-0000-000064180000}"/>
    <cellStyle name="Normal 36 2 2" xfId="363" xr:uid="{00000000-0005-0000-0000-000065180000}"/>
    <cellStyle name="Normal 36 2 2 2" xfId="927" xr:uid="{00000000-0005-0000-0000-000066180000}"/>
    <cellStyle name="Normal 36 2 2 2 2" xfId="2097" xr:uid="{00000000-0005-0000-0000-000067180000}"/>
    <cellStyle name="Normal 36 2 2 2 2 2" xfId="3127" xr:uid="{00000000-0005-0000-0000-000068180000}"/>
    <cellStyle name="Normal 36 2 2 2 2 2 2" xfId="7642" xr:uid="{00000000-0005-0000-0000-000069180000}"/>
    <cellStyle name="Normal 36 2 2 2 2 2 2 2" xfId="16683" xr:uid="{00000000-0005-0000-0000-00006A180000}"/>
    <cellStyle name="Normal 36 2 2 2 2 2 3" xfId="12170" xr:uid="{00000000-0005-0000-0000-00006B180000}"/>
    <cellStyle name="Normal 36 2 2 2 2 3" xfId="6620" xr:uid="{00000000-0005-0000-0000-00006C180000}"/>
    <cellStyle name="Normal 36 2 2 2 2 3 2" xfId="15661" xr:uid="{00000000-0005-0000-0000-00006D180000}"/>
    <cellStyle name="Normal 36 2 2 2 2 4" xfId="11148" xr:uid="{00000000-0005-0000-0000-00006E180000}"/>
    <cellStyle name="Normal 36 2 2 2 3" xfId="3126" xr:uid="{00000000-0005-0000-0000-00006F180000}"/>
    <cellStyle name="Normal 36 2 2 2 3 2" xfId="7641" xr:uid="{00000000-0005-0000-0000-000070180000}"/>
    <cellStyle name="Normal 36 2 2 2 3 2 2" xfId="16682" xr:uid="{00000000-0005-0000-0000-000071180000}"/>
    <cellStyle name="Normal 36 2 2 2 3 3" xfId="12169" xr:uid="{00000000-0005-0000-0000-000072180000}"/>
    <cellStyle name="Normal 36 2 2 2 4" xfId="5492" xr:uid="{00000000-0005-0000-0000-000073180000}"/>
    <cellStyle name="Normal 36 2 2 2 4 2" xfId="14533" xr:uid="{00000000-0005-0000-0000-000074180000}"/>
    <cellStyle name="Normal 36 2 2 2 5" xfId="10020" xr:uid="{00000000-0005-0000-0000-000075180000}"/>
    <cellStyle name="Normal 36 2 2 3" xfId="1533" xr:uid="{00000000-0005-0000-0000-000076180000}"/>
    <cellStyle name="Normal 36 2 2 3 2" xfId="3128" xr:uid="{00000000-0005-0000-0000-000077180000}"/>
    <cellStyle name="Normal 36 2 2 3 2 2" xfId="7643" xr:uid="{00000000-0005-0000-0000-000078180000}"/>
    <cellStyle name="Normal 36 2 2 3 2 2 2" xfId="16684" xr:uid="{00000000-0005-0000-0000-000079180000}"/>
    <cellStyle name="Normal 36 2 2 3 2 3" xfId="12171" xr:uid="{00000000-0005-0000-0000-00007A180000}"/>
    <cellStyle name="Normal 36 2 2 3 3" xfId="6056" xr:uid="{00000000-0005-0000-0000-00007B180000}"/>
    <cellStyle name="Normal 36 2 2 3 3 2" xfId="15097" xr:uid="{00000000-0005-0000-0000-00007C180000}"/>
    <cellStyle name="Normal 36 2 2 3 4" xfId="10584" xr:uid="{00000000-0005-0000-0000-00007D180000}"/>
    <cellStyle name="Normal 36 2 2 4" xfId="3125" xr:uid="{00000000-0005-0000-0000-00007E180000}"/>
    <cellStyle name="Normal 36 2 2 4 2" xfId="7640" xr:uid="{00000000-0005-0000-0000-00007F180000}"/>
    <cellStyle name="Normal 36 2 2 4 2 2" xfId="16681" xr:uid="{00000000-0005-0000-0000-000080180000}"/>
    <cellStyle name="Normal 36 2 2 4 3" xfId="12168" xr:uid="{00000000-0005-0000-0000-000081180000}"/>
    <cellStyle name="Normal 36 2 2 5" xfId="4928" xr:uid="{00000000-0005-0000-0000-000082180000}"/>
    <cellStyle name="Normal 36 2 2 5 2" xfId="13969" xr:uid="{00000000-0005-0000-0000-000083180000}"/>
    <cellStyle name="Normal 36 2 2 6" xfId="9456" xr:uid="{00000000-0005-0000-0000-000084180000}"/>
    <cellStyle name="Normal 36 2 3" xfId="551" xr:uid="{00000000-0005-0000-0000-000085180000}"/>
    <cellStyle name="Normal 36 2 3 2" xfId="1115" xr:uid="{00000000-0005-0000-0000-000086180000}"/>
    <cellStyle name="Normal 36 2 3 2 2" xfId="2285" xr:uid="{00000000-0005-0000-0000-000087180000}"/>
    <cellStyle name="Normal 36 2 3 2 2 2" xfId="3131" xr:uid="{00000000-0005-0000-0000-000088180000}"/>
    <cellStyle name="Normal 36 2 3 2 2 2 2" xfId="7646" xr:uid="{00000000-0005-0000-0000-000089180000}"/>
    <cellStyle name="Normal 36 2 3 2 2 2 2 2" xfId="16687" xr:uid="{00000000-0005-0000-0000-00008A180000}"/>
    <cellStyle name="Normal 36 2 3 2 2 2 3" xfId="12174" xr:uid="{00000000-0005-0000-0000-00008B180000}"/>
    <cellStyle name="Normal 36 2 3 2 2 3" xfId="6808" xr:uid="{00000000-0005-0000-0000-00008C180000}"/>
    <cellStyle name="Normal 36 2 3 2 2 3 2" xfId="15849" xr:uid="{00000000-0005-0000-0000-00008D180000}"/>
    <cellStyle name="Normal 36 2 3 2 2 4" xfId="11336" xr:uid="{00000000-0005-0000-0000-00008E180000}"/>
    <cellStyle name="Normal 36 2 3 2 3" xfId="3130" xr:uid="{00000000-0005-0000-0000-00008F180000}"/>
    <cellStyle name="Normal 36 2 3 2 3 2" xfId="7645" xr:uid="{00000000-0005-0000-0000-000090180000}"/>
    <cellStyle name="Normal 36 2 3 2 3 2 2" xfId="16686" xr:uid="{00000000-0005-0000-0000-000091180000}"/>
    <cellStyle name="Normal 36 2 3 2 3 3" xfId="12173" xr:uid="{00000000-0005-0000-0000-000092180000}"/>
    <cellStyle name="Normal 36 2 3 2 4" xfId="5680" xr:uid="{00000000-0005-0000-0000-000093180000}"/>
    <cellStyle name="Normal 36 2 3 2 4 2" xfId="14721" xr:uid="{00000000-0005-0000-0000-000094180000}"/>
    <cellStyle name="Normal 36 2 3 2 5" xfId="10208" xr:uid="{00000000-0005-0000-0000-000095180000}"/>
    <cellStyle name="Normal 36 2 3 3" xfId="1721" xr:uid="{00000000-0005-0000-0000-000096180000}"/>
    <cellStyle name="Normal 36 2 3 3 2" xfId="3132" xr:uid="{00000000-0005-0000-0000-000097180000}"/>
    <cellStyle name="Normal 36 2 3 3 2 2" xfId="7647" xr:uid="{00000000-0005-0000-0000-000098180000}"/>
    <cellStyle name="Normal 36 2 3 3 2 2 2" xfId="16688" xr:uid="{00000000-0005-0000-0000-000099180000}"/>
    <cellStyle name="Normal 36 2 3 3 2 3" xfId="12175" xr:uid="{00000000-0005-0000-0000-00009A180000}"/>
    <cellStyle name="Normal 36 2 3 3 3" xfId="6244" xr:uid="{00000000-0005-0000-0000-00009B180000}"/>
    <cellStyle name="Normal 36 2 3 3 3 2" xfId="15285" xr:uid="{00000000-0005-0000-0000-00009C180000}"/>
    <cellStyle name="Normal 36 2 3 3 4" xfId="10772" xr:uid="{00000000-0005-0000-0000-00009D180000}"/>
    <cellStyle name="Normal 36 2 3 4" xfId="3129" xr:uid="{00000000-0005-0000-0000-00009E180000}"/>
    <cellStyle name="Normal 36 2 3 4 2" xfId="7644" xr:uid="{00000000-0005-0000-0000-00009F180000}"/>
    <cellStyle name="Normal 36 2 3 4 2 2" xfId="16685" xr:uid="{00000000-0005-0000-0000-0000A0180000}"/>
    <cellStyle name="Normal 36 2 3 4 3" xfId="12172" xr:uid="{00000000-0005-0000-0000-0000A1180000}"/>
    <cellStyle name="Normal 36 2 3 5" xfId="5116" xr:uid="{00000000-0005-0000-0000-0000A2180000}"/>
    <cellStyle name="Normal 36 2 3 5 2" xfId="14157" xr:uid="{00000000-0005-0000-0000-0000A3180000}"/>
    <cellStyle name="Normal 36 2 3 6" xfId="9644" xr:uid="{00000000-0005-0000-0000-0000A4180000}"/>
    <cellStyle name="Normal 36 2 4" xfId="739" xr:uid="{00000000-0005-0000-0000-0000A5180000}"/>
    <cellStyle name="Normal 36 2 4 2" xfId="1909" xr:uid="{00000000-0005-0000-0000-0000A6180000}"/>
    <cellStyle name="Normal 36 2 4 2 2" xfId="3134" xr:uid="{00000000-0005-0000-0000-0000A7180000}"/>
    <cellStyle name="Normal 36 2 4 2 2 2" xfId="7649" xr:uid="{00000000-0005-0000-0000-0000A8180000}"/>
    <cellStyle name="Normal 36 2 4 2 2 2 2" xfId="16690" xr:uid="{00000000-0005-0000-0000-0000A9180000}"/>
    <cellStyle name="Normal 36 2 4 2 2 3" xfId="12177" xr:uid="{00000000-0005-0000-0000-0000AA180000}"/>
    <cellStyle name="Normal 36 2 4 2 3" xfId="6432" xr:uid="{00000000-0005-0000-0000-0000AB180000}"/>
    <cellStyle name="Normal 36 2 4 2 3 2" xfId="15473" xr:uid="{00000000-0005-0000-0000-0000AC180000}"/>
    <cellStyle name="Normal 36 2 4 2 4" xfId="10960" xr:uid="{00000000-0005-0000-0000-0000AD180000}"/>
    <cellStyle name="Normal 36 2 4 3" xfId="3133" xr:uid="{00000000-0005-0000-0000-0000AE180000}"/>
    <cellStyle name="Normal 36 2 4 3 2" xfId="7648" xr:uid="{00000000-0005-0000-0000-0000AF180000}"/>
    <cellStyle name="Normal 36 2 4 3 2 2" xfId="16689" xr:uid="{00000000-0005-0000-0000-0000B0180000}"/>
    <cellStyle name="Normal 36 2 4 3 3" xfId="12176" xr:uid="{00000000-0005-0000-0000-0000B1180000}"/>
    <cellStyle name="Normal 36 2 4 4" xfId="5304" xr:uid="{00000000-0005-0000-0000-0000B2180000}"/>
    <cellStyle name="Normal 36 2 4 4 2" xfId="14345" xr:uid="{00000000-0005-0000-0000-0000B3180000}"/>
    <cellStyle name="Normal 36 2 4 5" xfId="9832" xr:uid="{00000000-0005-0000-0000-0000B4180000}"/>
    <cellStyle name="Normal 36 2 5" xfId="1345" xr:uid="{00000000-0005-0000-0000-0000B5180000}"/>
    <cellStyle name="Normal 36 2 5 2" xfId="3135" xr:uid="{00000000-0005-0000-0000-0000B6180000}"/>
    <cellStyle name="Normal 36 2 5 2 2" xfId="7650" xr:uid="{00000000-0005-0000-0000-0000B7180000}"/>
    <cellStyle name="Normal 36 2 5 2 2 2" xfId="16691" xr:uid="{00000000-0005-0000-0000-0000B8180000}"/>
    <cellStyle name="Normal 36 2 5 2 3" xfId="12178" xr:uid="{00000000-0005-0000-0000-0000B9180000}"/>
    <cellStyle name="Normal 36 2 5 3" xfId="5868" xr:uid="{00000000-0005-0000-0000-0000BA180000}"/>
    <cellStyle name="Normal 36 2 5 3 2" xfId="14909" xr:uid="{00000000-0005-0000-0000-0000BB180000}"/>
    <cellStyle name="Normal 36 2 5 4" xfId="10396" xr:uid="{00000000-0005-0000-0000-0000BC180000}"/>
    <cellStyle name="Normal 36 2 6" xfId="3124" xr:uid="{00000000-0005-0000-0000-0000BD180000}"/>
    <cellStyle name="Normal 36 2 6 2" xfId="7639" xr:uid="{00000000-0005-0000-0000-0000BE180000}"/>
    <cellStyle name="Normal 36 2 6 2 2" xfId="16680" xr:uid="{00000000-0005-0000-0000-0000BF180000}"/>
    <cellStyle name="Normal 36 2 6 3" xfId="12167" xr:uid="{00000000-0005-0000-0000-0000C0180000}"/>
    <cellStyle name="Normal 36 2 7" xfId="4740" xr:uid="{00000000-0005-0000-0000-0000C1180000}"/>
    <cellStyle name="Normal 36 2 7 2" xfId="13781" xr:uid="{00000000-0005-0000-0000-0000C2180000}"/>
    <cellStyle name="Normal 36 2 8" xfId="9268" xr:uid="{00000000-0005-0000-0000-0000C3180000}"/>
    <cellStyle name="Normal 36 3" xfId="269" xr:uid="{00000000-0005-0000-0000-0000C4180000}"/>
    <cellStyle name="Normal 36 3 2" xfId="833" xr:uid="{00000000-0005-0000-0000-0000C5180000}"/>
    <cellStyle name="Normal 36 3 2 2" xfId="2003" xr:uid="{00000000-0005-0000-0000-0000C6180000}"/>
    <cellStyle name="Normal 36 3 2 2 2" xfId="3138" xr:uid="{00000000-0005-0000-0000-0000C7180000}"/>
    <cellStyle name="Normal 36 3 2 2 2 2" xfId="7653" xr:uid="{00000000-0005-0000-0000-0000C8180000}"/>
    <cellStyle name="Normal 36 3 2 2 2 2 2" xfId="16694" xr:uid="{00000000-0005-0000-0000-0000C9180000}"/>
    <cellStyle name="Normal 36 3 2 2 2 3" xfId="12181" xr:uid="{00000000-0005-0000-0000-0000CA180000}"/>
    <cellStyle name="Normal 36 3 2 2 3" xfId="6526" xr:uid="{00000000-0005-0000-0000-0000CB180000}"/>
    <cellStyle name="Normal 36 3 2 2 3 2" xfId="15567" xr:uid="{00000000-0005-0000-0000-0000CC180000}"/>
    <cellStyle name="Normal 36 3 2 2 4" xfId="11054" xr:uid="{00000000-0005-0000-0000-0000CD180000}"/>
    <cellStyle name="Normal 36 3 2 3" xfId="3137" xr:uid="{00000000-0005-0000-0000-0000CE180000}"/>
    <cellStyle name="Normal 36 3 2 3 2" xfId="7652" xr:uid="{00000000-0005-0000-0000-0000CF180000}"/>
    <cellStyle name="Normal 36 3 2 3 2 2" xfId="16693" xr:uid="{00000000-0005-0000-0000-0000D0180000}"/>
    <cellStyle name="Normal 36 3 2 3 3" xfId="12180" xr:uid="{00000000-0005-0000-0000-0000D1180000}"/>
    <cellStyle name="Normal 36 3 2 4" xfId="5398" xr:uid="{00000000-0005-0000-0000-0000D2180000}"/>
    <cellStyle name="Normal 36 3 2 4 2" xfId="14439" xr:uid="{00000000-0005-0000-0000-0000D3180000}"/>
    <cellStyle name="Normal 36 3 2 5" xfId="9926" xr:uid="{00000000-0005-0000-0000-0000D4180000}"/>
    <cellStyle name="Normal 36 3 3" xfId="1439" xr:uid="{00000000-0005-0000-0000-0000D5180000}"/>
    <cellStyle name="Normal 36 3 3 2" xfId="3139" xr:uid="{00000000-0005-0000-0000-0000D6180000}"/>
    <cellStyle name="Normal 36 3 3 2 2" xfId="7654" xr:uid="{00000000-0005-0000-0000-0000D7180000}"/>
    <cellStyle name="Normal 36 3 3 2 2 2" xfId="16695" xr:uid="{00000000-0005-0000-0000-0000D8180000}"/>
    <cellStyle name="Normal 36 3 3 2 3" xfId="12182" xr:uid="{00000000-0005-0000-0000-0000D9180000}"/>
    <cellStyle name="Normal 36 3 3 3" xfId="5962" xr:uid="{00000000-0005-0000-0000-0000DA180000}"/>
    <cellStyle name="Normal 36 3 3 3 2" xfId="15003" xr:uid="{00000000-0005-0000-0000-0000DB180000}"/>
    <cellStyle name="Normal 36 3 3 4" xfId="10490" xr:uid="{00000000-0005-0000-0000-0000DC180000}"/>
    <cellStyle name="Normal 36 3 4" xfId="3136" xr:uid="{00000000-0005-0000-0000-0000DD180000}"/>
    <cellStyle name="Normal 36 3 4 2" xfId="7651" xr:uid="{00000000-0005-0000-0000-0000DE180000}"/>
    <cellStyle name="Normal 36 3 4 2 2" xfId="16692" xr:uid="{00000000-0005-0000-0000-0000DF180000}"/>
    <cellStyle name="Normal 36 3 4 3" xfId="12179" xr:uid="{00000000-0005-0000-0000-0000E0180000}"/>
    <cellStyle name="Normal 36 3 5" xfId="4834" xr:uid="{00000000-0005-0000-0000-0000E1180000}"/>
    <cellStyle name="Normal 36 3 5 2" xfId="13875" xr:uid="{00000000-0005-0000-0000-0000E2180000}"/>
    <cellStyle name="Normal 36 3 6" xfId="9362" xr:uid="{00000000-0005-0000-0000-0000E3180000}"/>
    <cellStyle name="Normal 36 4" xfId="457" xr:uid="{00000000-0005-0000-0000-0000E4180000}"/>
    <cellStyle name="Normal 36 4 2" xfId="1021" xr:uid="{00000000-0005-0000-0000-0000E5180000}"/>
    <cellStyle name="Normal 36 4 2 2" xfId="2191" xr:uid="{00000000-0005-0000-0000-0000E6180000}"/>
    <cellStyle name="Normal 36 4 2 2 2" xfId="3142" xr:uid="{00000000-0005-0000-0000-0000E7180000}"/>
    <cellStyle name="Normal 36 4 2 2 2 2" xfId="7657" xr:uid="{00000000-0005-0000-0000-0000E8180000}"/>
    <cellStyle name="Normal 36 4 2 2 2 2 2" xfId="16698" xr:uid="{00000000-0005-0000-0000-0000E9180000}"/>
    <cellStyle name="Normal 36 4 2 2 2 3" xfId="12185" xr:uid="{00000000-0005-0000-0000-0000EA180000}"/>
    <cellStyle name="Normal 36 4 2 2 3" xfId="6714" xr:uid="{00000000-0005-0000-0000-0000EB180000}"/>
    <cellStyle name="Normal 36 4 2 2 3 2" xfId="15755" xr:uid="{00000000-0005-0000-0000-0000EC180000}"/>
    <cellStyle name="Normal 36 4 2 2 4" xfId="11242" xr:uid="{00000000-0005-0000-0000-0000ED180000}"/>
    <cellStyle name="Normal 36 4 2 3" xfId="3141" xr:uid="{00000000-0005-0000-0000-0000EE180000}"/>
    <cellStyle name="Normal 36 4 2 3 2" xfId="7656" xr:uid="{00000000-0005-0000-0000-0000EF180000}"/>
    <cellStyle name="Normal 36 4 2 3 2 2" xfId="16697" xr:uid="{00000000-0005-0000-0000-0000F0180000}"/>
    <cellStyle name="Normal 36 4 2 3 3" xfId="12184" xr:uid="{00000000-0005-0000-0000-0000F1180000}"/>
    <cellStyle name="Normal 36 4 2 4" xfId="5586" xr:uid="{00000000-0005-0000-0000-0000F2180000}"/>
    <cellStyle name="Normal 36 4 2 4 2" xfId="14627" xr:uid="{00000000-0005-0000-0000-0000F3180000}"/>
    <cellStyle name="Normal 36 4 2 5" xfId="10114" xr:uid="{00000000-0005-0000-0000-0000F4180000}"/>
    <cellStyle name="Normal 36 4 3" xfId="1627" xr:uid="{00000000-0005-0000-0000-0000F5180000}"/>
    <cellStyle name="Normal 36 4 3 2" xfId="3143" xr:uid="{00000000-0005-0000-0000-0000F6180000}"/>
    <cellStyle name="Normal 36 4 3 2 2" xfId="7658" xr:uid="{00000000-0005-0000-0000-0000F7180000}"/>
    <cellStyle name="Normal 36 4 3 2 2 2" xfId="16699" xr:uid="{00000000-0005-0000-0000-0000F8180000}"/>
    <cellStyle name="Normal 36 4 3 2 3" xfId="12186" xr:uid="{00000000-0005-0000-0000-0000F9180000}"/>
    <cellStyle name="Normal 36 4 3 3" xfId="6150" xr:uid="{00000000-0005-0000-0000-0000FA180000}"/>
    <cellStyle name="Normal 36 4 3 3 2" xfId="15191" xr:uid="{00000000-0005-0000-0000-0000FB180000}"/>
    <cellStyle name="Normal 36 4 3 4" xfId="10678" xr:uid="{00000000-0005-0000-0000-0000FC180000}"/>
    <cellStyle name="Normal 36 4 4" xfId="3140" xr:uid="{00000000-0005-0000-0000-0000FD180000}"/>
    <cellStyle name="Normal 36 4 4 2" xfId="7655" xr:uid="{00000000-0005-0000-0000-0000FE180000}"/>
    <cellStyle name="Normal 36 4 4 2 2" xfId="16696" xr:uid="{00000000-0005-0000-0000-0000FF180000}"/>
    <cellStyle name="Normal 36 4 4 3" xfId="12183" xr:uid="{00000000-0005-0000-0000-000000190000}"/>
    <cellStyle name="Normal 36 4 5" xfId="5022" xr:uid="{00000000-0005-0000-0000-000001190000}"/>
    <cellStyle name="Normal 36 4 5 2" xfId="14063" xr:uid="{00000000-0005-0000-0000-000002190000}"/>
    <cellStyle name="Normal 36 4 6" xfId="9550" xr:uid="{00000000-0005-0000-0000-000003190000}"/>
    <cellStyle name="Normal 36 5" xfId="645" xr:uid="{00000000-0005-0000-0000-000004190000}"/>
    <cellStyle name="Normal 36 5 2" xfId="1815" xr:uid="{00000000-0005-0000-0000-000005190000}"/>
    <cellStyle name="Normal 36 5 2 2" xfId="3145" xr:uid="{00000000-0005-0000-0000-000006190000}"/>
    <cellStyle name="Normal 36 5 2 2 2" xfId="7660" xr:uid="{00000000-0005-0000-0000-000007190000}"/>
    <cellStyle name="Normal 36 5 2 2 2 2" xfId="16701" xr:uid="{00000000-0005-0000-0000-000008190000}"/>
    <cellStyle name="Normal 36 5 2 2 3" xfId="12188" xr:uid="{00000000-0005-0000-0000-000009190000}"/>
    <cellStyle name="Normal 36 5 2 3" xfId="6338" xr:uid="{00000000-0005-0000-0000-00000A190000}"/>
    <cellStyle name="Normal 36 5 2 3 2" xfId="15379" xr:uid="{00000000-0005-0000-0000-00000B190000}"/>
    <cellStyle name="Normal 36 5 2 4" xfId="10866" xr:uid="{00000000-0005-0000-0000-00000C190000}"/>
    <cellStyle name="Normal 36 5 3" xfId="3144" xr:uid="{00000000-0005-0000-0000-00000D190000}"/>
    <cellStyle name="Normal 36 5 3 2" xfId="7659" xr:uid="{00000000-0005-0000-0000-00000E190000}"/>
    <cellStyle name="Normal 36 5 3 2 2" xfId="16700" xr:uid="{00000000-0005-0000-0000-00000F190000}"/>
    <cellStyle name="Normal 36 5 3 3" xfId="12187" xr:uid="{00000000-0005-0000-0000-000010190000}"/>
    <cellStyle name="Normal 36 5 4" xfId="5210" xr:uid="{00000000-0005-0000-0000-000011190000}"/>
    <cellStyle name="Normal 36 5 4 2" xfId="14251" xr:uid="{00000000-0005-0000-0000-000012190000}"/>
    <cellStyle name="Normal 36 5 5" xfId="9738" xr:uid="{00000000-0005-0000-0000-000013190000}"/>
    <cellStyle name="Normal 36 6" xfId="1251" xr:uid="{00000000-0005-0000-0000-000014190000}"/>
    <cellStyle name="Normal 36 6 2" xfId="3146" xr:uid="{00000000-0005-0000-0000-000015190000}"/>
    <cellStyle name="Normal 36 6 2 2" xfId="7661" xr:uid="{00000000-0005-0000-0000-000016190000}"/>
    <cellStyle name="Normal 36 6 2 2 2" xfId="16702" xr:uid="{00000000-0005-0000-0000-000017190000}"/>
    <cellStyle name="Normal 36 6 2 3" xfId="12189" xr:uid="{00000000-0005-0000-0000-000018190000}"/>
    <cellStyle name="Normal 36 6 3" xfId="5774" xr:uid="{00000000-0005-0000-0000-000019190000}"/>
    <cellStyle name="Normal 36 6 3 2" xfId="14815" xr:uid="{00000000-0005-0000-0000-00001A190000}"/>
    <cellStyle name="Normal 36 6 4" xfId="10302" xr:uid="{00000000-0005-0000-0000-00001B190000}"/>
    <cellStyle name="Normal 36 7" xfId="3123" xr:uid="{00000000-0005-0000-0000-00001C190000}"/>
    <cellStyle name="Normal 36 7 2" xfId="7638" xr:uid="{00000000-0005-0000-0000-00001D190000}"/>
    <cellStyle name="Normal 36 7 2 2" xfId="16679" xr:uid="{00000000-0005-0000-0000-00001E190000}"/>
    <cellStyle name="Normal 36 7 3" xfId="12166" xr:uid="{00000000-0005-0000-0000-00001F190000}"/>
    <cellStyle name="Normal 36 8" xfId="4646" xr:uid="{00000000-0005-0000-0000-000020190000}"/>
    <cellStyle name="Normal 36 8 2" xfId="13687" xr:uid="{00000000-0005-0000-0000-000021190000}"/>
    <cellStyle name="Normal 36 9" xfId="9174" xr:uid="{00000000-0005-0000-0000-000022190000}"/>
    <cellStyle name="Normal 37" xfId="39" xr:uid="{00000000-0005-0000-0000-000023190000}"/>
    <cellStyle name="Normal 37 2" xfId="135" xr:uid="{00000000-0005-0000-0000-000024190000}"/>
    <cellStyle name="Normal 37 2 2" xfId="364" xr:uid="{00000000-0005-0000-0000-000025190000}"/>
    <cellStyle name="Normal 37 2 2 2" xfId="928" xr:uid="{00000000-0005-0000-0000-000026190000}"/>
    <cellStyle name="Normal 37 2 2 2 2" xfId="2098" xr:uid="{00000000-0005-0000-0000-000027190000}"/>
    <cellStyle name="Normal 37 2 2 2 2 2" xfId="3151" xr:uid="{00000000-0005-0000-0000-000028190000}"/>
    <cellStyle name="Normal 37 2 2 2 2 2 2" xfId="7666" xr:uid="{00000000-0005-0000-0000-000029190000}"/>
    <cellStyle name="Normal 37 2 2 2 2 2 2 2" xfId="16707" xr:uid="{00000000-0005-0000-0000-00002A190000}"/>
    <cellStyle name="Normal 37 2 2 2 2 2 3" xfId="12194" xr:uid="{00000000-0005-0000-0000-00002B190000}"/>
    <cellStyle name="Normal 37 2 2 2 2 3" xfId="6621" xr:uid="{00000000-0005-0000-0000-00002C190000}"/>
    <cellStyle name="Normal 37 2 2 2 2 3 2" xfId="15662" xr:uid="{00000000-0005-0000-0000-00002D190000}"/>
    <cellStyle name="Normal 37 2 2 2 2 4" xfId="11149" xr:uid="{00000000-0005-0000-0000-00002E190000}"/>
    <cellStyle name="Normal 37 2 2 2 3" xfId="3150" xr:uid="{00000000-0005-0000-0000-00002F190000}"/>
    <cellStyle name="Normal 37 2 2 2 3 2" xfId="7665" xr:uid="{00000000-0005-0000-0000-000030190000}"/>
    <cellStyle name="Normal 37 2 2 2 3 2 2" xfId="16706" xr:uid="{00000000-0005-0000-0000-000031190000}"/>
    <cellStyle name="Normal 37 2 2 2 3 3" xfId="12193" xr:uid="{00000000-0005-0000-0000-000032190000}"/>
    <cellStyle name="Normal 37 2 2 2 4" xfId="5493" xr:uid="{00000000-0005-0000-0000-000033190000}"/>
    <cellStyle name="Normal 37 2 2 2 4 2" xfId="14534" xr:uid="{00000000-0005-0000-0000-000034190000}"/>
    <cellStyle name="Normal 37 2 2 2 5" xfId="10021" xr:uid="{00000000-0005-0000-0000-000035190000}"/>
    <cellStyle name="Normal 37 2 2 3" xfId="1534" xr:uid="{00000000-0005-0000-0000-000036190000}"/>
    <cellStyle name="Normal 37 2 2 3 2" xfId="3152" xr:uid="{00000000-0005-0000-0000-000037190000}"/>
    <cellStyle name="Normal 37 2 2 3 2 2" xfId="7667" xr:uid="{00000000-0005-0000-0000-000038190000}"/>
    <cellStyle name="Normal 37 2 2 3 2 2 2" xfId="16708" xr:uid="{00000000-0005-0000-0000-000039190000}"/>
    <cellStyle name="Normal 37 2 2 3 2 3" xfId="12195" xr:uid="{00000000-0005-0000-0000-00003A190000}"/>
    <cellStyle name="Normal 37 2 2 3 3" xfId="6057" xr:uid="{00000000-0005-0000-0000-00003B190000}"/>
    <cellStyle name="Normal 37 2 2 3 3 2" xfId="15098" xr:uid="{00000000-0005-0000-0000-00003C190000}"/>
    <cellStyle name="Normal 37 2 2 3 4" xfId="10585" xr:uid="{00000000-0005-0000-0000-00003D190000}"/>
    <cellStyle name="Normal 37 2 2 4" xfId="3149" xr:uid="{00000000-0005-0000-0000-00003E190000}"/>
    <cellStyle name="Normal 37 2 2 4 2" xfId="7664" xr:uid="{00000000-0005-0000-0000-00003F190000}"/>
    <cellStyle name="Normal 37 2 2 4 2 2" xfId="16705" xr:uid="{00000000-0005-0000-0000-000040190000}"/>
    <cellStyle name="Normal 37 2 2 4 3" xfId="12192" xr:uid="{00000000-0005-0000-0000-000041190000}"/>
    <cellStyle name="Normal 37 2 2 5" xfId="4929" xr:uid="{00000000-0005-0000-0000-000042190000}"/>
    <cellStyle name="Normal 37 2 2 5 2" xfId="13970" xr:uid="{00000000-0005-0000-0000-000043190000}"/>
    <cellStyle name="Normal 37 2 2 6" xfId="9457" xr:uid="{00000000-0005-0000-0000-000044190000}"/>
    <cellStyle name="Normal 37 2 3" xfId="552" xr:uid="{00000000-0005-0000-0000-000045190000}"/>
    <cellStyle name="Normal 37 2 3 2" xfId="1116" xr:uid="{00000000-0005-0000-0000-000046190000}"/>
    <cellStyle name="Normal 37 2 3 2 2" xfId="2286" xr:uid="{00000000-0005-0000-0000-000047190000}"/>
    <cellStyle name="Normal 37 2 3 2 2 2" xfId="3155" xr:uid="{00000000-0005-0000-0000-000048190000}"/>
    <cellStyle name="Normal 37 2 3 2 2 2 2" xfId="7670" xr:uid="{00000000-0005-0000-0000-000049190000}"/>
    <cellStyle name="Normal 37 2 3 2 2 2 2 2" xfId="16711" xr:uid="{00000000-0005-0000-0000-00004A190000}"/>
    <cellStyle name="Normal 37 2 3 2 2 2 3" xfId="12198" xr:uid="{00000000-0005-0000-0000-00004B190000}"/>
    <cellStyle name="Normal 37 2 3 2 2 3" xfId="6809" xr:uid="{00000000-0005-0000-0000-00004C190000}"/>
    <cellStyle name="Normal 37 2 3 2 2 3 2" xfId="15850" xr:uid="{00000000-0005-0000-0000-00004D190000}"/>
    <cellStyle name="Normal 37 2 3 2 2 4" xfId="11337" xr:uid="{00000000-0005-0000-0000-00004E190000}"/>
    <cellStyle name="Normal 37 2 3 2 3" xfId="3154" xr:uid="{00000000-0005-0000-0000-00004F190000}"/>
    <cellStyle name="Normal 37 2 3 2 3 2" xfId="7669" xr:uid="{00000000-0005-0000-0000-000050190000}"/>
    <cellStyle name="Normal 37 2 3 2 3 2 2" xfId="16710" xr:uid="{00000000-0005-0000-0000-000051190000}"/>
    <cellStyle name="Normal 37 2 3 2 3 3" xfId="12197" xr:uid="{00000000-0005-0000-0000-000052190000}"/>
    <cellStyle name="Normal 37 2 3 2 4" xfId="5681" xr:uid="{00000000-0005-0000-0000-000053190000}"/>
    <cellStyle name="Normal 37 2 3 2 4 2" xfId="14722" xr:uid="{00000000-0005-0000-0000-000054190000}"/>
    <cellStyle name="Normal 37 2 3 2 5" xfId="10209" xr:uid="{00000000-0005-0000-0000-000055190000}"/>
    <cellStyle name="Normal 37 2 3 3" xfId="1722" xr:uid="{00000000-0005-0000-0000-000056190000}"/>
    <cellStyle name="Normal 37 2 3 3 2" xfId="3156" xr:uid="{00000000-0005-0000-0000-000057190000}"/>
    <cellStyle name="Normal 37 2 3 3 2 2" xfId="7671" xr:uid="{00000000-0005-0000-0000-000058190000}"/>
    <cellStyle name="Normal 37 2 3 3 2 2 2" xfId="16712" xr:uid="{00000000-0005-0000-0000-000059190000}"/>
    <cellStyle name="Normal 37 2 3 3 2 3" xfId="12199" xr:uid="{00000000-0005-0000-0000-00005A190000}"/>
    <cellStyle name="Normal 37 2 3 3 3" xfId="6245" xr:uid="{00000000-0005-0000-0000-00005B190000}"/>
    <cellStyle name="Normal 37 2 3 3 3 2" xfId="15286" xr:uid="{00000000-0005-0000-0000-00005C190000}"/>
    <cellStyle name="Normal 37 2 3 3 4" xfId="10773" xr:uid="{00000000-0005-0000-0000-00005D190000}"/>
    <cellStyle name="Normal 37 2 3 4" xfId="3153" xr:uid="{00000000-0005-0000-0000-00005E190000}"/>
    <cellStyle name="Normal 37 2 3 4 2" xfId="7668" xr:uid="{00000000-0005-0000-0000-00005F190000}"/>
    <cellStyle name="Normal 37 2 3 4 2 2" xfId="16709" xr:uid="{00000000-0005-0000-0000-000060190000}"/>
    <cellStyle name="Normal 37 2 3 4 3" xfId="12196" xr:uid="{00000000-0005-0000-0000-000061190000}"/>
    <cellStyle name="Normal 37 2 3 5" xfId="5117" xr:uid="{00000000-0005-0000-0000-000062190000}"/>
    <cellStyle name="Normal 37 2 3 5 2" xfId="14158" xr:uid="{00000000-0005-0000-0000-000063190000}"/>
    <cellStyle name="Normal 37 2 3 6" xfId="9645" xr:uid="{00000000-0005-0000-0000-000064190000}"/>
    <cellStyle name="Normal 37 2 4" xfId="740" xr:uid="{00000000-0005-0000-0000-000065190000}"/>
    <cellStyle name="Normal 37 2 4 2" xfId="1910" xr:uid="{00000000-0005-0000-0000-000066190000}"/>
    <cellStyle name="Normal 37 2 4 2 2" xfId="3158" xr:uid="{00000000-0005-0000-0000-000067190000}"/>
    <cellStyle name="Normal 37 2 4 2 2 2" xfId="7673" xr:uid="{00000000-0005-0000-0000-000068190000}"/>
    <cellStyle name="Normal 37 2 4 2 2 2 2" xfId="16714" xr:uid="{00000000-0005-0000-0000-000069190000}"/>
    <cellStyle name="Normal 37 2 4 2 2 3" xfId="12201" xr:uid="{00000000-0005-0000-0000-00006A190000}"/>
    <cellStyle name="Normal 37 2 4 2 3" xfId="6433" xr:uid="{00000000-0005-0000-0000-00006B190000}"/>
    <cellStyle name="Normal 37 2 4 2 3 2" xfId="15474" xr:uid="{00000000-0005-0000-0000-00006C190000}"/>
    <cellStyle name="Normal 37 2 4 2 4" xfId="10961" xr:uid="{00000000-0005-0000-0000-00006D190000}"/>
    <cellStyle name="Normal 37 2 4 3" xfId="3157" xr:uid="{00000000-0005-0000-0000-00006E190000}"/>
    <cellStyle name="Normal 37 2 4 3 2" xfId="7672" xr:uid="{00000000-0005-0000-0000-00006F190000}"/>
    <cellStyle name="Normal 37 2 4 3 2 2" xfId="16713" xr:uid="{00000000-0005-0000-0000-000070190000}"/>
    <cellStyle name="Normal 37 2 4 3 3" xfId="12200" xr:uid="{00000000-0005-0000-0000-000071190000}"/>
    <cellStyle name="Normal 37 2 4 4" xfId="5305" xr:uid="{00000000-0005-0000-0000-000072190000}"/>
    <cellStyle name="Normal 37 2 4 4 2" xfId="14346" xr:uid="{00000000-0005-0000-0000-000073190000}"/>
    <cellStyle name="Normal 37 2 4 5" xfId="9833" xr:uid="{00000000-0005-0000-0000-000074190000}"/>
    <cellStyle name="Normal 37 2 5" xfId="1346" xr:uid="{00000000-0005-0000-0000-000075190000}"/>
    <cellStyle name="Normal 37 2 5 2" xfId="3159" xr:uid="{00000000-0005-0000-0000-000076190000}"/>
    <cellStyle name="Normal 37 2 5 2 2" xfId="7674" xr:uid="{00000000-0005-0000-0000-000077190000}"/>
    <cellStyle name="Normal 37 2 5 2 2 2" xfId="16715" xr:uid="{00000000-0005-0000-0000-000078190000}"/>
    <cellStyle name="Normal 37 2 5 2 3" xfId="12202" xr:uid="{00000000-0005-0000-0000-000079190000}"/>
    <cellStyle name="Normal 37 2 5 3" xfId="5869" xr:uid="{00000000-0005-0000-0000-00007A190000}"/>
    <cellStyle name="Normal 37 2 5 3 2" xfId="14910" xr:uid="{00000000-0005-0000-0000-00007B190000}"/>
    <cellStyle name="Normal 37 2 5 4" xfId="10397" xr:uid="{00000000-0005-0000-0000-00007C190000}"/>
    <cellStyle name="Normal 37 2 6" xfId="3148" xr:uid="{00000000-0005-0000-0000-00007D190000}"/>
    <cellStyle name="Normal 37 2 6 2" xfId="7663" xr:uid="{00000000-0005-0000-0000-00007E190000}"/>
    <cellStyle name="Normal 37 2 6 2 2" xfId="16704" xr:uid="{00000000-0005-0000-0000-00007F190000}"/>
    <cellStyle name="Normal 37 2 6 3" xfId="12191" xr:uid="{00000000-0005-0000-0000-000080190000}"/>
    <cellStyle name="Normal 37 2 7" xfId="4741" xr:uid="{00000000-0005-0000-0000-000081190000}"/>
    <cellStyle name="Normal 37 2 7 2" xfId="13782" xr:uid="{00000000-0005-0000-0000-000082190000}"/>
    <cellStyle name="Normal 37 2 8" xfId="9269" xr:uid="{00000000-0005-0000-0000-000083190000}"/>
    <cellStyle name="Normal 37 3" xfId="270" xr:uid="{00000000-0005-0000-0000-000084190000}"/>
    <cellStyle name="Normal 37 3 2" xfId="834" xr:uid="{00000000-0005-0000-0000-000085190000}"/>
    <cellStyle name="Normal 37 3 2 2" xfId="2004" xr:uid="{00000000-0005-0000-0000-000086190000}"/>
    <cellStyle name="Normal 37 3 2 2 2" xfId="3162" xr:uid="{00000000-0005-0000-0000-000087190000}"/>
    <cellStyle name="Normal 37 3 2 2 2 2" xfId="7677" xr:uid="{00000000-0005-0000-0000-000088190000}"/>
    <cellStyle name="Normal 37 3 2 2 2 2 2" xfId="16718" xr:uid="{00000000-0005-0000-0000-000089190000}"/>
    <cellStyle name="Normal 37 3 2 2 2 3" xfId="12205" xr:uid="{00000000-0005-0000-0000-00008A190000}"/>
    <cellStyle name="Normal 37 3 2 2 3" xfId="6527" xr:uid="{00000000-0005-0000-0000-00008B190000}"/>
    <cellStyle name="Normal 37 3 2 2 3 2" xfId="15568" xr:uid="{00000000-0005-0000-0000-00008C190000}"/>
    <cellStyle name="Normal 37 3 2 2 4" xfId="11055" xr:uid="{00000000-0005-0000-0000-00008D190000}"/>
    <cellStyle name="Normal 37 3 2 3" xfId="3161" xr:uid="{00000000-0005-0000-0000-00008E190000}"/>
    <cellStyle name="Normal 37 3 2 3 2" xfId="7676" xr:uid="{00000000-0005-0000-0000-00008F190000}"/>
    <cellStyle name="Normal 37 3 2 3 2 2" xfId="16717" xr:uid="{00000000-0005-0000-0000-000090190000}"/>
    <cellStyle name="Normal 37 3 2 3 3" xfId="12204" xr:uid="{00000000-0005-0000-0000-000091190000}"/>
    <cellStyle name="Normal 37 3 2 4" xfId="5399" xr:uid="{00000000-0005-0000-0000-000092190000}"/>
    <cellStyle name="Normal 37 3 2 4 2" xfId="14440" xr:uid="{00000000-0005-0000-0000-000093190000}"/>
    <cellStyle name="Normal 37 3 2 5" xfId="9927" xr:uid="{00000000-0005-0000-0000-000094190000}"/>
    <cellStyle name="Normal 37 3 3" xfId="1440" xr:uid="{00000000-0005-0000-0000-000095190000}"/>
    <cellStyle name="Normal 37 3 3 2" xfId="3163" xr:uid="{00000000-0005-0000-0000-000096190000}"/>
    <cellStyle name="Normal 37 3 3 2 2" xfId="7678" xr:uid="{00000000-0005-0000-0000-000097190000}"/>
    <cellStyle name="Normal 37 3 3 2 2 2" xfId="16719" xr:uid="{00000000-0005-0000-0000-000098190000}"/>
    <cellStyle name="Normal 37 3 3 2 3" xfId="12206" xr:uid="{00000000-0005-0000-0000-000099190000}"/>
    <cellStyle name="Normal 37 3 3 3" xfId="5963" xr:uid="{00000000-0005-0000-0000-00009A190000}"/>
    <cellStyle name="Normal 37 3 3 3 2" xfId="15004" xr:uid="{00000000-0005-0000-0000-00009B190000}"/>
    <cellStyle name="Normal 37 3 3 4" xfId="10491" xr:uid="{00000000-0005-0000-0000-00009C190000}"/>
    <cellStyle name="Normal 37 3 4" xfId="3160" xr:uid="{00000000-0005-0000-0000-00009D190000}"/>
    <cellStyle name="Normal 37 3 4 2" xfId="7675" xr:uid="{00000000-0005-0000-0000-00009E190000}"/>
    <cellStyle name="Normal 37 3 4 2 2" xfId="16716" xr:uid="{00000000-0005-0000-0000-00009F190000}"/>
    <cellStyle name="Normal 37 3 4 3" xfId="12203" xr:uid="{00000000-0005-0000-0000-0000A0190000}"/>
    <cellStyle name="Normal 37 3 5" xfId="4835" xr:uid="{00000000-0005-0000-0000-0000A1190000}"/>
    <cellStyle name="Normal 37 3 5 2" xfId="13876" xr:uid="{00000000-0005-0000-0000-0000A2190000}"/>
    <cellStyle name="Normal 37 3 6" xfId="9363" xr:uid="{00000000-0005-0000-0000-0000A3190000}"/>
    <cellStyle name="Normal 37 4" xfId="458" xr:uid="{00000000-0005-0000-0000-0000A4190000}"/>
    <cellStyle name="Normal 37 4 2" xfId="1022" xr:uid="{00000000-0005-0000-0000-0000A5190000}"/>
    <cellStyle name="Normal 37 4 2 2" xfId="2192" xr:uid="{00000000-0005-0000-0000-0000A6190000}"/>
    <cellStyle name="Normal 37 4 2 2 2" xfId="3166" xr:uid="{00000000-0005-0000-0000-0000A7190000}"/>
    <cellStyle name="Normal 37 4 2 2 2 2" xfId="7681" xr:uid="{00000000-0005-0000-0000-0000A8190000}"/>
    <cellStyle name="Normal 37 4 2 2 2 2 2" xfId="16722" xr:uid="{00000000-0005-0000-0000-0000A9190000}"/>
    <cellStyle name="Normal 37 4 2 2 2 3" xfId="12209" xr:uid="{00000000-0005-0000-0000-0000AA190000}"/>
    <cellStyle name="Normal 37 4 2 2 3" xfId="6715" xr:uid="{00000000-0005-0000-0000-0000AB190000}"/>
    <cellStyle name="Normal 37 4 2 2 3 2" xfId="15756" xr:uid="{00000000-0005-0000-0000-0000AC190000}"/>
    <cellStyle name="Normal 37 4 2 2 4" xfId="11243" xr:uid="{00000000-0005-0000-0000-0000AD190000}"/>
    <cellStyle name="Normal 37 4 2 3" xfId="3165" xr:uid="{00000000-0005-0000-0000-0000AE190000}"/>
    <cellStyle name="Normal 37 4 2 3 2" xfId="7680" xr:uid="{00000000-0005-0000-0000-0000AF190000}"/>
    <cellStyle name="Normal 37 4 2 3 2 2" xfId="16721" xr:uid="{00000000-0005-0000-0000-0000B0190000}"/>
    <cellStyle name="Normal 37 4 2 3 3" xfId="12208" xr:uid="{00000000-0005-0000-0000-0000B1190000}"/>
    <cellStyle name="Normal 37 4 2 4" xfId="5587" xr:uid="{00000000-0005-0000-0000-0000B2190000}"/>
    <cellStyle name="Normal 37 4 2 4 2" xfId="14628" xr:uid="{00000000-0005-0000-0000-0000B3190000}"/>
    <cellStyle name="Normal 37 4 2 5" xfId="10115" xr:uid="{00000000-0005-0000-0000-0000B4190000}"/>
    <cellStyle name="Normal 37 4 3" xfId="1628" xr:uid="{00000000-0005-0000-0000-0000B5190000}"/>
    <cellStyle name="Normal 37 4 3 2" xfId="3167" xr:uid="{00000000-0005-0000-0000-0000B6190000}"/>
    <cellStyle name="Normal 37 4 3 2 2" xfId="7682" xr:uid="{00000000-0005-0000-0000-0000B7190000}"/>
    <cellStyle name="Normal 37 4 3 2 2 2" xfId="16723" xr:uid="{00000000-0005-0000-0000-0000B8190000}"/>
    <cellStyle name="Normal 37 4 3 2 3" xfId="12210" xr:uid="{00000000-0005-0000-0000-0000B9190000}"/>
    <cellStyle name="Normal 37 4 3 3" xfId="6151" xr:uid="{00000000-0005-0000-0000-0000BA190000}"/>
    <cellStyle name="Normal 37 4 3 3 2" xfId="15192" xr:uid="{00000000-0005-0000-0000-0000BB190000}"/>
    <cellStyle name="Normal 37 4 3 4" xfId="10679" xr:uid="{00000000-0005-0000-0000-0000BC190000}"/>
    <cellStyle name="Normal 37 4 4" xfId="3164" xr:uid="{00000000-0005-0000-0000-0000BD190000}"/>
    <cellStyle name="Normal 37 4 4 2" xfId="7679" xr:uid="{00000000-0005-0000-0000-0000BE190000}"/>
    <cellStyle name="Normal 37 4 4 2 2" xfId="16720" xr:uid="{00000000-0005-0000-0000-0000BF190000}"/>
    <cellStyle name="Normal 37 4 4 3" xfId="12207" xr:uid="{00000000-0005-0000-0000-0000C0190000}"/>
    <cellStyle name="Normal 37 4 5" xfId="5023" xr:uid="{00000000-0005-0000-0000-0000C1190000}"/>
    <cellStyle name="Normal 37 4 5 2" xfId="14064" xr:uid="{00000000-0005-0000-0000-0000C2190000}"/>
    <cellStyle name="Normal 37 4 6" xfId="9551" xr:uid="{00000000-0005-0000-0000-0000C3190000}"/>
    <cellStyle name="Normal 37 5" xfId="646" xr:uid="{00000000-0005-0000-0000-0000C4190000}"/>
    <cellStyle name="Normal 37 5 2" xfId="1816" xr:uid="{00000000-0005-0000-0000-0000C5190000}"/>
    <cellStyle name="Normal 37 5 2 2" xfId="3169" xr:uid="{00000000-0005-0000-0000-0000C6190000}"/>
    <cellStyle name="Normal 37 5 2 2 2" xfId="7684" xr:uid="{00000000-0005-0000-0000-0000C7190000}"/>
    <cellStyle name="Normal 37 5 2 2 2 2" xfId="16725" xr:uid="{00000000-0005-0000-0000-0000C8190000}"/>
    <cellStyle name="Normal 37 5 2 2 3" xfId="12212" xr:uid="{00000000-0005-0000-0000-0000C9190000}"/>
    <cellStyle name="Normal 37 5 2 3" xfId="6339" xr:uid="{00000000-0005-0000-0000-0000CA190000}"/>
    <cellStyle name="Normal 37 5 2 3 2" xfId="15380" xr:uid="{00000000-0005-0000-0000-0000CB190000}"/>
    <cellStyle name="Normal 37 5 2 4" xfId="10867" xr:uid="{00000000-0005-0000-0000-0000CC190000}"/>
    <cellStyle name="Normal 37 5 3" xfId="3168" xr:uid="{00000000-0005-0000-0000-0000CD190000}"/>
    <cellStyle name="Normal 37 5 3 2" xfId="7683" xr:uid="{00000000-0005-0000-0000-0000CE190000}"/>
    <cellStyle name="Normal 37 5 3 2 2" xfId="16724" xr:uid="{00000000-0005-0000-0000-0000CF190000}"/>
    <cellStyle name="Normal 37 5 3 3" xfId="12211" xr:uid="{00000000-0005-0000-0000-0000D0190000}"/>
    <cellStyle name="Normal 37 5 4" xfId="5211" xr:uid="{00000000-0005-0000-0000-0000D1190000}"/>
    <cellStyle name="Normal 37 5 4 2" xfId="14252" xr:uid="{00000000-0005-0000-0000-0000D2190000}"/>
    <cellStyle name="Normal 37 5 5" xfId="9739" xr:uid="{00000000-0005-0000-0000-0000D3190000}"/>
    <cellStyle name="Normal 37 6" xfId="1252" xr:uid="{00000000-0005-0000-0000-0000D4190000}"/>
    <cellStyle name="Normal 37 6 2" xfId="3170" xr:uid="{00000000-0005-0000-0000-0000D5190000}"/>
    <cellStyle name="Normal 37 6 2 2" xfId="7685" xr:uid="{00000000-0005-0000-0000-0000D6190000}"/>
    <cellStyle name="Normal 37 6 2 2 2" xfId="16726" xr:uid="{00000000-0005-0000-0000-0000D7190000}"/>
    <cellStyle name="Normal 37 6 2 3" xfId="12213" xr:uid="{00000000-0005-0000-0000-0000D8190000}"/>
    <cellStyle name="Normal 37 6 3" xfId="5775" xr:uid="{00000000-0005-0000-0000-0000D9190000}"/>
    <cellStyle name="Normal 37 6 3 2" xfId="14816" xr:uid="{00000000-0005-0000-0000-0000DA190000}"/>
    <cellStyle name="Normal 37 6 4" xfId="10303" xr:uid="{00000000-0005-0000-0000-0000DB190000}"/>
    <cellStyle name="Normal 37 7" xfId="3147" xr:uid="{00000000-0005-0000-0000-0000DC190000}"/>
    <cellStyle name="Normal 37 7 2" xfId="7662" xr:uid="{00000000-0005-0000-0000-0000DD190000}"/>
    <cellStyle name="Normal 37 7 2 2" xfId="16703" xr:uid="{00000000-0005-0000-0000-0000DE190000}"/>
    <cellStyle name="Normal 37 7 3" xfId="12190" xr:uid="{00000000-0005-0000-0000-0000DF190000}"/>
    <cellStyle name="Normal 37 8" xfId="4647" xr:uid="{00000000-0005-0000-0000-0000E0190000}"/>
    <cellStyle name="Normal 37 8 2" xfId="13688" xr:uid="{00000000-0005-0000-0000-0000E1190000}"/>
    <cellStyle name="Normal 37 9" xfId="9175" xr:uid="{00000000-0005-0000-0000-0000E2190000}"/>
    <cellStyle name="Normal 4" xfId="100" xr:uid="{00000000-0005-0000-0000-0000E3190000}"/>
    <cellStyle name="Normal 4 2" xfId="196" xr:uid="{00000000-0005-0000-0000-0000E4190000}"/>
    <cellStyle name="Normal 40" xfId="40" xr:uid="{00000000-0005-0000-0000-0000E5190000}"/>
    <cellStyle name="Normal 40 2" xfId="136" xr:uid="{00000000-0005-0000-0000-0000E6190000}"/>
    <cellStyle name="Normal 40 2 2" xfId="365" xr:uid="{00000000-0005-0000-0000-0000E7190000}"/>
    <cellStyle name="Normal 40 2 2 2" xfId="929" xr:uid="{00000000-0005-0000-0000-0000E8190000}"/>
    <cellStyle name="Normal 40 2 2 2 2" xfId="2099" xr:uid="{00000000-0005-0000-0000-0000E9190000}"/>
    <cellStyle name="Normal 40 2 2 2 2 2" xfId="3175" xr:uid="{00000000-0005-0000-0000-0000EA190000}"/>
    <cellStyle name="Normal 40 2 2 2 2 2 2" xfId="7690" xr:uid="{00000000-0005-0000-0000-0000EB190000}"/>
    <cellStyle name="Normal 40 2 2 2 2 2 2 2" xfId="16731" xr:uid="{00000000-0005-0000-0000-0000EC190000}"/>
    <cellStyle name="Normal 40 2 2 2 2 2 3" xfId="12218" xr:uid="{00000000-0005-0000-0000-0000ED190000}"/>
    <cellStyle name="Normal 40 2 2 2 2 3" xfId="6622" xr:uid="{00000000-0005-0000-0000-0000EE190000}"/>
    <cellStyle name="Normal 40 2 2 2 2 3 2" xfId="15663" xr:uid="{00000000-0005-0000-0000-0000EF190000}"/>
    <cellStyle name="Normal 40 2 2 2 2 4" xfId="11150" xr:uid="{00000000-0005-0000-0000-0000F0190000}"/>
    <cellStyle name="Normal 40 2 2 2 3" xfId="3174" xr:uid="{00000000-0005-0000-0000-0000F1190000}"/>
    <cellStyle name="Normal 40 2 2 2 3 2" xfId="7689" xr:uid="{00000000-0005-0000-0000-0000F2190000}"/>
    <cellStyle name="Normal 40 2 2 2 3 2 2" xfId="16730" xr:uid="{00000000-0005-0000-0000-0000F3190000}"/>
    <cellStyle name="Normal 40 2 2 2 3 3" xfId="12217" xr:uid="{00000000-0005-0000-0000-0000F4190000}"/>
    <cellStyle name="Normal 40 2 2 2 4" xfId="5494" xr:uid="{00000000-0005-0000-0000-0000F5190000}"/>
    <cellStyle name="Normal 40 2 2 2 4 2" xfId="14535" xr:uid="{00000000-0005-0000-0000-0000F6190000}"/>
    <cellStyle name="Normal 40 2 2 2 5" xfId="10022" xr:uid="{00000000-0005-0000-0000-0000F7190000}"/>
    <cellStyle name="Normal 40 2 2 3" xfId="1535" xr:uid="{00000000-0005-0000-0000-0000F8190000}"/>
    <cellStyle name="Normal 40 2 2 3 2" xfId="3176" xr:uid="{00000000-0005-0000-0000-0000F9190000}"/>
    <cellStyle name="Normal 40 2 2 3 2 2" xfId="7691" xr:uid="{00000000-0005-0000-0000-0000FA190000}"/>
    <cellStyle name="Normal 40 2 2 3 2 2 2" xfId="16732" xr:uid="{00000000-0005-0000-0000-0000FB190000}"/>
    <cellStyle name="Normal 40 2 2 3 2 3" xfId="12219" xr:uid="{00000000-0005-0000-0000-0000FC190000}"/>
    <cellStyle name="Normal 40 2 2 3 3" xfId="6058" xr:uid="{00000000-0005-0000-0000-0000FD190000}"/>
    <cellStyle name="Normal 40 2 2 3 3 2" xfId="15099" xr:uid="{00000000-0005-0000-0000-0000FE190000}"/>
    <cellStyle name="Normal 40 2 2 3 4" xfId="10586" xr:uid="{00000000-0005-0000-0000-0000FF190000}"/>
    <cellStyle name="Normal 40 2 2 4" xfId="3173" xr:uid="{00000000-0005-0000-0000-0000001A0000}"/>
    <cellStyle name="Normal 40 2 2 4 2" xfId="7688" xr:uid="{00000000-0005-0000-0000-0000011A0000}"/>
    <cellStyle name="Normal 40 2 2 4 2 2" xfId="16729" xr:uid="{00000000-0005-0000-0000-0000021A0000}"/>
    <cellStyle name="Normal 40 2 2 4 3" xfId="12216" xr:uid="{00000000-0005-0000-0000-0000031A0000}"/>
    <cellStyle name="Normal 40 2 2 5" xfId="4930" xr:uid="{00000000-0005-0000-0000-0000041A0000}"/>
    <cellStyle name="Normal 40 2 2 5 2" xfId="13971" xr:uid="{00000000-0005-0000-0000-0000051A0000}"/>
    <cellStyle name="Normal 40 2 2 6" xfId="9458" xr:uid="{00000000-0005-0000-0000-0000061A0000}"/>
    <cellStyle name="Normal 40 2 3" xfId="553" xr:uid="{00000000-0005-0000-0000-0000071A0000}"/>
    <cellStyle name="Normal 40 2 3 2" xfId="1117" xr:uid="{00000000-0005-0000-0000-0000081A0000}"/>
    <cellStyle name="Normal 40 2 3 2 2" xfId="2287" xr:uid="{00000000-0005-0000-0000-0000091A0000}"/>
    <cellStyle name="Normal 40 2 3 2 2 2" xfId="3179" xr:uid="{00000000-0005-0000-0000-00000A1A0000}"/>
    <cellStyle name="Normal 40 2 3 2 2 2 2" xfId="7694" xr:uid="{00000000-0005-0000-0000-00000B1A0000}"/>
    <cellStyle name="Normal 40 2 3 2 2 2 2 2" xfId="16735" xr:uid="{00000000-0005-0000-0000-00000C1A0000}"/>
    <cellStyle name="Normal 40 2 3 2 2 2 3" xfId="12222" xr:uid="{00000000-0005-0000-0000-00000D1A0000}"/>
    <cellStyle name="Normal 40 2 3 2 2 3" xfId="6810" xr:uid="{00000000-0005-0000-0000-00000E1A0000}"/>
    <cellStyle name="Normal 40 2 3 2 2 3 2" xfId="15851" xr:uid="{00000000-0005-0000-0000-00000F1A0000}"/>
    <cellStyle name="Normal 40 2 3 2 2 4" xfId="11338" xr:uid="{00000000-0005-0000-0000-0000101A0000}"/>
    <cellStyle name="Normal 40 2 3 2 3" xfId="3178" xr:uid="{00000000-0005-0000-0000-0000111A0000}"/>
    <cellStyle name="Normal 40 2 3 2 3 2" xfId="7693" xr:uid="{00000000-0005-0000-0000-0000121A0000}"/>
    <cellStyle name="Normal 40 2 3 2 3 2 2" xfId="16734" xr:uid="{00000000-0005-0000-0000-0000131A0000}"/>
    <cellStyle name="Normal 40 2 3 2 3 3" xfId="12221" xr:uid="{00000000-0005-0000-0000-0000141A0000}"/>
    <cellStyle name="Normal 40 2 3 2 4" xfId="5682" xr:uid="{00000000-0005-0000-0000-0000151A0000}"/>
    <cellStyle name="Normal 40 2 3 2 4 2" xfId="14723" xr:uid="{00000000-0005-0000-0000-0000161A0000}"/>
    <cellStyle name="Normal 40 2 3 2 5" xfId="10210" xr:uid="{00000000-0005-0000-0000-0000171A0000}"/>
    <cellStyle name="Normal 40 2 3 3" xfId="1723" xr:uid="{00000000-0005-0000-0000-0000181A0000}"/>
    <cellStyle name="Normal 40 2 3 3 2" xfId="3180" xr:uid="{00000000-0005-0000-0000-0000191A0000}"/>
    <cellStyle name="Normal 40 2 3 3 2 2" xfId="7695" xr:uid="{00000000-0005-0000-0000-00001A1A0000}"/>
    <cellStyle name="Normal 40 2 3 3 2 2 2" xfId="16736" xr:uid="{00000000-0005-0000-0000-00001B1A0000}"/>
    <cellStyle name="Normal 40 2 3 3 2 3" xfId="12223" xr:uid="{00000000-0005-0000-0000-00001C1A0000}"/>
    <cellStyle name="Normal 40 2 3 3 3" xfId="6246" xr:uid="{00000000-0005-0000-0000-00001D1A0000}"/>
    <cellStyle name="Normal 40 2 3 3 3 2" xfId="15287" xr:uid="{00000000-0005-0000-0000-00001E1A0000}"/>
    <cellStyle name="Normal 40 2 3 3 4" xfId="10774" xr:uid="{00000000-0005-0000-0000-00001F1A0000}"/>
    <cellStyle name="Normal 40 2 3 4" xfId="3177" xr:uid="{00000000-0005-0000-0000-0000201A0000}"/>
    <cellStyle name="Normal 40 2 3 4 2" xfId="7692" xr:uid="{00000000-0005-0000-0000-0000211A0000}"/>
    <cellStyle name="Normal 40 2 3 4 2 2" xfId="16733" xr:uid="{00000000-0005-0000-0000-0000221A0000}"/>
    <cellStyle name="Normal 40 2 3 4 3" xfId="12220" xr:uid="{00000000-0005-0000-0000-0000231A0000}"/>
    <cellStyle name="Normal 40 2 3 5" xfId="5118" xr:uid="{00000000-0005-0000-0000-0000241A0000}"/>
    <cellStyle name="Normal 40 2 3 5 2" xfId="14159" xr:uid="{00000000-0005-0000-0000-0000251A0000}"/>
    <cellStyle name="Normal 40 2 3 6" xfId="9646" xr:uid="{00000000-0005-0000-0000-0000261A0000}"/>
    <cellStyle name="Normal 40 2 4" xfId="741" xr:uid="{00000000-0005-0000-0000-0000271A0000}"/>
    <cellStyle name="Normal 40 2 4 2" xfId="1911" xr:uid="{00000000-0005-0000-0000-0000281A0000}"/>
    <cellStyle name="Normal 40 2 4 2 2" xfId="3182" xr:uid="{00000000-0005-0000-0000-0000291A0000}"/>
    <cellStyle name="Normal 40 2 4 2 2 2" xfId="7697" xr:uid="{00000000-0005-0000-0000-00002A1A0000}"/>
    <cellStyle name="Normal 40 2 4 2 2 2 2" xfId="16738" xr:uid="{00000000-0005-0000-0000-00002B1A0000}"/>
    <cellStyle name="Normal 40 2 4 2 2 3" xfId="12225" xr:uid="{00000000-0005-0000-0000-00002C1A0000}"/>
    <cellStyle name="Normal 40 2 4 2 3" xfId="6434" xr:uid="{00000000-0005-0000-0000-00002D1A0000}"/>
    <cellStyle name="Normal 40 2 4 2 3 2" xfId="15475" xr:uid="{00000000-0005-0000-0000-00002E1A0000}"/>
    <cellStyle name="Normal 40 2 4 2 4" xfId="10962" xr:uid="{00000000-0005-0000-0000-00002F1A0000}"/>
    <cellStyle name="Normal 40 2 4 3" xfId="3181" xr:uid="{00000000-0005-0000-0000-0000301A0000}"/>
    <cellStyle name="Normal 40 2 4 3 2" xfId="7696" xr:uid="{00000000-0005-0000-0000-0000311A0000}"/>
    <cellStyle name="Normal 40 2 4 3 2 2" xfId="16737" xr:uid="{00000000-0005-0000-0000-0000321A0000}"/>
    <cellStyle name="Normal 40 2 4 3 3" xfId="12224" xr:uid="{00000000-0005-0000-0000-0000331A0000}"/>
    <cellStyle name="Normal 40 2 4 4" xfId="5306" xr:uid="{00000000-0005-0000-0000-0000341A0000}"/>
    <cellStyle name="Normal 40 2 4 4 2" xfId="14347" xr:uid="{00000000-0005-0000-0000-0000351A0000}"/>
    <cellStyle name="Normal 40 2 4 5" xfId="9834" xr:uid="{00000000-0005-0000-0000-0000361A0000}"/>
    <cellStyle name="Normal 40 2 5" xfId="1347" xr:uid="{00000000-0005-0000-0000-0000371A0000}"/>
    <cellStyle name="Normal 40 2 5 2" xfId="3183" xr:uid="{00000000-0005-0000-0000-0000381A0000}"/>
    <cellStyle name="Normal 40 2 5 2 2" xfId="7698" xr:uid="{00000000-0005-0000-0000-0000391A0000}"/>
    <cellStyle name="Normal 40 2 5 2 2 2" xfId="16739" xr:uid="{00000000-0005-0000-0000-00003A1A0000}"/>
    <cellStyle name="Normal 40 2 5 2 3" xfId="12226" xr:uid="{00000000-0005-0000-0000-00003B1A0000}"/>
    <cellStyle name="Normal 40 2 5 3" xfId="5870" xr:uid="{00000000-0005-0000-0000-00003C1A0000}"/>
    <cellStyle name="Normal 40 2 5 3 2" xfId="14911" xr:uid="{00000000-0005-0000-0000-00003D1A0000}"/>
    <cellStyle name="Normal 40 2 5 4" xfId="10398" xr:uid="{00000000-0005-0000-0000-00003E1A0000}"/>
    <cellStyle name="Normal 40 2 6" xfId="3172" xr:uid="{00000000-0005-0000-0000-00003F1A0000}"/>
    <cellStyle name="Normal 40 2 6 2" xfId="7687" xr:uid="{00000000-0005-0000-0000-0000401A0000}"/>
    <cellStyle name="Normal 40 2 6 2 2" xfId="16728" xr:uid="{00000000-0005-0000-0000-0000411A0000}"/>
    <cellStyle name="Normal 40 2 6 3" xfId="12215" xr:uid="{00000000-0005-0000-0000-0000421A0000}"/>
    <cellStyle name="Normal 40 2 7" xfId="4742" xr:uid="{00000000-0005-0000-0000-0000431A0000}"/>
    <cellStyle name="Normal 40 2 7 2" xfId="13783" xr:uid="{00000000-0005-0000-0000-0000441A0000}"/>
    <cellStyle name="Normal 40 2 8" xfId="9270" xr:uid="{00000000-0005-0000-0000-0000451A0000}"/>
    <cellStyle name="Normal 40 3" xfId="271" xr:uid="{00000000-0005-0000-0000-0000461A0000}"/>
    <cellStyle name="Normal 40 3 2" xfId="835" xr:uid="{00000000-0005-0000-0000-0000471A0000}"/>
    <cellStyle name="Normal 40 3 2 2" xfId="2005" xr:uid="{00000000-0005-0000-0000-0000481A0000}"/>
    <cellStyle name="Normal 40 3 2 2 2" xfId="3186" xr:uid="{00000000-0005-0000-0000-0000491A0000}"/>
    <cellStyle name="Normal 40 3 2 2 2 2" xfId="7701" xr:uid="{00000000-0005-0000-0000-00004A1A0000}"/>
    <cellStyle name="Normal 40 3 2 2 2 2 2" xfId="16742" xr:uid="{00000000-0005-0000-0000-00004B1A0000}"/>
    <cellStyle name="Normal 40 3 2 2 2 3" xfId="12229" xr:uid="{00000000-0005-0000-0000-00004C1A0000}"/>
    <cellStyle name="Normal 40 3 2 2 3" xfId="6528" xr:uid="{00000000-0005-0000-0000-00004D1A0000}"/>
    <cellStyle name="Normal 40 3 2 2 3 2" xfId="15569" xr:uid="{00000000-0005-0000-0000-00004E1A0000}"/>
    <cellStyle name="Normal 40 3 2 2 4" xfId="11056" xr:uid="{00000000-0005-0000-0000-00004F1A0000}"/>
    <cellStyle name="Normal 40 3 2 3" xfId="3185" xr:uid="{00000000-0005-0000-0000-0000501A0000}"/>
    <cellStyle name="Normal 40 3 2 3 2" xfId="7700" xr:uid="{00000000-0005-0000-0000-0000511A0000}"/>
    <cellStyle name="Normal 40 3 2 3 2 2" xfId="16741" xr:uid="{00000000-0005-0000-0000-0000521A0000}"/>
    <cellStyle name="Normal 40 3 2 3 3" xfId="12228" xr:uid="{00000000-0005-0000-0000-0000531A0000}"/>
    <cellStyle name="Normal 40 3 2 4" xfId="5400" xr:uid="{00000000-0005-0000-0000-0000541A0000}"/>
    <cellStyle name="Normal 40 3 2 4 2" xfId="14441" xr:uid="{00000000-0005-0000-0000-0000551A0000}"/>
    <cellStyle name="Normal 40 3 2 5" xfId="9928" xr:uid="{00000000-0005-0000-0000-0000561A0000}"/>
    <cellStyle name="Normal 40 3 3" xfId="1441" xr:uid="{00000000-0005-0000-0000-0000571A0000}"/>
    <cellStyle name="Normal 40 3 3 2" xfId="3187" xr:uid="{00000000-0005-0000-0000-0000581A0000}"/>
    <cellStyle name="Normal 40 3 3 2 2" xfId="7702" xr:uid="{00000000-0005-0000-0000-0000591A0000}"/>
    <cellStyle name="Normal 40 3 3 2 2 2" xfId="16743" xr:uid="{00000000-0005-0000-0000-00005A1A0000}"/>
    <cellStyle name="Normal 40 3 3 2 3" xfId="12230" xr:uid="{00000000-0005-0000-0000-00005B1A0000}"/>
    <cellStyle name="Normal 40 3 3 3" xfId="5964" xr:uid="{00000000-0005-0000-0000-00005C1A0000}"/>
    <cellStyle name="Normal 40 3 3 3 2" xfId="15005" xr:uid="{00000000-0005-0000-0000-00005D1A0000}"/>
    <cellStyle name="Normal 40 3 3 4" xfId="10492" xr:uid="{00000000-0005-0000-0000-00005E1A0000}"/>
    <cellStyle name="Normal 40 3 4" xfId="3184" xr:uid="{00000000-0005-0000-0000-00005F1A0000}"/>
    <cellStyle name="Normal 40 3 4 2" xfId="7699" xr:uid="{00000000-0005-0000-0000-0000601A0000}"/>
    <cellStyle name="Normal 40 3 4 2 2" xfId="16740" xr:uid="{00000000-0005-0000-0000-0000611A0000}"/>
    <cellStyle name="Normal 40 3 4 3" xfId="12227" xr:uid="{00000000-0005-0000-0000-0000621A0000}"/>
    <cellStyle name="Normal 40 3 5" xfId="4836" xr:uid="{00000000-0005-0000-0000-0000631A0000}"/>
    <cellStyle name="Normal 40 3 5 2" xfId="13877" xr:uid="{00000000-0005-0000-0000-0000641A0000}"/>
    <cellStyle name="Normal 40 3 6" xfId="9364" xr:uid="{00000000-0005-0000-0000-0000651A0000}"/>
    <cellStyle name="Normal 40 4" xfId="459" xr:uid="{00000000-0005-0000-0000-0000661A0000}"/>
    <cellStyle name="Normal 40 4 2" xfId="1023" xr:uid="{00000000-0005-0000-0000-0000671A0000}"/>
    <cellStyle name="Normal 40 4 2 2" xfId="2193" xr:uid="{00000000-0005-0000-0000-0000681A0000}"/>
    <cellStyle name="Normal 40 4 2 2 2" xfId="3190" xr:uid="{00000000-0005-0000-0000-0000691A0000}"/>
    <cellStyle name="Normal 40 4 2 2 2 2" xfId="7705" xr:uid="{00000000-0005-0000-0000-00006A1A0000}"/>
    <cellStyle name="Normal 40 4 2 2 2 2 2" xfId="16746" xr:uid="{00000000-0005-0000-0000-00006B1A0000}"/>
    <cellStyle name="Normal 40 4 2 2 2 3" xfId="12233" xr:uid="{00000000-0005-0000-0000-00006C1A0000}"/>
    <cellStyle name="Normal 40 4 2 2 3" xfId="6716" xr:uid="{00000000-0005-0000-0000-00006D1A0000}"/>
    <cellStyle name="Normal 40 4 2 2 3 2" xfId="15757" xr:uid="{00000000-0005-0000-0000-00006E1A0000}"/>
    <cellStyle name="Normal 40 4 2 2 4" xfId="11244" xr:uid="{00000000-0005-0000-0000-00006F1A0000}"/>
    <cellStyle name="Normal 40 4 2 3" xfId="3189" xr:uid="{00000000-0005-0000-0000-0000701A0000}"/>
    <cellStyle name="Normal 40 4 2 3 2" xfId="7704" xr:uid="{00000000-0005-0000-0000-0000711A0000}"/>
    <cellStyle name="Normal 40 4 2 3 2 2" xfId="16745" xr:uid="{00000000-0005-0000-0000-0000721A0000}"/>
    <cellStyle name="Normal 40 4 2 3 3" xfId="12232" xr:uid="{00000000-0005-0000-0000-0000731A0000}"/>
    <cellStyle name="Normal 40 4 2 4" xfId="5588" xr:uid="{00000000-0005-0000-0000-0000741A0000}"/>
    <cellStyle name="Normal 40 4 2 4 2" xfId="14629" xr:uid="{00000000-0005-0000-0000-0000751A0000}"/>
    <cellStyle name="Normal 40 4 2 5" xfId="10116" xr:uid="{00000000-0005-0000-0000-0000761A0000}"/>
    <cellStyle name="Normal 40 4 3" xfId="1629" xr:uid="{00000000-0005-0000-0000-0000771A0000}"/>
    <cellStyle name="Normal 40 4 3 2" xfId="3191" xr:uid="{00000000-0005-0000-0000-0000781A0000}"/>
    <cellStyle name="Normal 40 4 3 2 2" xfId="7706" xr:uid="{00000000-0005-0000-0000-0000791A0000}"/>
    <cellStyle name="Normal 40 4 3 2 2 2" xfId="16747" xr:uid="{00000000-0005-0000-0000-00007A1A0000}"/>
    <cellStyle name="Normal 40 4 3 2 3" xfId="12234" xr:uid="{00000000-0005-0000-0000-00007B1A0000}"/>
    <cellStyle name="Normal 40 4 3 3" xfId="6152" xr:uid="{00000000-0005-0000-0000-00007C1A0000}"/>
    <cellStyle name="Normal 40 4 3 3 2" xfId="15193" xr:uid="{00000000-0005-0000-0000-00007D1A0000}"/>
    <cellStyle name="Normal 40 4 3 4" xfId="10680" xr:uid="{00000000-0005-0000-0000-00007E1A0000}"/>
    <cellStyle name="Normal 40 4 4" xfId="3188" xr:uid="{00000000-0005-0000-0000-00007F1A0000}"/>
    <cellStyle name="Normal 40 4 4 2" xfId="7703" xr:uid="{00000000-0005-0000-0000-0000801A0000}"/>
    <cellStyle name="Normal 40 4 4 2 2" xfId="16744" xr:uid="{00000000-0005-0000-0000-0000811A0000}"/>
    <cellStyle name="Normal 40 4 4 3" xfId="12231" xr:uid="{00000000-0005-0000-0000-0000821A0000}"/>
    <cellStyle name="Normal 40 4 5" xfId="5024" xr:uid="{00000000-0005-0000-0000-0000831A0000}"/>
    <cellStyle name="Normal 40 4 5 2" xfId="14065" xr:uid="{00000000-0005-0000-0000-0000841A0000}"/>
    <cellStyle name="Normal 40 4 6" xfId="9552" xr:uid="{00000000-0005-0000-0000-0000851A0000}"/>
    <cellStyle name="Normal 40 5" xfId="647" xr:uid="{00000000-0005-0000-0000-0000861A0000}"/>
    <cellStyle name="Normal 40 5 2" xfId="1817" xr:uid="{00000000-0005-0000-0000-0000871A0000}"/>
    <cellStyle name="Normal 40 5 2 2" xfId="3193" xr:uid="{00000000-0005-0000-0000-0000881A0000}"/>
    <cellStyle name="Normal 40 5 2 2 2" xfId="7708" xr:uid="{00000000-0005-0000-0000-0000891A0000}"/>
    <cellStyle name="Normal 40 5 2 2 2 2" xfId="16749" xr:uid="{00000000-0005-0000-0000-00008A1A0000}"/>
    <cellStyle name="Normal 40 5 2 2 3" xfId="12236" xr:uid="{00000000-0005-0000-0000-00008B1A0000}"/>
    <cellStyle name="Normal 40 5 2 3" xfId="6340" xr:uid="{00000000-0005-0000-0000-00008C1A0000}"/>
    <cellStyle name="Normal 40 5 2 3 2" xfId="15381" xr:uid="{00000000-0005-0000-0000-00008D1A0000}"/>
    <cellStyle name="Normal 40 5 2 4" xfId="10868" xr:uid="{00000000-0005-0000-0000-00008E1A0000}"/>
    <cellStyle name="Normal 40 5 3" xfId="3192" xr:uid="{00000000-0005-0000-0000-00008F1A0000}"/>
    <cellStyle name="Normal 40 5 3 2" xfId="7707" xr:uid="{00000000-0005-0000-0000-0000901A0000}"/>
    <cellStyle name="Normal 40 5 3 2 2" xfId="16748" xr:uid="{00000000-0005-0000-0000-0000911A0000}"/>
    <cellStyle name="Normal 40 5 3 3" xfId="12235" xr:uid="{00000000-0005-0000-0000-0000921A0000}"/>
    <cellStyle name="Normal 40 5 4" xfId="5212" xr:uid="{00000000-0005-0000-0000-0000931A0000}"/>
    <cellStyle name="Normal 40 5 4 2" xfId="14253" xr:uid="{00000000-0005-0000-0000-0000941A0000}"/>
    <cellStyle name="Normal 40 5 5" xfId="9740" xr:uid="{00000000-0005-0000-0000-0000951A0000}"/>
    <cellStyle name="Normal 40 6" xfId="1253" xr:uid="{00000000-0005-0000-0000-0000961A0000}"/>
    <cellStyle name="Normal 40 6 2" xfId="3194" xr:uid="{00000000-0005-0000-0000-0000971A0000}"/>
    <cellStyle name="Normal 40 6 2 2" xfId="7709" xr:uid="{00000000-0005-0000-0000-0000981A0000}"/>
    <cellStyle name="Normal 40 6 2 2 2" xfId="16750" xr:uid="{00000000-0005-0000-0000-0000991A0000}"/>
    <cellStyle name="Normal 40 6 2 3" xfId="12237" xr:uid="{00000000-0005-0000-0000-00009A1A0000}"/>
    <cellStyle name="Normal 40 6 3" xfId="5776" xr:uid="{00000000-0005-0000-0000-00009B1A0000}"/>
    <cellStyle name="Normal 40 6 3 2" xfId="14817" xr:uid="{00000000-0005-0000-0000-00009C1A0000}"/>
    <cellStyle name="Normal 40 6 4" xfId="10304" xr:uid="{00000000-0005-0000-0000-00009D1A0000}"/>
    <cellStyle name="Normal 40 7" xfId="3171" xr:uid="{00000000-0005-0000-0000-00009E1A0000}"/>
    <cellStyle name="Normal 40 7 2" xfId="7686" xr:uid="{00000000-0005-0000-0000-00009F1A0000}"/>
    <cellStyle name="Normal 40 7 2 2" xfId="16727" xr:uid="{00000000-0005-0000-0000-0000A01A0000}"/>
    <cellStyle name="Normal 40 7 3" xfId="12214" xr:uid="{00000000-0005-0000-0000-0000A11A0000}"/>
    <cellStyle name="Normal 40 8" xfId="4648" xr:uid="{00000000-0005-0000-0000-0000A21A0000}"/>
    <cellStyle name="Normal 40 8 2" xfId="13689" xr:uid="{00000000-0005-0000-0000-0000A31A0000}"/>
    <cellStyle name="Normal 40 9" xfId="9176" xr:uid="{00000000-0005-0000-0000-0000A41A0000}"/>
    <cellStyle name="Normal 41" xfId="41" xr:uid="{00000000-0005-0000-0000-0000A51A0000}"/>
    <cellStyle name="Normal 41 2" xfId="137" xr:uid="{00000000-0005-0000-0000-0000A61A0000}"/>
    <cellStyle name="Normal 41 2 2" xfId="366" xr:uid="{00000000-0005-0000-0000-0000A71A0000}"/>
    <cellStyle name="Normal 41 2 2 2" xfId="930" xr:uid="{00000000-0005-0000-0000-0000A81A0000}"/>
    <cellStyle name="Normal 41 2 2 2 2" xfId="2100" xr:uid="{00000000-0005-0000-0000-0000A91A0000}"/>
    <cellStyle name="Normal 41 2 2 2 2 2" xfId="3199" xr:uid="{00000000-0005-0000-0000-0000AA1A0000}"/>
    <cellStyle name="Normal 41 2 2 2 2 2 2" xfId="7714" xr:uid="{00000000-0005-0000-0000-0000AB1A0000}"/>
    <cellStyle name="Normal 41 2 2 2 2 2 2 2" xfId="16755" xr:uid="{00000000-0005-0000-0000-0000AC1A0000}"/>
    <cellStyle name="Normal 41 2 2 2 2 2 3" xfId="12242" xr:uid="{00000000-0005-0000-0000-0000AD1A0000}"/>
    <cellStyle name="Normal 41 2 2 2 2 3" xfId="6623" xr:uid="{00000000-0005-0000-0000-0000AE1A0000}"/>
    <cellStyle name="Normal 41 2 2 2 2 3 2" xfId="15664" xr:uid="{00000000-0005-0000-0000-0000AF1A0000}"/>
    <cellStyle name="Normal 41 2 2 2 2 4" xfId="11151" xr:uid="{00000000-0005-0000-0000-0000B01A0000}"/>
    <cellStyle name="Normal 41 2 2 2 3" xfId="3198" xr:uid="{00000000-0005-0000-0000-0000B11A0000}"/>
    <cellStyle name="Normal 41 2 2 2 3 2" xfId="7713" xr:uid="{00000000-0005-0000-0000-0000B21A0000}"/>
    <cellStyle name="Normal 41 2 2 2 3 2 2" xfId="16754" xr:uid="{00000000-0005-0000-0000-0000B31A0000}"/>
    <cellStyle name="Normal 41 2 2 2 3 3" xfId="12241" xr:uid="{00000000-0005-0000-0000-0000B41A0000}"/>
    <cellStyle name="Normal 41 2 2 2 4" xfId="5495" xr:uid="{00000000-0005-0000-0000-0000B51A0000}"/>
    <cellStyle name="Normal 41 2 2 2 4 2" xfId="14536" xr:uid="{00000000-0005-0000-0000-0000B61A0000}"/>
    <cellStyle name="Normal 41 2 2 2 5" xfId="10023" xr:uid="{00000000-0005-0000-0000-0000B71A0000}"/>
    <cellStyle name="Normal 41 2 2 3" xfId="1536" xr:uid="{00000000-0005-0000-0000-0000B81A0000}"/>
    <cellStyle name="Normal 41 2 2 3 2" xfId="3200" xr:uid="{00000000-0005-0000-0000-0000B91A0000}"/>
    <cellStyle name="Normal 41 2 2 3 2 2" xfId="7715" xr:uid="{00000000-0005-0000-0000-0000BA1A0000}"/>
    <cellStyle name="Normal 41 2 2 3 2 2 2" xfId="16756" xr:uid="{00000000-0005-0000-0000-0000BB1A0000}"/>
    <cellStyle name="Normal 41 2 2 3 2 3" xfId="12243" xr:uid="{00000000-0005-0000-0000-0000BC1A0000}"/>
    <cellStyle name="Normal 41 2 2 3 3" xfId="6059" xr:uid="{00000000-0005-0000-0000-0000BD1A0000}"/>
    <cellStyle name="Normal 41 2 2 3 3 2" xfId="15100" xr:uid="{00000000-0005-0000-0000-0000BE1A0000}"/>
    <cellStyle name="Normal 41 2 2 3 4" xfId="10587" xr:uid="{00000000-0005-0000-0000-0000BF1A0000}"/>
    <cellStyle name="Normal 41 2 2 4" xfId="3197" xr:uid="{00000000-0005-0000-0000-0000C01A0000}"/>
    <cellStyle name="Normal 41 2 2 4 2" xfId="7712" xr:uid="{00000000-0005-0000-0000-0000C11A0000}"/>
    <cellStyle name="Normal 41 2 2 4 2 2" xfId="16753" xr:uid="{00000000-0005-0000-0000-0000C21A0000}"/>
    <cellStyle name="Normal 41 2 2 4 3" xfId="12240" xr:uid="{00000000-0005-0000-0000-0000C31A0000}"/>
    <cellStyle name="Normal 41 2 2 5" xfId="4931" xr:uid="{00000000-0005-0000-0000-0000C41A0000}"/>
    <cellStyle name="Normal 41 2 2 5 2" xfId="13972" xr:uid="{00000000-0005-0000-0000-0000C51A0000}"/>
    <cellStyle name="Normal 41 2 2 6" xfId="9459" xr:uid="{00000000-0005-0000-0000-0000C61A0000}"/>
    <cellStyle name="Normal 41 2 3" xfId="554" xr:uid="{00000000-0005-0000-0000-0000C71A0000}"/>
    <cellStyle name="Normal 41 2 3 2" xfId="1118" xr:uid="{00000000-0005-0000-0000-0000C81A0000}"/>
    <cellStyle name="Normal 41 2 3 2 2" xfId="2288" xr:uid="{00000000-0005-0000-0000-0000C91A0000}"/>
    <cellStyle name="Normal 41 2 3 2 2 2" xfId="3203" xr:uid="{00000000-0005-0000-0000-0000CA1A0000}"/>
    <cellStyle name="Normal 41 2 3 2 2 2 2" xfId="7718" xr:uid="{00000000-0005-0000-0000-0000CB1A0000}"/>
    <cellStyle name="Normal 41 2 3 2 2 2 2 2" xfId="16759" xr:uid="{00000000-0005-0000-0000-0000CC1A0000}"/>
    <cellStyle name="Normal 41 2 3 2 2 2 3" xfId="12246" xr:uid="{00000000-0005-0000-0000-0000CD1A0000}"/>
    <cellStyle name="Normal 41 2 3 2 2 3" xfId="6811" xr:uid="{00000000-0005-0000-0000-0000CE1A0000}"/>
    <cellStyle name="Normal 41 2 3 2 2 3 2" xfId="15852" xr:uid="{00000000-0005-0000-0000-0000CF1A0000}"/>
    <cellStyle name="Normal 41 2 3 2 2 4" xfId="11339" xr:uid="{00000000-0005-0000-0000-0000D01A0000}"/>
    <cellStyle name="Normal 41 2 3 2 3" xfId="3202" xr:uid="{00000000-0005-0000-0000-0000D11A0000}"/>
    <cellStyle name="Normal 41 2 3 2 3 2" xfId="7717" xr:uid="{00000000-0005-0000-0000-0000D21A0000}"/>
    <cellStyle name="Normal 41 2 3 2 3 2 2" xfId="16758" xr:uid="{00000000-0005-0000-0000-0000D31A0000}"/>
    <cellStyle name="Normal 41 2 3 2 3 3" xfId="12245" xr:uid="{00000000-0005-0000-0000-0000D41A0000}"/>
    <cellStyle name="Normal 41 2 3 2 4" xfId="5683" xr:uid="{00000000-0005-0000-0000-0000D51A0000}"/>
    <cellStyle name="Normal 41 2 3 2 4 2" xfId="14724" xr:uid="{00000000-0005-0000-0000-0000D61A0000}"/>
    <cellStyle name="Normal 41 2 3 2 5" xfId="10211" xr:uid="{00000000-0005-0000-0000-0000D71A0000}"/>
    <cellStyle name="Normal 41 2 3 3" xfId="1724" xr:uid="{00000000-0005-0000-0000-0000D81A0000}"/>
    <cellStyle name="Normal 41 2 3 3 2" xfId="3204" xr:uid="{00000000-0005-0000-0000-0000D91A0000}"/>
    <cellStyle name="Normal 41 2 3 3 2 2" xfId="7719" xr:uid="{00000000-0005-0000-0000-0000DA1A0000}"/>
    <cellStyle name="Normal 41 2 3 3 2 2 2" xfId="16760" xr:uid="{00000000-0005-0000-0000-0000DB1A0000}"/>
    <cellStyle name="Normal 41 2 3 3 2 3" xfId="12247" xr:uid="{00000000-0005-0000-0000-0000DC1A0000}"/>
    <cellStyle name="Normal 41 2 3 3 3" xfId="6247" xr:uid="{00000000-0005-0000-0000-0000DD1A0000}"/>
    <cellStyle name="Normal 41 2 3 3 3 2" xfId="15288" xr:uid="{00000000-0005-0000-0000-0000DE1A0000}"/>
    <cellStyle name="Normal 41 2 3 3 4" xfId="10775" xr:uid="{00000000-0005-0000-0000-0000DF1A0000}"/>
    <cellStyle name="Normal 41 2 3 4" xfId="3201" xr:uid="{00000000-0005-0000-0000-0000E01A0000}"/>
    <cellStyle name="Normal 41 2 3 4 2" xfId="7716" xr:uid="{00000000-0005-0000-0000-0000E11A0000}"/>
    <cellStyle name="Normal 41 2 3 4 2 2" xfId="16757" xr:uid="{00000000-0005-0000-0000-0000E21A0000}"/>
    <cellStyle name="Normal 41 2 3 4 3" xfId="12244" xr:uid="{00000000-0005-0000-0000-0000E31A0000}"/>
    <cellStyle name="Normal 41 2 3 5" xfId="5119" xr:uid="{00000000-0005-0000-0000-0000E41A0000}"/>
    <cellStyle name="Normal 41 2 3 5 2" xfId="14160" xr:uid="{00000000-0005-0000-0000-0000E51A0000}"/>
    <cellStyle name="Normal 41 2 3 6" xfId="9647" xr:uid="{00000000-0005-0000-0000-0000E61A0000}"/>
    <cellStyle name="Normal 41 2 4" xfId="742" xr:uid="{00000000-0005-0000-0000-0000E71A0000}"/>
    <cellStyle name="Normal 41 2 4 2" xfId="1912" xr:uid="{00000000-0005-0000-0000-0000E81A0000}"/>
    <cellStyle name="Normal 41 2 4 2 2" xfId="3206" xr:uid="{00000000-0005-0000-0000-0000E91A0000}"/>
    <cellStyle name="Normal 41 2 4 2 2 2" xfId="7721" xr:uid="{00000000-0005-0000-0000-0000EA1A0000}"/>
    <cellStyle name="Normal 41 2 4 2 2 2 2" xfId="16762" xr:uid="{00000000-0005-0000-0000-0000EB1A0000}"/>
    <cellStyle name="Normal 41 2 4 2 2 3" xfId="12249" xr:uid="{00000000-0005-0000-0000-0000EC1A0000}"/>
    <cellStyle name="Normal 41 2 4 2 3" xfId="6435" xr:uid="{00000000-0005-0000-0000-0000ED1A0000}"/>
    <cellStyle name="Normal 41 2 4 2 3 2" xfId="15476" xr:uid="{00000000-0005-0000-0000-0000EE1A0000}"/>
    <cellStyle name="Normal 41 2 4 2 4" xfId="10963" xr:uid="{00000000-0005-0000-0000-0000EF1A0000}"/>
    <cellStyle name="Normal 41 2 4 3" xfId="3205" xr:uid="{00000000-0005-0000-0000-0000F01A0000}"/>
    <cellStyle name="Normal 41 2 4 3 2" xfId="7720" xr:uid="{00000000-0005-0000-0000-0000F11A0000}"/>
    <cellStyle name="Normal 41 2 4 3 2 2" xfId="16761" xr:uid="{00000000-0005-0000-0000-0000F21A0000}"/>
    <cellStyle name="Normal 41 2 4 3 3" xfId="12248" xr:uid="{00000000-0005-0000-0000-0000F31A0000}"/>
    <cellStyle name="Normal 41 2 4 4" xfId="5307" xr:uid="{00000000-0005-0000-0000-0000F41A0000}"/>
    <cellStyle name="Normal 41 2 4 4 2" xfId="14348" xr:uid="{00000000-0005-0000-0000-0000F51A0000}"/>
    <cellStyle name="Normal 41 2 4 5" xfId="9835" xr:uid="{00000000-0005-0000-0000-0000F61A0000}"/>
    <cellStyle name="Normal 41 2 5" xfId="1348" xr:uid="{00000000-0005-0000-0000-0000F71A0000}"/>
    <cellStyle name="Normal 41 2 5 2" xfId="3207" xr:uid="{00000000-0005-0000-0000-0000F81A0000}"/>
    <cellStyle name="Normal 41 2 5 2 2" xfId="7722" xr:uid="{00000000-0005-0000-0000-0000F91A0000}"/>
    <cellStyle name="Normal 41 2 5 2 2 2" xfId="16763" xr:uid="{00000000-0005-0000-0000-0000FA1A0000}"/>
    <cellStyle name="Normal 41 2 5 2 3" xfId="12250" xr:uid="{00000000-0005-0000-0000-0000FB1A0000}"/>
    <cellStyle name="Normal 41 2 5 3" xfId="5871" xr:uid="{00000000-0005-0000-0000-0000FC1A0000}"/>
    <cellStyle name="Normal 41 2 5 3 2" xfId="14912" xr:uid="{00000000-0005-0000-0000-0000FD1A0000}"/>
    <cellStyle name="Normal 41 2 5 4" xfId="10399" xr:uid="{00000000-0005-0000-0000-0000FE1A0000}"/>
    <cellStyle name="Normal 41 2 6" xfId="3196" xr:uid="{00000000-0005-0000-0000-0000FF1A0000}"/>
    <cellStyle name="Normal 41 2 6 2" xfId="7711" xr:uid="{00000000-0005-0000-0000-0000001B0000}"/>
    <cellStyle name="Normal 41 2 6 2 2" xfId="16752" xr:uid="{00000000-0005-0000-0000-0000011B0000}"/>
    <cellStyle name="Normal 41 2 6 3" xfId="12239" xr:uid="{00000000-0005-0000-0000-0000021B0000}"/>
    <cellStyle name="Normal 41 2 7" xfId="4743" xr:uid="{00000000-0005-0000-0000-0000031B0000}"/>
    <cellStyle name="Normal 41 2 7 2" xfId="13784" xr:uid="{00000000-0005-0000-0000-0000041B0000}"/>
    <cellStyle name="Normal 41 2 8" xfId="9271" xr:uid="{00000000-0005-0000-0000-0000051B0000}"/>
    <cellStyle name="Normal 41 3" xfId="272" xr:uid="{00000000-0005-0000-0000-0000061B0000}"/>
    <cellStyle name="Normal 41 3 2" xfId="836" xr:uid="{00000000-0005-0000-0000-0000071B0000}"/>
    <cellStyle name="Normal 41 3 2 2" xfId="2006" xr:uid="{00000000-0005-0000-0000-0000081B0000}"/>
    <cellStyle name="Normal 41 3 2 2 2" xfId="3210" xr:uid="{00000000-0005-0000-0000-0000091B0000}"/>
    <cellStyle name="Normal 41 3 2 2 2 2" xfId="7725" xr:uid="{00000000-0005-0000-0000-00000A1B0000}"/>
    <cellStyle name="Normal 41 3 2 2 2 2 2" xfId="16766" xr:uid="{00000000-0005-0000-0000-00000B1B0000}"/>
    <cellStyle name="Normal 41 3 2 2 2 3" xfId="12253" xr:uid="{00000000-0005-0000-0000-00000C1B0000}"/>
    <cellStyle name="Normal 41 3 2 2 3" xfId="6529" xr:uid="{00000000-0005-0000-0000-00000D1B0000}"/>
    <cellStyle name="Normal 41 3 2 2 3 2" xfId="15570" xr:uid="{00000000-0005-0000-0000-00000E1B0000}"/>
    <cellStyle name="Normal 41 3 2 2 4" xfId="11057" xr:uid="{00000000-0005-0000-0000-00000F1B0000}"/>
    <cellStyle name="Normal 41 3 2 3" xfId="3209" xr:uid="{00000000-0005-0000-0000-0000101B0000}"/>
    <cellStyle name="Normal 41 3 2 3 2" xfId="7724" xr:uid="{00000000-0005-0000-0000-0000111B0000}"/>
    <cellStyle name="Normal 41 3 2 3 2 2" xfId="16765" xr:uid="{00000000-0005-0000-0000-0000121B0000}"/>
    <cellStyle name="Normal 41 3 2 3 3" xfId="12252" xr:uid="{00000000-0005-0000-0000-0000131B0000}"/>
    <cellStyle name="Normal 41 3 2 4" xfId="5401" xr:uid="{00000000-0005-0000-0000-0000141B0000}"/>
    <cellStyle name="Normal 41 3 2 4 2" xfId="14442" xr:uid="{00000000-0005-0000-0000-0000151B0000}"/>
    <cellStyle name="Normal 41 3 2 5" xfId="9929" xr:uid="{00000000-0005-0000-0000-0000161B0000}"/>
    <cellStyle name="Normal 41 3 3" xfId="1442" xr:uid="{00000000-0005-0000-0000-0000171B0000}"/>
    <cellStyle name="Normal 41 3 3 2" xfId="3211" xr:uid="{00000000-0005-0000-0000-0000181B0000}"/>
    <cellStyle name="Normal 41 3 3 2 2" xfId="7726" xr:uid="{00000000-0005-0000-0000-0000191B0000}"/>
    <cellStyle name="Normal 41 3 3 2 2 2" xfId="16767" xr:uid="{00000000-0005-0000-0000-00001A1B0000}"/>
    <cellStyle name="Normal 41 3 3 2 3" xfId="12254" xr:uid="{00000000-0005-0000-0000-00001B1B0000}"/>
    <cellStyle name="Normal 41 3 3 3" xfId="5965" xr:uid="{00000000-0005-0000-0000-00001C1B0000}"/>
    <cellStyle name="Normal 41 3 3 3 2" xfId="15006" xr:uid="{00000000-0005-0000-0000-00001D1B0000}"/>
    <cellStyle name="Normal 41 3 3 4" xfId="10493" xr:uid="{00000000-0005-0000-0000-00001E1B0000}"/>
    <cellStyle name="Normal 41 3 4" xfId="3208" xr:uid="{00000000-0005-0000-0000-00001F1B0000}"/>
    <cellStyle name="Normal 41 3 4 2" xfId="7723" xr:uid="{00000000-0005-0000-0000-0000201B0000}"/>
    <cellStyle name="Normal 41 3 4 2 2" xfId="16764" xr:uid="{00000000-0005-0000-0000-0000211B0000}"/>
    <cellStyle name="Normal 41 3 4 3" xfId="12251" xr:uid="{00000000-0005-0000-0000-0000221B0000}"/>
    <cellStyle name="Normal 41 3 5" xfId="4837" xr:uid="{00000000-0005-0000-0000-0000231B0000}"/>
    <cellStyle name="Normal 41 3 5 2" xfId="13878" xr:uid="{00000000-0005-0000-0000-0000241B0000}"/>
    <cellStyle name="Normal 41 3 6" xfId="9365" xr:uid="{00000000-0005-0000-0000-0000251B0000}"/>
    <cellStyle name="Normal 41 4" xfId="460" xr:uid="{00000000-0005-0000-0000-0000261B0000}"/>
    <cellStyle name="Normal 41 4 2" xfId="1024" xr:uid="{00000000-0005-0000-0000-0000271B0000}"/>
    <cellStyle name="Normal 41 4 2 2" xfId="2194" xr:uid="{00000000-0005-0000-0000-0000281B0000}"/>
    <cellStyle name="Normal 41 4 2 2 2" xfId="3214" xr:uid="{00000000-0005-0000-0000-0000291B0000}"/>
    <cellStyle name="Normal 41 4 2 2 2 2" xfId="7729" xr:uid="{00000000-0005-0000-0000-00002A1B0000}"/>
    <cellStyle name="Normal 41 4 2 2 2 2 2" xfId="16770" xr:uid="{00000000-0005-0000-0000-00002B1B0000}"/>
    <cellStyle name="Normal 41 4 2 2 2 3" xfId="12257" xr:uid="{00000000-0005-0000-0000-00002C1B0000}"/>
    <cellStyle name="Normal 41 4 2 2 3" xfId="6717" xr:uid="{00000000-0005-0000-0000-00002D1B0000}"/>
    <cellStyle name="Normal 41 4 2 2 3 2" xfId="15758" xr:uid="{00000000-0005-0000-0000-00002E1B0000}"/>
    <cellStyle name="Normal 41 4 2 2 4" xfId="11245" xr:uid="{00000000-0005-0000-0000-00002F1B0000}"/>
    <cellStyle name="Normal 41 4 2 3" xfId="3213" xr:uid="{00000000-0005-0000-0000-0000301B0000}"/>
    <cellStyle name="Normal 41 4 2 3 2" xfId="7728" xr:uid="{00000000-0005-0000-0000-0000311B0000}"/>
    <cellStyle name="Normal 41 4 2 3 2 2" xfId="16769" xr:uid="{00000000-0005-0000-0000-0000321B0000}"/>
    <cellStyle name="Normal 41 4 2 3 3" xfId="12256" xr:uid="{00000000-0005-0000-0000-0000331B0000}"/>
    <cellStyle name="Normal 41 4 2 4" xfId="5589" xr:uid="{00000000-0005-0000-0000-0000341B0000}"/>
    <cellStyle name="Normal 41 4 2 4 2" xfId="14630" xr:uid="{00000000-0005-0000-0000-0000351B0000}"/>
    <cellStyle name="Normal 41 4 2 5" xfId="10117" xr:uid="{00000000-0005-0000-0000-0000361B0000}"/>
    <cellStyle name="Normal 41 4 3" xfId="1630" xr:uid="{00000000-0005-0000-0000-0000371B0000}"/>
    <cellStyle name="Normal 41 4 3 2" xfId="3215" xr:uid="{00000000-0005-0000-0000-0000381B0000}"/>
    <cellStyle name="Normal 41 4 3 2 2" xfId="7730" xr:uid="{00000000-0005-0000-0000-0000391B0000}"/>
    <cellStyle name="Normal 41 4 3 2 2 2" xfId="16771" xr:uid="{00000000-0005-0000-0000-00003A1B0000}"/>
    <cellStyle name="Normal 41 4 3 2 3" xfId="12258" xr:uid="{00000000-0005-0000-0000-00003B1B0000}"/>
    <cellStyle name="Normal 41 4 3 3" xfId="6153" xr:uid="{00000000-0005-0000-0000-00003C1B0000}"/>
    <cellStyle name="Normal 41 4 3 3 2" xfId="15194" xr:uid="{00000000-0005-0000-0000-00003D1B0000}"/>
    <cellStyle name="Normal 41 4 3 4" xfId="10681" xr:uid="{00000000-0005-0000-0000-00003E1B0000}"/>
    <cellStyle name="Normal 41 4 4" xfId="3212" xr:uid="{00000000-0005-0000-0000-00003F1B0000}"/>
    <cellStyle name="Normal 41 4 4 2" xfId="7727" xr:uid="{00000000-0005-0000-0000-0000401B0000}"/>
    <cellStyle name="Normal 41 4 4 2 2" xfId="16768" xr:uid="{00000000-0005-0000-0000-0000411B0000}"/>
    <cellStyle name="Normal 41 4 4 3" xfId="12255" xr:uid="{00000000-0005-0000-0000-0000421B0000}"/>
    <cellStyle name="Normal 41 4 5" xfId="5025" xr:uid="{00000000-0005-0000-0000-0000431B0000}"/>
    <cellStyle name="Normal 41 4 5 2" xfId="14066" xr:uid="{00000000-0005-0000-0000-0000441B0000}"/>
    <cellStyle name="Normal 41 4 6" xfId="9553" xr:uid="{00000000-0005-0000-0000-0000451B0000}"/>
    <cellStyle name="Normal 41 5" xfId="648" xr:uid="{00000000-0005-0000-0000-0000461B0000}"/>
    <cellStyle name="Normal 41 5 2" xfId="1818" xr:uid="{00000000-0005-0000-0000-0000471B0000}"/>
    <cellStyle name="Normal 41 5 2 2" xfId="3217" xr:uid="{00000000-0005-0000-0000-0000481B0000}"/>
    <cellStyle name="Normal 41 5 2 2 2" xfId="7732" xr:uid="{00000000-0005-0000-0000-0000491B0000}"/>
    <cellStyle name="Normal 41 5 2 2 2 2" xfId="16773" xr:uid="{00000000-0005-0000-0000-00004A1B0000}"/>
    <cellStyle name="Normal 41 5 2 2 3" xfId="12260" xr:uid="{00000000-0005-0000-0000-00004B1B0000}"/>
    <cellStyle name="Normal 41 5 2 3" xfId="6341" xr:uid="{00000000-0005-0000-0000-00004C1B0000}"/>
    <cellStyle name="Normal 41 5 2 3 2" xfId="15382" xr:uid="{00000000-0005-0000-0000-00004D1B0000}"/>
    <cellStyle name="Normal 41 5 2 4" xfId="10869" xr:uid="{00000000-0005-0000-0000-00004E1B0000}"/>
    <cellStyle name="Normal 41 5 3" xfId="3216" xr:uid="{00000000-0005-0000-0000-00004F1B0000}"/>
    <cellStyle name="Normal 41 5 3 2" xfId="7731" xr:uid="{00000000-0005-0000-0000-0000501B0000}"/>
    <cellStyle name="Normal 41 5 3 2 2" xfId="16772" xr:uid="{00000000-0005-0000-0000-0000511B0000}"/>
    <cellStyle name="Normal 41 5 3 3" xfId="12259" xr:uid="{00000000-0005-0000-0000-0000521B0000}"/>
    <cellStyle name="Normal 41 5 4" xfId="5213" xr:uid="{00000000-0005-0000-0000-0000531B0000}"/>
    <cellStyle name="Normal 41 5 4 2" xfId="14254" xr:uid="{00000000-0005-0000-0000-0000541B0000}"/>
    <cellStyle name="Normal 41 5 5" xfId="9741" xr:uid="{00000000-0005-0000-0000-0000551B0000}"/>
    <cellStyle name="Normal 41 6" xfId="1254" xr:uid="{00000000-0005-0000-0000-0000561B0000}"/>
    <cellStyle name="Normal 41 6 2" xfId="3218" xr:uid="{00000000-0005-0000-0000-0000571B0000}"/>
    <cellStyle name="Normal 41 6 2 2" xfId="7733" xr:uid="{00000000-0005-0000-0000-0000581B0000}"/>
    <cellStyle name="Normal 41 6 2 2 2" xfId="16774" xr:uid="{00000000-0005-0000-0000-0000591B0000}"/>
    <cellStyle name="Normal 41 6 2 3" xfId="12261" xr:uid="{00000000-0005-0000-0000-00005A1B0000}"/>
    <cellStyle name="Normal 41 6 3" xfId="5777" xr:uid="{00000000-0005-0000-0000-00005B1B0000}"/>
    <cellStyle name="Normal 41 6 3 2" xfId="14818" xr:uid="{00000000-0005-0000-0000-00005C1B0000}"/>
    <cellStyle name="Normal 41 6 4" xfId="10305" xr:uid="{00000000-0005-0000-0000-00005D1B0000}"/>
    <cellStyle name="Normal 41 7" xfId="3195" xr:uid="{00000000-0005-0000-0000-00005E1B0000}"/>
    <cellStyle name="Normal 41 7 2" xfId="7710" xr:uid="{00000000-0005-0000-0000-00005F1B0000}"/>
    <cellStyle name="Normal 41 7 2 2" xfId="16751" xr:uid="{00000000-0005-0000-0000-0000601B0000}"/>
    <cellStyle name="Normal 41 7 3" xfId="12238" xr:uid="{00000000-0005-0000-0000-0000611B0000}"/>
    <cellStyle name="Normal 41 8" xfId="4649" xr:uid="{00000000-0005-0000-0000-0000621B0000}"/>
    <cellStyle name="Normal 41 8 2" xfId="13690" xr:uid="{00000000-0005-0000-0000-0000631B0000}"/>
    <cellStyle name="Normal 41 9" xfId="9177" xr:uid="{00000000-0005-0000-0000-0000641B0000}"/>
    <cellStyle name="Normal 42" xfId="42" xr:uid="{00000000-0005-0000-0000-0000651B0000}"/>
    <cellStyle name="Normal 42 2" xfId="138" xr:uid="{00000000-0005-0000-0000-0000661B0000}"/>
    <cellStyle name="Normal 42 2 2" xfId="367" xr:uid="{00000000-0005-0000-0000-0000671B0000}"/>
    <cellStyle name="Normal 42 2 2 2" xfId="931" xr:uid="{00000000-0005-0000-0000-0000681B0000}"/>
    <cellStyle name="Normal 42 2 2 2 2" xfId="2101" xr:uid="{00000000-0005-0000-0000-0000691B0000}"/>
    <cellStyle name="Normal 42 2 2 2 2 2" xfId="3223" xr:uid="{00000000-0005-0000-0000-00006A1B0000}"/>
    <cellStyle name="Normal 42 2 2 2 2 2 2" xfId="7738" xr:uid="{00000000-0005-0000-0000-00006B1B0000}"/>
    <cellStyle name="Normal 42 2 2 2 2 2 2 2" xfId="16779" xr:uid="{00000000-0005-0000-0000-00006C1B0000}"/>
    <cellStyle name="Normal 42 2 2 2 2 2 3" xfId="12266" xr:uid="{00000000-0005-0000-0000-00006D1B0000}"/>
    <cellStyle name="Normal 42 2 2 2 2 3" xfId="6624" xr:uid="{00000000-0005-0000-0000-00006E1B0000}"/>
    <cellStyle name="Normal 42 2 2 2 2 3 2" xfId="15665" xr:uid="{00000000-0005-0000-0000-00006F1B0000}"/>
    <cellStyle name="Normal 42 2 2 2 2 4" xfId="11152" xr:uid="{00000000-0005-0000-0000-0000701B0000}"/>
    <cellStyle name="Normal 42 2 2 2 3" xfId="3222" xr:uid="{00000000-0005-0000-0000-0000711B0000}"/>
    <cellStyle name="Normal 42 2 2 2 3 2" xfId="7737" xr:uid="{00000000-0005-0000-0000-0000721B0000}"/>
    <cellStyle name="Normal 42 2 2 2 3 2 2" xfId="16778" xr:uid="{00000000-0005-0000-0000-0000731B0000}"/>
    <cellStyle name="Normal 42 2 2 2 3 3" xfId="12265" xr:uid="{00000000-0005-0000-0000-0000741B0000}"/>
    <cellStyle name="Normal 42 2 2 2 4" xfId="5496" xr:uid="{00000000-0005-0000-0000-0000751B0000}"/>
    <cellStyle name="Normal 42 2 2 2 4 2" xfId="14537" xr:uid="{00000000-0005-0000-0000-0000761B0000}"/>
    <cellStyle name="Normal 42 2 2 2 5" xfId="10024" xr:uid="{00000000-0005-0000-0000-0000771B0000}"/>
    <cellStyle name="Normal 42 2 2 3" xfId="1537" xr:uid="{00000000-0005-0000-0000-0000781B0000}"/>
    <cellStyle name="Normal 42 2 2 3 2" xfId="3224" xr:uid="{00000000-0005-0000-0000-0000791B0000}"/>
    <cellStyle name="Normal 42 2 2 3 2 2" xfId="7739" xr:uid="{00000000-0005-0000-0000-00007A1B0000}"/>
    <cellStyle name="Normal 42 2 2 3 2 2 2" xfId="16780" xr:uid="{00000000-0005-0000-0000-00007B1B0000}"/>
    <cellStyle name="Normal 42 2 2 3 2 3" xfId="12267" xr:uid="{00000000-0005-0000-0000-00007C1B0000}"/>
    <cellStyle name="Normal 42 2 2 3 3" xfId="6060" xr:uid="{00000000-0005-0000-0000-00007D1B0000}"/>
    <cellStyle name="Normal 42 2 2 3 3 2" xfId="15101" xr:uid="{00000000-0005-0000-0000-00007E1B0000}"/>
    <cellStyle name="Normal 42 2 2 3 4" xfId="10588" xr:uid="{00000000-0005-0000-0000-00007F1B0000}"/>
    <cellStyle name="Normal 42 2 2 4" xfId="3221" xr:uid="{00000000-0005-0000-0000-0000801B0000}"/>
    <cellStyle name="Normal 42 2 2 4 2" xfId="7736" xr:uid="{00000000-0005-0000-0000-0000811B0000}"/>
    <cellStyle name="Normal 42 2 2 4 2 2" xfId="16777" xr:uid="{00000000-0005-0000-0000-0000821B0000}"/>
    <cellStyle name="Normal 42 2 2 4 3" xfId="12264" xr:uid="{00000000-0005-0000-0000-0000831B0000}"/>
    <cellStyle name="Normal 42 2 2 5" xfId="4932" xr:uid="{00000000-0005-0000-0000-0000841B0000}"/>
    <cellStyle name="Normal 42 2 2 5 2" xfId="13973" xr:uid="{00000000-0005-0000-0000-0000851B0000}"/>
    <cellStyle name="Normal 42 2 2 6" xfId="9460" xr:uid="{00000000-0005-0000-0000-0000861B0000}"/>
    <cellStyle name="Normal 42 2 3" xfId="555" xr:uid="{00000000-0005-0000-0000-0000871B0000}"/>
    <cellStyle name="Normal 42 2 3 2" xfId="1119" xr:uid="{00000000-0005-0000-0000-0000881B0000}"/>
    <cellStyle name="Normal 42 2 3 2 2" xfId="2289" xr:uid="{00000000-0005-0000-0000-0000891B0000}"/>
    <cellStyle name="Normal 42 2 3 2 2 2" xfId="3227" xr:uid="{00000000-0005-0000-0000-00008A1B0000}"/>
    <cellStyle name="Normal 42 2 3 2 2 2 2" xfId="7742" xr:uid="{00000000-0005-0000-0000-00008B1B0000}"/>
    <cellStyle name="Normal 42 2 3 2 2 2 2 2" xfId="16783" xr:uid="{00000000-0005-0000-0000-00008C1B0000}"/>
    <cellStyle name="Normal 42 2 3 2 2 2 3" xfId="12270" xr:uid="{00000000-0005-0000-0000-00008D1B0000}"/>
    <cellStyle name="Normal 42 2 3 2 2 3" xfId="6812" xr:uid="{00000000-0005-0000-0000-00008E1B0000}"/>
    <cellStyle name="Normal 42 2 3 2 2 3 2" xfId="15853" xr:uid="{00000000-0005-0000-0000-00008F1B0000}"/>
    <cellStyle name="Normal 42 2 3 2 2 4" xfId="11340" xr:uid="{00000000-0005-0000-0000-0000901B0000}"/>
    <cellStyle name="Normal 42 2 3 2 3" xfId="3226" xr:uid="{00000000-0005-0000-0000-0000911B0000}"/>
    <cellStyle name="Normal 42 2 3 2 3 2" xfId="7741" xr:uid="{00000000-0005-0000-0000-0000921B0000}"/>
    <cellStyle name="Normal 42 2 3 2 3 2 2" xfId="16782" xr:uid="{00000000-0005-0000-0000-0000931B0000}"/>
    <cellStyle name="Normal 42 2 3 2 3 3" xfId="12269" xr:uid="{00000000-0005-0000-0000-0000941B0000}"/>
    <cellStyle name="Normal 42 2 3 2 4" xfId="5684" xr:uid="{00000000-0005-0000-0000-0000951B0000}"/>
    <cellStyle name="Normal 42 2 3 2 4 2" xfId="14725" xr:uid="{00000000-0005-0000-0000-0000961B0000}"/>
    <cellStyle name="Normal 42 2 3 2 5" xfId="10212" xr:uid="{00000000-0005-0000-0000-0000971B0000}"/>
    <cellStyle name="Normal 42 2 3 3" xfId="1725" xr:uid="{00000000-0005-0000-0000-0000981B0000}"/>
    <cellStyle name="Normal 42 2 3 3 2" xfId="3228" xr:uid="{00000000-0005-0000-0000-0000991B0000}"/>
    <cellStyle name="Normal 42 2 3 3 2 2" xfId="7743" xr:uid="{00000000-0005-0000-0000-00009A1B0000}"/>
    <cellStyle name="Normal 42 2 3 3 2 2 2" xfId="16784" xr:uid="{00000000-0005-0000-0000-00009B1B0000}"/>
    <cellStyle name="Normal 42 2 3 3 2 3" xfId="12271" xr:uid="{00000000-0005-0000-0000-00009C1B0000}"/>
    <cellStyle name="Normal 42 2 3 3 3" xfId="6248" xr:uid="{00000000-0005-0000-0000-00009D1B0000}"/>
    <cellStyle name="Normal 42 2 3 3 3 2" xfId="15289" xr:uid="{00000000-0005-0000-0000-00009E1B0000}"/>
    <cellStyle name="Normal 42 2 3 3 4" xfId="10776" xr:uid="{00000000-0005-0000-0000-00009F1B0000}"/>
    <cellStyle name="Normal 42 2 3 4" xfId="3225" xr:uid="{00000000-0005-0000-0000-0000A01B0000}"/>
    <cellStyle name="Normal 42 2 3 4 2" xfId="7740" xr:uid="{00000000-0005-0000-0000-0000A11B0000}"/>
    <cellStyle name="Normal 42 2 3 4 2 2" xfId="16781" xr:uid="{00000000-0005-0000-0000-0000A21B0000}"/>
    <cellStyle name="Normal 42 2 3 4 3" xfId="12268" xr:uid="{00000000-0005-0000-0000-0000A31B0000}"/>
    <cellStyle name="Normal 42 2 3 5" xfId="5120" xr:uid="{00000000-0005-0000-0000-0000A41B0000}"/>
    <cellStyle name="Normal 42 2 3 5 2" xfId="14161" xr:uid="{00000000-0005-0000-0000-0000A51B0000}"/>
    <cellStyle name="Normal 42 2 3 6" xfId="9648" xr:uid="{00000000-0005-0000-0000-0000A61B0000}"/>
    <cellStyle name="Normal 42 2 4" xfId="743" xr:uid="{00000000-0005-0000-0000-0000A71B0000}"/>
    <cellStyle name="Normal 42 2 4 2" xfId="1913" xr:uid="{00000000-0005-0000-0000-0000A81B0000}"/>
    <cellStyle name="Normal 42 2 4 2 2" xfId="3230" xr:uid="{00000000-0005-0000-0000-0000A91B0000}"/>
    <cellStyle name="Normal 42 2 4 2 2 2" xfId="7745" xr:uid="{00000000-0005-0000-0000-0000AA1B0000}"/>
    <cellStyle name="Normal 42 2 4 2 2 2 2" xfId="16786" xr:uid="{00000000-0005-0000-0000-0000AB1B0000}"/>
    <cellStyle name="Normal 42 2 4 2 2 3" xfId="12273" xr:uid="{00000000-0005-0000-0000-0000AC1B0000}"/>
    <cellStyle name="Normal 42 2 4 2 3" xfId="6436" xr:uid="{00000000-0005-0000-0000-0000AD1B0000}"/>
    <cellStyle name="Normal 42 2 4 2 3 2" xfId="15477" xr:uid="{00000000-0005-0000-0000-0000AE1B0000}"/>
    <cellStyle name="Normal 42 2 4 2 4" xfId="10964" xr:uid="{00000000-0005-0000-0000-0000AF1B0000}"/>
    <cellStyle name="Normal 42 2 4 3" xfId="3229" xr:uid="{00000000-0005-0000-0000-0000B01B0000}"/>
    <cellStyle name="Normal 42 2 4 3 2" xfId="7744" xr:uid="{00000000-0005-0000-0000-0000B11B0000}"/>
    <cellStyle name="Normal 42 2 4 3 2 2" xfId="16785" xr:uid="{00000000-0005-0000-0000-0000B21B0000}"/>
    <cellStyle name="Normal 42 2 4 3 3" xfId="12272" xr:uid="{00000000-0005-0000-0000-0000B31B0000}"/>
    <cellStyle name="Normal 42 2 4 4" xfId="5308" xr:uid="{00000000-0005-0000-0000-0000B41B0000}"/>
    <cellStyle name="Normal 42 2 4 4 2" xfId="14349" xr:uid="{00000000-0005-0000-0000-0000B51B0000}"/>
    <cellStyle name="Normal 42 2 4 5" xfId="9836" xr:uid="{00000000-0005-0000-0000-0000B61B0000}"/>
    <cellStyle name="Normal 42 2 5" xfId="1349" xr:uid="{00000000-0005-0000-0000-0000B71B0000}"/>
    <cellStyle name="Normal 42 2 5 2" xfId="3231" xr:uid="{00000000-0005-0000-0000-0000B81B0000}"/>
    <cellStyle name="Normal 42 2 5 2 2" xfId="7746" xr:uid="{00000000-0005-0000-0000-0000B91B0000}"/>
    <cellStyle name="Normal 42 2 5 2 2 2" xfId="16787" xr:uid="{00000000-0005-0000-0000-0000BA1B0000}"/>
    <cellStyle name="Normal 42 2 5 2 3" xfId="12274" xr:uid="{00000000-0005-0000-0000-0000BB1B0000}"/>
    <cellStyle name="Normal 42 2 5 3" xfId="5872" xr:uid="{00000000-0005-0000-0000-0000BC1B0000}"/>
    <cellStyle name="Normal 42 2 5 3 2" xfId="14913" xr:uid="{00000000-0005-0000-0000-0000BD1B0000}"/>
    <cellStyle name="Normal 42 2 5 4" xfId="10400" xr:uid="{00000000-0005-0000-0000-0000BE1B0000}"/>
    <cellStyle name="Normal 42 2 6" xfId="3220" xr:uid="{00000000-0005-0000-0000-0000BF1B0000}"/>
    <cellStyle name="Normal 42 2 6 2" xfId="7735" xr:uid="{00000000-0005-0000-0000-0000C01B0000}"/>
    <cellStyle name="Normal 42 2 6 2 2" xfId="16776" xr:uid="{00000000-0005-0000-0000-0000C11B0000}"/>
    <cellStyle name="Normal 42 2 6 3" xfId="12263" xr:uid="{00000000-0005-0000-0000-0000C21B0000}"/>
    <cellStyle name="Normal 42 2 7" xfId="4744" xr:uid="{00000000-0005-0000-0000-0000C31B0000}"/>
    <cellStyle name="Normal 42 2 7 2" xfId="13785" xr:uid="{00000000-0005-0000-0000-0000C41B0000}"/>
    <cellStyle name="Normal 42 2 8" xfId="9272" xr:uid="{00000000-0005-0000-0000-0000C51B0000}"/>
    <cellStyle name="Normal 42 3" xfId="273" xr:uid="{00000000-0005-0000-0000-0000C61B0000}"/>
    <cellStyle name="Normal 42 3 2" xfId="837" xr:uid="{00000000-0005-0000-0000-0000C71B0000}"/>
    <cellStyle name="Normal 42 3 2 2" xfId="2007" xr:uid="{00000000-0005-0000-0000-0000C81B0000}"/>
    <cellStyle name="Normal 42 3 2 2 2" xfId="3234" xr:uid="{00000000-0005-0000-0000-0000C91B0000}"/>
    <cellStyle name="Normal 42 3 2 2 2 2" xfId="7749" xr:uid="{00000000-0005-0000-0000-0000CA1B0000}"/>
    <cellStyle name="Normal 42 3 2 2 2 2 2" xfId="16790" xr:uid="{00000000-0005-0000-0000-0000CB1B0000}"/>
    <cellStyle name="Normal 42 3 2 2 2 3" xfId="12277" xr:uid="{00000000-0005-0000-0000-0000CC1B0000}"/>
    <cellStyle name="Normal 42 3 2 2 3" xfId="6530" xr:uid="{00000000-0005-0000-0000-0000CD1B0000}"/>
    <cellStyle name="Normal 42 3 2 2 3 2" xfId="15571" xr:uid="{00000000-0005-0000-0000-0000CE1B0000}"/>
    <cellStyle name="Normal 42 3 2 2 4" xfId="11058" xr:uid="{00000000-0005-0000-0000-0000CF1B0000}"/>
    <cellStyle name="Normal 42 3 2 3" xfId="3233" xr:uid="{00000000-0005-0000-0000-0000D01B0000}"/>
    <cellStyle name="Normal 42 3 2 3 2" xfId="7748" xr:uid="{00000000-0005-0000-0000-0000D11B0000}"/>
    <cellStyle name="Normal 42 3 2 3 2 2" xfId="16789" xr:uid="{00000000-0005-0000-0000-0000D21B0000}"/>
    <cellStyle name="Normal 42 3 2 3 3" xfId="12276" xr:uid="{00000000-0005-0000-0000-0000D31B0000}"/>
    <cellStyle name="Normal 42 3 2 4" xfId="5402" xr:uid="{00000000-0005-0000-0000-0000D41B0000}"/>
    <cellStyle name="Normal 42 3 2 4 2" xfId="14443" xr:uid="{00000000-0005-0000-0000-0000D51B0000}"/>
    <cellStyle name="Normal 42 3 2 5" xfId="9930" xr:uid="{00000000-0005-0000-0000-0000D61B0000}"/>
    <cellStyle name="Normal 42 3 3" xfId="1443" xr:uid="{00000000-0005-0000-0000-0000D71B0000}"/>
    <cellStyle name="Normal 42 3 3 2" xfId="3235" xr:uid="{00000000-0005-0000-0000-0000D81B0000}"/>
    <cellStyle name="Normal 42 3 3 2 2" xfId="7750" xr:uid="{00000000-0005-0000-0000-0000D91B0000}"/>
    <cellStyle name="Normal 42 3 3 2 2 2" xfId="16791" xr:uid="{00000000-0005-0000-0000-0000DA1B0000}"/>
    <cellStyle name="Normal 42 3 3 2 3" xfId="12278" xr:uid="{00000000-0005-0000-0000-0000DB1B0000}"/>
    <cellStyle name="Normal 42 3 3 3" xfId="5966" xr:uid="{00000000-0005-0000-0000-0000DC1B0000}"/>
    <cellStyle name="Normal 42 3 3 3 2" xfId="15007" xr:uid="{00000000-0005-0000-0000-0000DD1B0000}"/>
    <cellStyle name="Normal 42 3 3 4" xfId="10494" xr:uid="{00000000-0005-0000-0000-0000DE1B0000}"/>
    <cellStyle name="Normal 42 3 4" xfId="3232" xr:uid="{00000000-0005-0000-0000-0000DF1B0000}"/>
    <cellStyle name="Normal 42 3 4 2" xfId="7747" xr:uid="{00000000-0005-0000-0000-0000E01B0000}"/>
    <cellStyle name="Normal 42 3 4 2 2" xfId="16788" xr:uid="{00000000-0005-0000-0000-0000E11B0000}"/>
    <cellStyle name="Normal 42 3 4 3" xfId="12275" xr:uid="{00000000-0005-0000-0000-0000E21B0000}"/>
    <cellStyle name="Normal 42 3 5" xfId="4838" xr:uid="{00000000-0005-0000-0000-0000E31B0000}"/>
    <cellStyle name="Normal 42 3 5 2" xfId="13879" xr:uid="{00000000-0005-0000-0000-0000E41B0000}"/>
    <cellStyle name="Normal 42 3 6" xfId="9366" xr:uid="{00000000-0005-0000-0000-0000E51B0000}"/>
    <cellStyle name="Normal 42 4" xfId="461" xr:uid="{00000000-0005-0000-0000-0000E61B0000}"/>
    <cellStyle name="Normal 42 4 2" xfId="1025" xr:uid="{00000000-0005-0000-0000-0000E71B0000}"/>
    <cellStyle name="Normal 42 4 2 2" xfId="2195" xr:uid="{00000000-0005-0000-0000-0000E81B0000}"/>
    <cellStyle name="Normal 42 4 2 2 2" xfId="3238" xr:uid="{00000000-0005-0000-0000-0000E91B0000}"/>
    <cellStyle name="Normal 42 4 2 2 2 2" xfId="7753" xr:uid="{00000000-0005-0000-0000-0000EA1B0000}"/>
    <cellStyle name="Normal 42 4 2 2 2 2 2" xfId="16794" xr:uid="{00000000-0005-0000-0000-0000EB1B0000}"/>
    <cellStyle name="Normal 42 4 2 2 2 3" xfId="12281" xr:uid="{00000000-0005-0000-0000-0000EC1B0000}"/>
    <cellStyle name="Normal 42 4 2 2 3" xfId="6718" xr:uid="{00000000-0005-0000-0000-0000ED1B0000}"/>
    <cellStyle name="Normal 42 4 2 2 3 2" xfId="15759" xr:uid="{00000000-0005-0000-0000-0000EE1B0000}"/>
    <cellStyle name="Normal 42 4 2 2 4" xfId="11246" xr:uid="{00000000-0005-0000-0000-0000EF1B0000}"/>
    <cellStyle name="Normal 42 4 2 3" xfId="3237" xr:uid="{00000000-0005-0000-0000-0000F01B0000}"/>
    <cellStyle name="Normal 42 4 2 3 2" xfId="7752" xr:uid="{00000000-0005-0000-0000-0000F11B0000}"/>
    <cellStyle name="Normal 42 4 2 3 2 2" xfId="16793" xr:uid="{00000000-0005-0000-0000-0000F21B0000}"/>
    <cellStyle name="Normal 42 4 2 3 3" xfId="12280" xr:uid="{00000000-0005-0000-0000-0000F31B0000}"/>
    <cellStyle name="Normal 42 4 2 4" xfId="5590" xr:uid="{00000000-0005-0000-0000-0000F41B0000}"/>
    <cellStyle name="Normal 42 4 2 4 2" xfId="14631" xr:uid="{00000000-0005-0000-0000-0000F51B0000}"/>
    <cellStyle name="Normal 42 4 2 5" xfId="10118" xr:uid="{00000000-0005-0000-0000-0000F61B0000}"/>
    <cellStyle name="Normal 42 4 3" xfId="1631" xr:uid="{00000000-0005-0000-0000-0000F71B0000}"/>
    <cellStyle name="Normal 42 4 3 2" xfId="3239" xr:uid="{00000000-0005-0000-0000-0000F81B0000}"/>
    <cellStyle name="Normal 42 4 3 2 2" xfId="7754" xr:uid="{00000000-0005-0000-0000-0000F91B0000}"/>
    <cellStyle name="Normal 42 4 3 2 2 2" xfId="16795" xr:uid="{00000000-0005-0000-0000-0000FA1B0000}"/>
    <cellStyle name="Normal 42 4 3 2 3" xfId="12282" xr:uid="{00000000-0005-0000-0000-0000FB1B0000}"/>
    <cellStyle name="Normal 42 4 3 3" xfId="6154" xr:uid="{00000000-0005-0000-0000-0000FC1B0000}"/>
    <cellStyle name="Normal 42 4 3 3 2" xfId="15195" xr:uid="{00000000-0005-0000-0000-0000FD1B0000}"/>
    <cellStyle name="Normal 42 4 3 4" xfId="10682" xr:uid="{00000000-0005-0000-0000-0000FE1B0000}"/>
    <cellStyle name="Normal 42 4 4" xfId="3236" xr:uid="{00000000-0005-0000-0000-0000FF1B0000}"/>
    <cellStyle name="Normal 42 4 4 2" xfId="7751" xr:uid="{00000000-0005-0000-0000-0000001C0000}"/>
    <cellStyle name="Normal 42 4 4 2 2" xfId="16792" xr:uid="{00000000-0005-0000-0000-0000011C0000}"/>
    <cellStyle name="Normal 42 4 4 3" xfId="12279" xr:uid="{00000000-0005-0000-0000-0000021C0000}"/>
    <cellStyle name="Normal 42 4 5" xfId="5026" xr:uid="{00000000-0005-0000-0000-0000031C0000}"/>
    <cellStyle name="Normal 42 4 5 2" xfId="14067" xr:uid="{00000000-0005-0000-0000-0000041C0000}"/>
    <cellStyle name="Normal 42 4 6" xfId="9554" xr:uid="{00000000-0005-0000-0000-0000051C0000}"/>
    <cellStyle name="Normal 42 5" xfId="649" xr:uid="{00000000-0005-0000-0000-0000061C0000}"/>
    <cellStyle name="Normal 42 5 2" xfId="1819" xr:uid="{00000000-0005-0000-0000-0000071C0000}"/>
    <cellStyle name="Normal 42 5 2 2" xfId="3241" xr:uid="{00000000-0005-0000-0000-0000081C0000}"/>
    <cellStyle name="Normal 42 5 2 2 2" xfId="7756" xr:uid="{00000000-0005-0000-0000-0000091C0000}"/>
    <cellStyle name="Normal 42 5 2 2 2 2" xfId="16797" xr:uid="{00000000-0005-0000-0000-00000A1C0000}"/>
    <cellStyle name="Normal 42 5 2 2 3" xfId="12284" xr:uid="{00000000-0005-0000-0000-00000B1C0000}"/>
    <cellStyle name="Normal 42 5 2 3" xfId="6342" xr:uid="{00000000-0005-0000-0000-00000C1C0000}"/>
    <cellStyle name="Normal 42 5 2 3 2" xfId="15383" xr:uid="{00000000-0005-0000-0000-00000D1C0000}"/>
    <cellStyle name="Normal 42 5 2 4" xfId="10870" xr:uid="{00000000-0005-0000-0000-00000E1C0000}"/>
    <cellStyle name="Normal 42 5 3" xfId="3240" xr:uid="{00000000-0005-0000-0000-00000F1C0000}"/>
    <cellStyle name="Normal 42 5 3 2" xfId="7755" xr:uid="{00000000-0005-0000-0000-0000101C0000}"/>
    <cellStyle name="Normal 42 5 3 2 2" xfId="16796" xr:uid="{00000000-0005-0000-0000-0000111C0000}"/>
    <cellStyle name="Normal 42 5 3 3" xfId="12283" xr:uid="{00000000-0005-0000-0000-0000121C0000}"/>
    <cellStyle name="Normal 42 5 4" xfId="5214" xr:uid="{00000000-0005-0000-0000-0000131C0000}"/>
    <cellStyle name="Normal 42 5 4 2" xfId="14255" xr:uid="{00000000-0005-0000-0000-0000141C0000}"/>
    <cellStyle name="Normal 42 5 5" xfId="9742" xr:uid="{00000000-0005-0000-0000-0000151C0000}"/>
    <cellStyle name="Normal 42 6" xfId="1255" xr:uid="{00000000-0005-0000-0000-0000161C0000}"/>
    <cellStyle name="Normal 42 6 2" xfId="3242" xr:uid="{00000000-0005-0000-0000-0000171C0000}"/>
    <cellStyle name="Normal 42 6 2 2" xfId="7757" xr:uid="{00000000-0005-0000-0000-0000181C0000}"/>
    <cellStyle name="Normal 42 6 2 2 2" xfId="16798" xr:uid="{00000000-0005-0000-0000-0000191C0000}"/>
    <cellStyle name="Normal 42 6 2 3" xfId="12285" xr:uid="{00000000-0005-0000-0000-00001A1C0000}"/>
    <cellStyle name="Normal 42 6 3" xfId="5778" xr:uid="{00000000-0005-0000-0000-00001B1C0000}"/>
    <cellStyle name="Normal 42 6 3 2" xfId="14819" xr:uid="{00000000-0005-0000-0000-00001C1C0000}"/>
    <cellStyle name="Normal 42 6 4" xfId="10306" xr:uid="{00000000-0005-0000-0000-00001D1C0000}"/>
    <cellStyle name="Normal 42 7" xfId="3219" xr:uid="{00000000-0005-0000-0000-00001E1C0000}"/>
    <cellStyle name="Normal 42 7 2" xfId="7734" xr:uid="{00000000-0005-0000-0000-00001F1C0000}"/>
    <cellStyle name="Normal 42 7 2 2" xfId="16775" xr:uid="{00000000-0005-0000-0000-0000201C0000}"/>
    <cellStyle name="Normal 42 7 3" xfId="12262" xr:uid="{00000000-0005-0000-0000-0000211C0000}"/>
    <cellStyle name="Normal 42 8" xfId="4650" xr:uid="{00000000-0005-0000-0000-0000221C0000}"/>
    <cellStyle name="Normal 42 8 2" xfId="13691" xr:uid="{00000000-0005-0000-0000-0000231C0000}"/>
    <cellStyle name="Normal 42 9" xfId="9178" xr:uid="{00000000-0005-0000-0000-0000241C0000}"/>
    <cellStyle name="Normal 43" xfId="43" xr:uid="{00000000-0005-0000-0000-0000251C0000}"/>
    <cellStyle name="Normal 43 2" xfId="139" xr:uid="{00000000-0005-0000-0000-0000261C0000}"/>
    <cellStyle name="Normal 43 2 2" xfId="368" xr:uid="{00000000-0005-0000-0000-0000271C0000}"/>
    <cellStyle name="Normal 43 2 2 2" xfId="932" xr:uid="{00000000-0005-0000-0000-0000281C0000}"/>
    <cellStyle name="Normal 43 2 2 2 2" xfId="2102" xr:uid="{00000000-0005-0000-0000-0000291C0000}"/>
    <cellStyle name="Normal 43 2 2 2 2 2" xfId="3247" xr:uid="{00000000-0005-0000-0000-00002A1C0000}"/>
    <cellStyle name="Normal 43 2 2 2 2 2 2" xfId="7762" xr:uid="{00000000-0005-0000-0000-00002B1C0000}"/>
    <cellStyle name="Normal 43 2 2 2 2 2 2 2" xfId="16803" xr:uid="{00000000-0005-0000-0000-00002C1C0000}"/>
    <cellStyle name="Normal 43 2 2 2 2 2 3" xfId="12290" xr:uid="{00000000-0005-0000-0000-00002D1C0000}"/>
    <cellStyle name="Normal 43 2 2 2 2 3" xfId="6625" xr:uid="{00000000-0005-0000-0000-00002E1C0000}"/>
    <cellStyle name="Normal 43 2 2 2 2 3 2" xfId="15666" xr:uid="{00000000-0005-0000-0000-00002F1C0000}"/>
    <cellStyle name="Normal 43 2 2 2 2 4" xfId="11153" xr:uid="{00000000-0005-0000-0000-0000301C0000}"/>
    <cellStyle name="Normal 43 2 2 2 3" xfId="3246" xr:uid="{00000000-0005-0000-0000-0000311C0000}"/>
    <cellStyle name="Normal 43 2 2 2 3 2" xfId="7761" xr:uid="{00000000-0005-0000-0000-0000321C0000}"/>
    <cellStyle name="Normal 43 2 2 2 3 2 2" xfId="16802" xr:uid="{00000000-0005-0000-0000-0000331C0000}"/>
    <cellStyle name="Normal 43 2 2 2 3 3" xfId="12289" xr:uid="{00000000-0005-0000-0000-0000341C0000}"/>
    <cellStyle name="Normal 43 2 2 2 4" xfId="5497" xr:uid="{00000000-0005-0000-0000-0000351C0000}"/>
    <cellStyle name="Normal 43 2 2 2 4 2" xfId="14538" xr:uid="{00000000-0005-0000-0000-0000361C0000}"/>
    <cellStyle name="Normal 43 2 2 2 5" xfId="10025" xr:uid="{00000000-0005-0000-0000-0000371C0000}"/>
    <cellStyle name="Normal 43 2 2 3" xfId="1538" xr:uid="{00000000-0005-0000-0000-0000381C0000}"/>
    <cellStyle name="Normal 43 2 2 3 2" xfId="3248" xr:uid="{00000000-0005-0000-0000-0000391C0000}"/>
    <cellStyle name="Normal 43 2 2 3 2 2" xfId="7763" xr:uid="{00000000-0005-0000-0000-00003A1C0000}"/>
    <cellStyle name="Normal 43 2 2 3 2 2 2" xfId="16804" xr:uid="{00000000-0005-0000-0000-00003B1C0000}"/>
    <cellStyle name="Normal 43 2 2 3 2 3" xfId="12291" xr:uid="{00000000-0005-0000-0000-00003C1C0000}"/>
    <cellStyle name="Normal 43 2 2 3 3" xfId="6061" xr:uid="{00000000-0005-0000-0000-00003D1C0000}"/>
    <cellStyle name="Normal 43 2 2 3 3 2" xfId="15102" xr:uid="{00000000-0005-0000-0000-00003E1C0000}"/>
    <cellStyle name="Normal 43 2 2 3 4" xfId="10589" xr:uid="{00000000-0005-0000-0000-00003F1C0000}"/>
    <cellStyle name="Normal 43 2 2 4" xfId="3245" xr:uid="{00000000-0005-0000-0000-0000401C0000}"/>
    <cellStyle name="Normal 43 2 2 4 2" xfId="7760" xr:uid="{00000000-0005-0000-0000-0000411C0000}"/>
    <cellStyle name="Normal 43 2 2 4 2 2" xfId="16801" xr:uid="{00000000-0005-0000-0000-0000421C0000}"/>
    <cellStyle name="Normal 43 2 2 4 3" xfId="12288" xr:uid="{00000000-0005-0000-0000-0000431C0000}"/>
    <cellStyle name="Normal 43 2 2 5" xfId="4933" xr:uid="{00000000-0005-0000-0000-0000441C0000}"/>
    <cellStyle name="Normal 43 2 2 5 2" xfId="13974" xr:uid="{00000000-0005-0000-0000-0000451C0000}"/>
    <cellStyle name="Normal 43 2 2 6" xfId="9461" xr:uid="{00000000-0005-0000-0000-0000461C0000}"/>
    <cellStyle name="Normal 43 2 3" xfId="556" xr:uid="{00000000-0005-0000-0000-0000471C0000}"/>
    <cellStyle name="Normal 43 2 3 2" xfId="1120" xr:uid="{00000000-0005-0000-0000-0000481C0000}"/>
    <cellStyle name="Normal 43 2 3 2 2" xfId="2290" xr:uid="{00000000-0005-0000-0000-0000491C0000}"/>
    <cellStyle name="Normal 43 2 3 2 2 2" xfId="3251" xr:uid="{00000000-0005-0000-0000-00004A1C0000}"/>
    <cellStyle name="Normal 43 2 3 2 2 2 2" xfId="7766" xr:uid="{00000000-0005-0000-0000-00004B1C0000}"/>
    <cellStyle name="Normal 43 2 3 2 2 2 2 2" xfId="16807" xr:uid="{00000000-0005-0000-0000-00004C1C0000}"/>
    <cellStyle name="Normal 43 2 3 2 2 2 3" xfId="12294" xr:uid="{00000000-0005-0000-0000-00004D1C0000}"/>
    <cellStyle name="Normal 43 2 3 2 2 3" xfId="6813" xr:uid="{00000000-0005-0000-0000-00004E1C0000}"/>
    <cellStyle name="Normal 43 2 3 2 2 3 2" xfId="15854" xr:uid="{00000000-0005-0000-0000-00004F1C0000}"/>
    <cellStyle name="Normal 43 2 3 2 2 4" xfId="11341" xr:uid="{00000000-0005-0000-0000-0000501C0000}"/>
    <cellStyle name="Normal 43 2 3 2 3" xfId="3250" xr:uid="{00000000-0005-0000-0000-0000511C0000}"/>
    <cellStyle name="Normal 43 2 3 2 3 2" xfId="7765" xr:uid="{00000000-0005-0000-0000-0000521C0000}"/>
    <cellStyle name="Normal 43 2 3 2 3 2 2" xfId="16806" xr:uid="{00000000-0005-0000-0000-0000531C0000}"/>
    <cellStyle name="Normal 43 2 3 2 3 3" xfId="12293" xr:uid="{00000000-0005-0000-0000-0000541C0000}"/>
    <cellStyle name="Normal 43 2 3 2 4" xfId="5685" xr:uid="{00000000-0005-0000-0000-0000551C0000}"/>
    <cellStyle name="Normal 43 2 3 2 4 2" xfId="14726" xr:uid="{00000000-0005-0000-0000-0000561C0000}"/>
    <cellStyle name="Normal 43 2 3 2 5" xfId="10213" xr:uid="{00000000-0005-0000-0000-0000571C0000}"/>
    <cellStyle name="Normal 43 2 3 3" xfId="1726" xr:uid="{00000000-0005-0000-0000-0000581C0000}"/>
    <cellStyle name="Normal 43 2 3 3 2" xfId="3252" xr:uid="{00000000-0005-0000-0000-0000591C0000}"/>
    <cellStyle name="Normal 43 2 3 3 2 2" xfId="7767" xr:uid="{00000000-0005-0000-0000-00005A1C0000}"/>
    <cellStyle name="Normal 43 2 3 3 2 2 2" xfId="16808" xr:uid="{00000000-0005-0000-0000-00005B1C0000}"/>
    <cellStyle name="Normal 43 2 3 3 2 3" xfId="12295" xr:uid="{00000000-0005-0000-0000-00005C1C0000}"/>
    <cellStyle name="Normal 43 2 3 3 3" xfId="6249" xr:uid="{00000000-0005-0000-0000-00005D1C0000}"/>
    <cellStyle name="Normal 43 2 3 3 3 2" xfId="15290" xr:uid="{00000000-0005-0000-0000-00005E1C0000}"/>
    <cellStyle name="Normal 43 2 3 3 4" xfId="10777" xr:uid="{00000000-0005-0000-0000-00005F1C0000}"/>
    <cellStyle name="Normal 43 2 3 4" xfId="3249" xr:uid="{00000000-0005-0000-0000-0000601C0000}"/>
    <cellStyle name="Normal 43 2 3 4 2" xfId="7764" xr:uid="{00000000-0005-0000-0000-0000611C0000}"/>
    <cellStyle name="Normal 43 2 3 4 2 2" xfId="16805" xr:uid="{00000000-0005-0000-0000-0000621C0000}"/>
    <cellStyle name="Normal 43 2 3 4 3" xfId="12292" xr:uid="{00000000-0005-0000-0000-0000631C0000}"/>
    <cellStyle name="Normal 43 2 3 5" xfId="5121" xr:uid="{00000000-0005-0000-0000-0000641C0000}"/>
    <cellStyle name="Normal 43 2 3 5 2" xfId="14162" xr:uid="{00000000-0005-0000-0000-0000651C0000}"/>
    <cellStyle name="Normal 43 2 3 6" xfId="9649" xr:uid="{00000000-0005-0000-0000-0000661C0000}"/>
    <cellStyle name="Normal 43 2 4" xfId="744" xr:uid="{00000000-0005-0000-0000-0000671C0000}"/>
    <cellStyle name="Normal 43 2 4 2" xfId="1914" xr:uid="{00000000-0005-0000-0000-0000681C0000}"/>
    <cellStyle name="Normal 43 2 4 2 2" xfId="3254" xr:uid="{00000000-0005-0000-0000-0000691C0000}"/>
    <cellStyle name="Normal 43 2 4 2 2 2" xfId="7769" xr:uid="{00000000-0005-0000-0000-00006A1C0000}"/>
    <cellStyle name="Normal 43 2 4 2 2 2 2" xfId="16810" xr:uid="{00000000-0005-0000-0000-00006B1C0000}"/>
    <cellStyle name="Normal 43 2 4 2 2 3" xfId="12297" xr:uid="{00000000-0005-0000-0000-00006C1C0000}"/>
    <cellStyle name="Normal 43 2 4 2 3" xfId="6437" xr:uid="{00000000-0005-0000-0000-00006D1C0000}"/>
    <cellStyle name="Normal 43 2 4 2 3 2" xfId="15478" xr:uid="{00000000-0005-0000-0000-00006E1C0000}"/>
    <cellStyle name="Normal 43 2 4 2 4" xfId="10965" xr:uid="{00000000-0005-0000-0000-00006F1C0000}"/>
    <cellStyle name="Normal 43 2 4 3" xfId="3253" xr:uid="{00000000-0005-0000-0000-0000701C0000}"/>
    <cellStyle name="Normal 43 2 4 3 2" xfId="7768" xr:uid="{00000000-0005-0000-0000-0000711C0000}"/>
    <cellStyle name="Normal 43 2 4 3 2 2" xfId="16809" xr:uid="{00000000-0005-0000-0000-0000721C0000}"/>
    <cellStyle name="Normal 43 2 4 3 3" xfId="12296" xr:uid="{00000000-0005-0000-0000-0000731C0000}"/>
    <cellStyle name="Normal 43 2 4 4" xfId="5309" xr:uid="{00000000-0005-0000-0000-0000741C0000}"/>
    <cellStyle name="Normal 43 2 4 4 2" xfId="14350" xr:uid="{00000000-0005-0000-0000-0000751C0000}"/>
    <cellStyle name="Normal 43 2 4 5" xfId="9837" xr:uid="{00000000-0005-0000-0000-0000761C0000}"/>
    <cellStyle name="Normal 43 2 5" xfId="1350" xr:uid="{00000000-0005-0000-0000-0000771C0000}"/>
    <cellStyle name="Normal 43 2 5 2" xfId="3255" xr:uid="{00000000-0005-0000-0000-0000781C0000}"/>
    <cellStyle name="Normal 43 2 5 2 2" xfId="7770" xr:uid="{00000000-0005-0000-0000-0000791C0000}"/>
    <cellStyle name="Normal 43 2 5 2 2 2" xfId="16811" xr:uid="{00000000-0005-0000-0000-00007A1C0000}"/>
    <cellStyle name="Normal 43 2 5 2 3" xfId="12298" xr:uid="{00000000-0005-0000-0000-00007B1C0000}"/>
    <cellStyle name="Normal 43 2 5 3" xfId="5873" xr:uid="{00000000-0005-0000-0000-00007C1C0000}"/>
    <cellStyle name="Normal 43 2 5 3 2" xfId="14914" xr:uid="{00000000-0005-0000-0000-00007D1C0000}"/>
    <cellStyle name="Normal 43 2 5 4" xfId="10401" xr:uid="{00000000-0005-0000-0000-00007E1C0000}"/>
    <cellStyle name="Normal 43 2 6" xfId="3244" xr:uid="{00000000-0005-0000-0000-00007F1C0000}"/>
    <cellStyle name="Normal 43 2 6 2" xfId="7759" xr:uid="{00000000-0005-0000-0000-0000801C0000}"/>
    <cellStyle name="Normal 43 2 6 2 2" xfId="16800" xr:uid="{00000000-0005-0000-0000-0000811C0000}"/>
    <cellStyle name="Normal 43 2 6 3" xfId="12287" xr:uid="{00000000-0005-0000-0000-0000821C0000}"/>
    <cellStyle name="Normal 43 2 7" xfId="4745" xr:uid="{00000000-0005-0000-0000-0000831C0000}"/>
    <cellStyle name="Normal 43 2 7 2" xfId="13786" xr:uid="{00000000-0005-0000-0000-0000841C0000}"/>
    <cellStyle name="Normal 43 2 8" xfId="9273" xr:uid="{00000000-0005-0000-0000-0000851C0000}"/>
    <cellStyle name="Normal 43 3" xfId="274" xr:uid="{00000000-0005-0000-0000-0000861C0000}"/>
    <cellStyle name="Normal 43 3 2" xfId="838" xr:uid="{00000000-0005-0000-0000-0000871C0000}"/>
    <cellStyle name="Normal 43 3 2 2" xfId="2008" xr:uid="{00000000-0005-0000-0000-0000881C0000}"/>
    <cellStyle name="Normal 43 3 2 2 2" xfId="3258" xr:uid="{00000000-0005-0000-0000-0000891C0000}"/>
    <cellStyle name="Normal 43 3 2 2 2 2" xfId="7773" xr:uid="{00000000-0005-0000-0000-00008A1C0000}"/>
    <cellStyle name="Normal 43 3 2 2 2 2 2" xfId="16814" xr:uid="{00000000-0005-0000-0000-00008B1C0000}"/>
    <cellStyle name="Normal 43 3 2 2 2 3" xfId="12301" xr:uid="{00000000-0005-0000-0000-00008C1C0000}"/>
    <cellStyle name="Normal 43 3 2 2 3" xfId="6531" xr:uid="{00000000-0005-0000-0000-00008D1C0000}"/>
    <cellStyle name="Normal 43 3 2 2 3 2" xfId="15572" xr:uid="{00000000-0005-0000-0000-00008E1C0000}"/>
    <cellStyle name="Normal 43 3 2 2 4" xfId="11059" xr:uid="{00000000-0005-0000-0000-00008F1C0000}"/>
    <cellStyle name="Normal 43 3 2 3" xfId="3257" xr:uid="{00000000-0005-0000-0000-0000901C0000}"/>
    <cellStyle name="Normal 43 3 2 3 2" xfId="7772" xr:uid="{00000000-0005-0000-0000-0000911C0000}"/>
    <cellStyle name="Normal 43 3 2 3 2 2" xfId="16813" xr:uid="{00000000-0005-0000-0000-0000921C0000}"/>
    <cellStyle name="Normal 43 3 2 3 3" xfId="12300" xr:uid="{00000000-0005-0000-0000-0000931C0000}"/>
    <cellStyle name="Normal 43 3 2 4" xfId="5403" xr:uid="{00000000-0005-0000-0000-0000941C0000}"/>
    <cellStyle name="Normal 43 3 2 4 2" xfId="14444" xr:uid="{00000000-0005-0000-0000-0000951C0000}"/>
    <cellStyle name="Normal 43 3 2 5" xfId="9931" xr:uid="{00000000-0005-0000-0000-0000961C0000}"/>
    <cellStyle name="Normal 43 3 3" xfId="1444" xr:uid="{00000000-0005-0000-0000-0000971C0000}"/>
    <cellStyle name="Normal 43 3 3 2" xfId="3259" xr:uid="{00000000-0005-0000-0000-0000981C0000}"/>
    <cellStyle name="Normal 43 3 3 2 2" xfId="7774" xr:uid="{00000000-0005-0000-0000-0000991C0000}"/>
    <cellStyle name="Normal 43 3 3 2 2 2" xfId="16815" xr:uid="{00000000-0005-0000-0000-00009A1C0000}"/>
    <cellStyle name="Normal 43 3 3 2 3" xfId="12302" xr:uid="{00000000-0005-0000-0000-00009B1C0000}"/>
    <cellStyle name="Normal 43 3 3 3" xfId="5967" xr:uid="{00000000-0005-0000-0000-00009C1C0000}"/>
    <cellStyle name="Normal 43 3 3 3 2" xfId="15008" xr:uid="{00000000-0005-0000-0000-00009D1C0000}"/>
    <cellStyle name="Normal 43 3 3 4" xfId="10495" xr:uid="{00000000-0005-0000-0000-00009E1C0000}"/>
    <cellStyle name="Normal 43 3 4" xfId="3256" xr:uid="{00000000-0005-0000-0000-00009F1C0000}"/>
    <cellStyle name="Normal 43 3 4 2" xfId="7771" xr:uid="{00000000-0005-0000-0000-0000A01C0000}"/>
    <cellStyle name="Normal 43 3 4 2 2" xfId="16812" xr:uid="{00000000-0005-0000-0000-0000A11C0000}"/>
    <cellStyle name="Normal 43 3 4 3" xfId="12299" xr:uid="{00000000-0005-0000-0000-0000A21C0000}"/>
    <cellStyle name="Normal 43 3 5" xfId="4839" xr:uid="{00000000-0005-0000-0000-0000A31C0000}"/>
    <cellStyle name="Normal 43 3 5 2" xfId="13880" xr:uid="{00000000-0005-0000-0000-0000A41C0000}"/>
    <cellStyle name="Normal 43 3 6" xfId="9367" xr:uid="{00000000-0005-0000-0000-0000A51C0000}"/>
    <cellStyle name="Normal 43 4" xfId="462" xr:uid="{00000000-0005-0000-0000-0000A61C0000}"/>
    <cellStyle name="Normal 43 4 2" xfId="1026" xr:uid="{00000000-0005-0000-0000-0000A71C0000}"/>
    <cellStyle name="Normal 43 4 2 2" xfId="2196" xr:uid="{00000000-0005-0000-0000-0000A81C0000}"/>
    <cellStyle name="Normal 43 4 2 2 2" xfId="3262" xr:uid="{00000000-0005-0000-0000-0000A91C0000}"/>
    <cellStyle name="Normal 43 4 2 2 2 2" xfId="7777" xr:uid="{00000000-0005-0000-0000-0000AA1C0000}"/>
    <cellStyle name="Normal 43 4 2 2 2 2 2" xfId="16818" xr:uid="{00000000-0005-0000-0000-0000AB1C0000}"/>
    <cellStyle name="Normal 43 4 2 2 2 3" xfId="12305" xr:uid="{00000000-0005-0000-0000-0000AC1C0000}"/>
    <cellStyle name="Normal 43 4 2 2 3" xfId="6719" xr:uid="{00000000-0005-0000-0000-0000AD1C0000}"/>
    <cellStyle name="Normal 43 4 2 2 3 2" xfId="15760" xr:uid="{00000000-0005-0000-0000-0000AE1C0000}"/>
    <cellStyle name="Normal 43 4 2 2 4" xfId="11247" xr:uid="{00000000-0005-0000-0000-0000AF1C0000}"/>
    <cellStyle name="Normal 43 4 2 3" xfId="3261" xr:uid="{00000000-0005-0000-0000-0000B01C0000}"/>
    <cellStyle name="Normal 43 4 2 3 2" xfId="7776" xr:uid="{00000000-0005-0000-0000-0000B11C0000}"/>
    <cellStyle name="Normal 43 4 2 3 2 2" xfId="16817" xr:uid="{00000000-0005-0000-0000-0000B21C0000}"/>
    <cellStyle name="Normal 43 4 2 3 3" xfId="12304" xr:uid="{00000000-0005-0000-0000-0000B31C0000}"/>
    <cellStyle name="Normal 43 4 2 4" xfId="5591" xr:uid="{00000000-0005-0000-0000-0000B41C0000}"/>
    <cellStyle name="Normal 43 4 2 4 2" xfId="14632" xr:uid="{00000000-0005-0000-0000-0000B51C0000}"/>
    <cellStyle name="Normal 43 4 2 5" xfId="10119" xr:uid="{00000000-0005-0000-0000-0000B61C0000}"/>
    <cellStyle name="Normal 43 4 3" xfId="1632" xr:uid="{00000000-0005-0000-0000-0000B71C0000}"/>
    <cellStyle name="Normal 43 4 3 2" xfId="3263" xr:uid="{00000000-0005-0000-0000-0000B81C0000}"/>
    <cellStyle name="Normal 43 4 3 2 2" xfId="7778" xr:uid="{00000000-0005-0000-0000-0000B91C0000}"/>
    <cellStyle name="Normal 43 4 3 2 2 2" xfId="16819" xr:uid="{00000000-0005-0000-0000-0000BA1C0000}"/>
    <cellStyle name="Normal 43 4 3 2 3" xfId="12306" xr:uid="{00000000-0005-0000-0000-0000BB1C0000}"/>
    <cellStyle name="Normal 43 4 3 3" xfId="6155" xr:uid="{00000000-0005-0000-0000-0000BC1C0000}"/>
    <cellStyle name="Normal 43 4 3 3 2" xfId="15196" xr:uid="{00000000-0005-0000-0000-0000BD1C0000}"/>
    <cellStyle name="Normal 43 4 3 4" xfId="10683" xr:uid="{00000000-0005-0000-0000-0000BE1C0000}"/>
    <cellStyle name="Normal 43 4 4" xfId="3260" xr:uid="{00000000-0005-0000-0000-0000BF1C0000}"/>
    <cellStyle name="Normal 43 4 4 2" xfId="7775" xr:uid="{00000000-0005-0000-0000-0000C01C0000}"/>
    <cellStyle name="Normal 43 4 4 2 2" xfId="16816" xr:uid="{00000000-0005-0000-0000-0000C11C0000}"/>
    <cellStyle name="Normal 43 4 4 3" xfId="12303" xr:uid="{00000000-0005-0000-0000-0000C21C0000}"/>
    <cellStyle name="Normal 43 4 5" xfId="5027" xr:uid="{00000000-0005-0000-0000-0000C31C0000}"/>
    <cellStyle name="Normal 43 4 5 2" xfId="14068" xr:uid="{00000000-0005-0000-0000-0000C41C0000}"/>
    <cellStyle name="Normal 43 4 6" xfId="9555" xr:uid="{00000000-0005-0000-0000-0000C51C0000}"/>
    <cellStyle name="Normal 43 5" xfId="650" xr:uid="{00000000-0005-0000-0000-0000C61C0000}"/>
    <cellStyle name="Normal 43 5 2" xfId="1820" xr:uid="{00000000-0005-0000-0000-0000C71C0000}"/>
    <cellStyle name="Normal 43 5 2 2" xfId="3265" xr:uid="{00000000-0005-0000-0000-0000C81C0000}"/>
    <cellStyle name="Normal 43 5 2 2 2" xfId="7780" xr:uid="{00000000-0005-0000-0000-0000C91C0000}"/>
    <cellStyle name="Normal 43 5 2 2 2 2" xfId="16821" xr:uid="{00000000-0005-0000-0000-0000CA1C0000}"/>
    <cellStyle name="Normal 43 5 2 2 3" xfId="12308" xr:uid="{00000000-0005-0000-0000-0000CB1C0000}"/>
    <cellStyle name="Normal 43 5 2 3" xfId="6343" xr:uid="{00000000-0005-0000-0000-0000CC1C0000}"/>
    <cellStyle name="Normal 43 5 2 3 2" xfId="15384" xr:uid="{00000000-0005-0000-0000-0000CD1C0000}"/>
    <cellStyle name="Normal 43 5 2 4" xfId="10871" xr:uid="{00000000-0005-0000-0000-0000CE1C0000}"/>
    <cellStyle name="Normal 43 5 3" xfId="3264" xr:uid="{00000000-0005-0000-0000-0000CF1C0000}"/>
    <cellStyle name="Normal 43 5 3 2" xfId="7779" xr:uid="{00000000-0005-0000-0000-0000D01C0000}"/>
    <cellStyle name="Normal 43 5 3 2 2" xfId="16820" xr:uid="{00000000-0005-0000-0000-0000D11C0000}"/>
    <cellStyle name="Normal 43 5 3 3" xfId="12307" xr:uid="{00000000-0005-0000-0000-0000D21C0000}"/>
    <cellStyle name="Normal 43 5 4" xfId="5215" xr:uid="{00000000-0005-0000-0000-0000D31C0000}"/>
    <cellStyle name="Normal 43 5 4 2" xfId="14256" xr:uid="{00000000-0005-0000-0000-0000D41C0000}"/>
    <cellStyle name="Normal 43 5 5" xfId="9743" xr:uid="{00000000-0005-0000-0000-0000D51C0000}"/>
    <cellStyle name="Normal 43 6" xfId="1256" xr:uid="{00000000-0005-0000-0000-0000D61C0000}"/>
    <cellStyle name="Normal 43 6 2" xfId="3266" xr:uid="{00000000-0005-0000-0000-0000D71C0000}"/>
    <cellStyle name="Normal 43 6 2 2" xfId="7781" xr:uid="{00000000-0005-0000-0000-0000D81C0000}"/>
    <cellStyle name="Normal 43 6 2 2 2" xfId="16822" xr:uid="{00000000-0005-0000-0000-0000D91C0000}"/>
    <cellStyle name="Normal 43 6 2 3" xfId="12309" xr:uid="{00000000-0005-0000-0000-0000DA1C0000}"/>
    <cellStyle name="Normal 43 6 3" xfId="5779" xr:uid="{00000000-0005-0000-0000-0000DB1C0000}"/>
    <cellStyle name="Normal 43 6 3 2" xfId="14820" xr:uid="{00000000-0005-0000-0000-0000DC1C0000}"/>
    <cellStyle name="Normal 43 6 4" xfId="10307" xr:uid="{00000000-0005-0000-0000-0000DD1C0000}"/>
    <cellStyle name="Normal 43 7" xfId="3243" xr:uid="{00000000-0005-0000-0000-0000DE1C0000}"/>
    <cellStyle name="Normal 43 7 2" xfId="7758" xr:uid="{00000000-0005-0000-0000-0000DF1C0000}"/>
    <cellStyle name="Normal 43 7 2 2" xfId="16799" xr:uid="{00000000-0005-0000-0000-0000E01C0000}"/>
    <cellStyle name="Normal 43 7 3" xfId="12286" xr:uid="{00000000-0005-0000-0000-0000E11C0000}"/>
    <cellStyle name="Normal 43 8" xfId="4651" xr:uid="{00000000-0005-0000-0000-0000E21C0000}"/>
    <cellStyle name="Normal 43 8 2" xfId="13692" xr:uid="{00000000-0005-0000-0000-0000E31C0000}"/>
    <cellStyle name="Normal 43 9" xfId="9179" xr:uid="{00000000-0005-0000-0000-0000E41C0000}"/>
    <cellStyle name="Normal 44" xfId="44" xr:uid="{00000000-0005-0000-0000-0000E51C0000}"/>
    <cellStyle name="Normal 44 2" xfId="140" xr:uid="{00000000-0005-0000-0000-0000E61C0000}"/>
    <cellStyle name="Normal 44 2 2" xfId="369" xr:uid="{00000000-0005-0000-0000-0000E71C0000}"/>
    <cellStyle name="Normal 44 2 2 2" xfId="933" xr:uid="{00000000-0005-0000-0000-0000E81C0000}"/>
    <cellStyle name="Normal 44 2 2 2 2" xfId="2103" xr:uid="{00000000-0005-0000-0000-0000E91C0000}"/>
    <cellStyle name="Normal 44 2 2 2 2 2" xfId="3271" xr:uid="{00000000-0005-0000-0000-0000EA1C0000}"/>
    <cellStyle name="Normal 44 2 2 2 2 2 2" xfId="7786" xr:uid="{00000000-0005-0000-0000-0000EB1C0000}"/>
    <cellStyle name="Normal 44 2 2 2 2 2 2 2" xfId="16827" xr:uid="{00000000-0005-0000-0000-0000EC1C0000}"/>
    <cellStyle name="Normal 44 2 2 2 2 2 3" xfId="12314" xr:uid="{00000000-0005-0000-0000-0000ED1C0000}"/>
    <cellStyle name="Normal 44 2 2 2 2 3" xfId="6626" xr:uid="{00000000-0005-0000-0000-0000EE1C0000}"/>
    <cellStyle name="Normal 44 2 2 2 2 3 2" xfId="15667" xr:uid="{00000000-0005-0000-0000-0000EF1C0000}"/>
    <cellStyle name="Normal 44 2 2 2 2 4" xfId="11154" xr:uid="{00000000-0005-0000-0000-0000F01C0000}"/>
    <cellStyle name="Normal 44 2 2 2 3" xfId="3270" xr:uid="{00000000-0005-0000-0000-0000F11C0000}"/>
    <cellStyle name="Normal 44 2 2 2 3 2" xfId="7785" xr:uid="{00000000-0005-0000-0000-0000F21C0000}"/>
    <cellStyle name="Normal 44 2 2 2 3 2 2" xfId="16826" xr:uid="{00000000-0005-0000-0000-0000F31C0000}"/>
    <cellStyle name="Normal 44 2 2 2 3 3" xfId="12313" xr:uid="{00000000-0005-0000-0000-0000F41C0000}"/>
    <cellStyle name="Normal 44 2 2 2 4" xfId="5498" xr:uid="{00000000-0005-0000-0000-0000F51C0000}"/>
    <cellStyle name="Normal 44 2 2 2 4 2" xfId="14539" xr:uid="{00000000-0005-0000-0000-0000F61C0000}"/>
    <cellStyle name="Normal 44 2 2 2 5" xfId="10026" xr:uid="{00000000-0005-0000-0000-0000F71C0000}"/>
    <cellStyle name="Normal 44 2 2 3" xfId="1539" xr:uid="{00000000-0005-0000-0000-0000F81C0000}"/>
    <cellStyle name="Normal 44 2 2 3 2" xfId="3272" xr:uid="{00000000-0005-0000-0000-0000F91C0000}"/>
    <cellStyle name="Normal 44 2 2 3 2 2" xfId="7787" xr:uid="{00000000-0005-0000-0000-0000FA1C0000}"/>
    <cellStyle name="Normal 44 2 2 3 2 2 2" xfId="16828" xr:uid="{00000000-0005-0000-0000-0000FB1C0000}"/>
    <cellStyle name="Normal 44 2 2 3 2 3" xfId="12315" xr:uid="{00000000-0005-0000-0000-0000FC1C0000}"/>
    <cellStyle name="Normal 44 2 2 3 3" xfId="6062" xr:uid="{00000000-0005-0000-0000-0000FD1C0000}"/>
    <cellStyle name="Normal 44 2 2 3 3 2" xfId="15103" xr:uid="{00000000-0005-0000-0000-0000FE1C0000}"/>
    <cellStyle name="Normal 44 2 2 3 4" xfId="10590" xr:uid="{00000000-0005-0000-0000-0000FF1C0000}"/>
    <cellStyle name="Normal 44 2 2 4" xfId="3269" xr:uid="{00000000-0005-0000-0000-0000001D0000}"/>
    <cellStyle name="Normal 44 2 2 4 2" xfId="7784" xr:uid="{00000000-0005-0000-0000-0000011D0000}"/>
    <cellStyle name="Normal 44 2 2 4 2 2" xfId="16825" xr:uid="{00000000-0005-0000-0000-0000021D0000}"/>
    <cellStyle name="Normal 44 2 2 4 3" xfId="12312" xr:uid="{00000000-0005-0000-0000-0000031D0000}"/>
    <cellStyle name="Normal 44 2 2 5" xfId="4934" xr:uid="{00000000-0005-0000-0000-0000041D0000}"/>
    <cellStyle name="Normal 44 2 2 5 2" xfId="13975" xr:uid="{00000000-0005-0000-0000-0000051D0000}"/>
    <cellStyle name="Normal 44 2 2 6" xfId="9462" xr:uid="{00000000-0005-0000-0000-0000061D0000}"/>
    <cellStyle name="Normal 44 2 3" xfId="557" xr:uid="{00000000-0005-0000-0000-0000071D0000}"/>
    <cellStyle name="Normal 44 2 3 2" xfId="1121" xr:uid="{00000000-0005-0000-0000-0000081D0000}"/>
    <cellStyle name="Normal 44 2 3 2 2" xfId="2291" xr:uid="{00000000-0005-0000-0000-0000091D0000}"/>
    <cellStyle name="Normal 44 2 3 2 2 2" xfId="3275" xr:uid="{00000000-0005-0000-0000-00000A1D0000}"/>
    <cellStyle name="Normal 44 2 3 2 2 2 2" xfId="7790" xr:uid="{00000000-0005-0000-0000-00000B1D0000}"/>
    <cellStyle name="Normal 44 2 3 2 2 2 2 2" xfId="16831" xr:uid="{00000000-0005-0000-0000-00000C1D0000}"/>
    <cellStyle name="Normal 44 2 3 2 2 2 3" xfId="12318" xr:uid="{00000000-0005-0000-0000-00000D1D0000}"/>
    <cellStyle name="Normal 44 2 3 2 2 3" xfId="6814" xr:uid="{00000000-0005-0000-0000-00000E1D0000}"/>
    <cellStyle name="Normal 44 2 3 2 2 3 2" xfId="15855" xr:uid="{00000000-0005-0000-0000-00000F1D0000}"/>
    <cellStyle name="Normal 44 2 3 2 2 4" xfId="11342" xr:uid="{00000000-0005-0000-0000-0000101D0000}"/>
    <cellStyle name="Normal 44 2 3 2 3" xfId="3274" xr:uid="{00000000-0005-0000-0000-0000111D0000}"/>
    <cellStyle name="Normal 44 2 3 2 3 2" xfId="7789" xr:uid="{00000000-0005-0000-0000-0000121D0000}"/>
    <cellStyle name="Normal 44 2 3 2 3 2 2" xfId="16830" xr:uid="{00000000-0005-0000-0000-0000131D0000}"/>
    <cellStyle name="Normal 44 2 3 2 3 3" xfId="12317" xr:uid="{00000000-0005-0000-0000-0000141D0000}"/>
    <cellStyle name="Normal 44 2 3 2 4" xfId="5686" xr:uid="{00000000-0005-0000-0000-0000151D0000}"/>
    <cellStyle name="Normal 44 2 3 2 4 2" xfId="14727" xr:uid="{00000000-0005-0000-0000-0000161D0000}"/>
    <cellStyle name="Normal 44 2 3 2 5" xfId="10214" xr:uid="{00000000-0005-0000-0000-0000171D0000}"/>
    <cellStyle name="Normal 44 2 3 3" xfId="1727" xr:uid="{00000000-0005-0000-0000-0000181D0000}"/>
    <cellStyle name="Normal 44 2 3 3 2" xfId="3276" xr:uid="{00000000-0005-0000-0000-0000191D0000}"/>
    <cellStyle name="Normal 44 2 3 3 2 2" xfId="7791" xr:uid="{00000000-0005-0000-0000-00001A1D0000}"/>
    <cellStyle name="Normal 44 2 3 3 2 2 2" xfId="16832" xr:uid="{00000000-0005-0000-0000-00001B1D0000}"/>
    <cellStyle name="Normal 44 2 3 3 2 3" xfId="12319" xr:uid="{00000000-0005-0000-0000-00001C1D0000}"/>
    <cellStyle name="Normal 44 2 3 3 3" xfId="6250" xr:uid="{00000000-0005-0000-0000-00001D1D0000}"/>
    <cellStyle name="Normal 44 2 3 3 3 2" xfId="15291" xr:uid="{00000000-0005-0000-0000-00001E1D0000}"/>
    <cellStyle name="Normal 44 2 3 3 4" xfId="10778" xr:uid="{00000000-0005-0000-0000-00001F1D0000}"/>
    <cellStyle name="Normal 44 2 3 4" xfId="3273" xr:uid="{00000000-0005-0000-0000-0000201D0000}"/>
    <cellStyle name="Normal 44 2 3 4 2" xfId="7788" xr:uid="{00000000-0005-0000-0000-0000211D0000}"/>
    <cellStyle name="Normal 44 2 3 4 2 2" xfId="16829" xr:uid="{00000000-0005-0000-0000-0000221D0000}"/>
    <cellStyle name="Normal 44 2 3 4 3" xfId="12316" xr:uid="{00000000-0005-0000-0000-0000231D0000}"/>
    <cellStyle name="Normal 44 2 3 5" xfId="5122" xr:uid="{00000000-0005-0000-0000-0000241D0000}"/>
    <cellStyle name="Normal 44 2 3 5 2" xfId="14163" xr:uid="{00000000-0005-0000-0000-0000251D0000}"/>
    <cellStyle name="Normal 44 2 3 6" xfId="9650" xr:uid="{00000000-0005-0000-0000-0000261D0000}"/>
    <cellStyle name="Normal 44 2 4" xfId="745" xr:uid="{00000000-0005-0000-0000-0000271D0000}"/>
    <cellStyle name="Normal 44 2 4 2" xfId="1915" xr:uid="{00000000-0005-0000-0000-0000281D0000}"/>
    <cellStyle name="Normal 44 2 4 2 2" xfId="3278" xr:uid="{00000000-0005-0000-0000-0000291D0000}"/>
    <cellStyle name="Normal 44 2 4 2 2 2" xfId="7793" xr:uid="{00000000-0005-0000-0000-00002A1D0000}"/>
    <cellStyle name="Normal 44 2 4 2 2 2 2" xfId="16834" xr:uid="{00000000-0005-0000-0000-00002B1D0000}"/>
    <cellStyle name="Normal 44 2 4 2 2 3" xfId="12321" xr:uid="{00000000-0005-0000-0000-00002C1D0000}"/>
    <cellStyle name="Normal 44 2 4 2 3" xfId="6438" xr:uid="{00000000-0005-0000-0000-00002D1D0000}"/>
    <cellStyle name="Normal 44 2 4 2 3 2" xfId="15479" xr:uid="{00000000-0005-0000-0000-00002E1D0000}"/>
    <cellStyle name="Normal 44 2 4 2 4" xfId="10966" xr:uid="{00000000-0005-0000-0000-00002F1D0000}"/>
    <cellStyle name="Normal 44 2 4 3" xfId="3277" xr:uid="{00000000-0005-0000-0000-0000301D0000}"/>
    <cellStyle name="Normal 44 2 4 3 2" xfId="7792" xr:uid="{00000000-0005-0000-0000-0000311D0000}"/>
    <cellStyle name="Normal 44 2 4 3 2 2" xfId="16833" xr:uid="{00000000-0005-0000-0000-0000321D0000}"/>
    <cellStyle name="Normal 44 2 4 3 3" xfId="12320" xr:uid="{00000000-0005-0000-0000-0000331D0000}"/>
    <cellStyle name="Normal 44 2 4 4" xfId="5310" xr:uid="{00000000-0005-0000-0000-0000341D0000}"/>
    <cellStyle name="Normal 44 2 4 4 2" xfId="14351" xr:uid="{00000000-0005-0000-0000-0000351D0000}"/>
    <cellStyle name="Normal 44 2 4 5" xfId="9838" xr:uid="{00000000-0005-0000-0000-0000361D0000}"/>
    <cellStyle name="Normal 44 2 5" xfId="1351" xr:uid="{00000000-0005-0000-0000-0000371D0000}"/>
    <cellStyle name="Normal 44 2 5 2" xfId="3279" xr:uid="{00000000-0005-0000-0000-0000381D0000}"/>
    <cellStyle name="Normal 44 2 5 2 2" xfId="7794" xr:uid="{00000000-0005-0000-0000-0000391D0000}"/>
    <cellStyle name="Normal 44 2 5 2 2 2" xfId="16835" xr:uid="{00000000-0005-0000-0000-00003A1D0000}"/>
    <cellStyle name="Normal 44 2 5 2 3" xfId="12322" xr:uid="{00000000-0005-0000-0000-00003B1D0000}"/>
    <cellStyle name="Normal 44 2 5 3" xfId="5874" xr:uid="{00000000-0005-0000-0000-00003C1D0000}"/>
    <cellStyle name="Normal 44 2 5 3 2" xfId="14915" xr:uid="{00000000-0005-0000-0000-00003D1D0000}"/>
    <cellStyle name="Normal 44 2 5 4" xfId="10402" xr:uid="{00000000-0005-0000-0000-00003E1D0000}"/>
    <cellStyle name="Normal 44 2 6" xfId="3268" xr:uid="{00000000-0005-0000-0000-00003F1D0000}"/>
    <cellStyle name="Normal 44 2 6 2" xfId="7783" xr:uid="{00000000-0005-0000-0000-0000401D0000}"/>
    <cellStyle name="Normal 44 2 6 2 2" xfId="16824" xr:uid="{00000000-0005-0000-0000-0000411D0000}"/>
    <cellStyle name="Normal 44 2 6 3" xfId="12311" xr:uid="{00000000-0005-0000-0000-0000421D0000}"/>
    <cellStyle name="Normal 44 2 7" xfId="4746" xr:uid="{00000000-0005-0000-0000-0000431D0000}"/>
    <cellStyle name="Normal 44 2 7 2" xfId="13787" xr:uid="{00000000-0005-0000-0000-0000441D0000}"/>
    <cellStyle name="Normal 44 2 8" xfId="9274" xr:uid="{00000000-0005-0000-0000-0000451D0000}"/>
    <cellStyle name="Normal 44 3" xfId="275" xr:uid="{00000000-0005-0000-0000-0000461D0000}"/>
    <cellStyle name="Normal 44 3 2" xfId="839" xr:uid="{00000000-0005-0000-0000-0000471D0000}"/>
    <cellStyle name="Normal 44 3 2 2" xfId="2009" xr:uid="{00000000-0005-0000-0000-0000481D0000}"/>
    <cellStyle name="Normal 44 3 2 2 2" xfId="3282" xr:uid="{00000000-0005-0000-0000-0000491D0000}"/>
    <cellStyle name="Normal 44 3 2 2 2 2" xfId="7797" xr:uid="{00000000-0005-0000-0000-00004A1D0000}"/>
    <cellStyle name="Normal 44 3 2 2 2 2 2" xfId="16838" xr:uid="{00000000-0005-0000-0000-00004B1D0000}"/>
    <cellStyle name="Normal 44 3 2 2 2 3" xfId="12325" xr:uid="{00000000-0005-0000-0000-00004C1D0000}"/>
    <cellStyle name="Normal 44 3 2 2 3" xfId="6532" xr:uid="{00000000-0005-0000-0000-00004D1D0000}"/>
    <cellStyle name="Normal 44 3 2 2 3 2" xfId="15573" xr:uid="{00000000-0005-0000-0000-00004E1D0000}"/>
    <cellStyle name="Normal 44 3 2 2 4" xfId="11060" xr:uid="{00000000-0005-0000-0000-00004F1D0000}"/>
    <cellStyle name="Normal 44 3 2 3" xfId="3281" xr:uid="{00000000-0005-0000-0000-0000501D0000}"/>
    <cellStyle name="Normal 44 3 2 3 2" xfId="7796" xr:uid="{00000000-0005-0000-0000-0000511D0000}"/>
    <cellStyle name="Normal 44 3 2 3 2 2" xfId="16837" xr:uid="{00000000-0005-0000-0000-0000521D0000}"/>
    <cellStyle name="Normal 44 3 2 3 3" xfId="12324" xr:uid="{00000000-0005-0000-0000-0000531D0000}"/>
    <cellStyle name="Normal 44 3 2 4" xfId="5404" xr:uid="{00000000-0005-0000-0000-0000541D0000}"/>
    <cellStyle name="Normal 44 3 2 4 2" xfId="14445" xr:uid="{00000000-0005-0000-0000-0000551D0000}"/>
    <cellStyle name="Normal 44 3 2 5" xfId="9932" xr:uid="{00000000-0005-0000-0000-0000561D0000}"/>
    <cellStyle name="Normal 44 3 3" xfId="1445" xr:uid="{00000000-0005-0000-0000-0000571D0000}"/>
    <cellStyle name="Normal 44 3 3 2" xfId="3283" xr:uid="{00000000-0005-0000-0000-0000581D0000}"/>
    <cellStyle name="Normal 44 3 3 2 2" xfId="7798" xr:uid="{00000000-0005-0000-0000-0000591D0000}"/>
    <cellStyle name="Normal 44 3 3 2 2 2" xfId="16839" xr:uid="{00000000-0005-0000-0000-00005A1D0000}"/>
    <cellStyle name="Normal 44 3 3 2 3" xfId="12326" xr:uid="{00000000-0005-0000-0000-00005B1D0000}"/>
    <cellStyle name="Normal 44 3 3 3" xfId="5968" xr:uid="{00000000-0005-0000-0000-00005C1D0000}"/>
    <cellStyle name="Normal 44 3 3 3 2" xfId="15009" xr:uid="{00000000-0005-0000-0000-00005D1D0000}"/>
    <cellStyle name="Normal 44 3 3 4" xfId="10496" xr:uid="{00000000-0005-0000-0000-00005E1D0000}"/>
    <cellStyle name="Normal 44 3 4" xfId="3280" xr:uid="{00000000-0005-0000-0000-00005F1D0000}"/>
    <cellStyle name="Normal 44 3 4 2" xfId="7795" xr:uid="{00000000-0005-0000-0000-0000601D0000}"/>
    <cellStyle name="Normal 44 3 4 2 2" xfId="16836" xr:uid="{00000000-0005-0000-0000-0000611D0000}"/>
    <cellStyle name="Normal 44 3 4 3" xfId="12323" xr:uid="{00000000-0005-0000-0000-0000621D0000}"/>
    <cellStyle name="Normal 44 3 5" xfId="4840" xr:uid="{00000000-0005-0000-0000-0000631D0000}"/>
    <cellStyle name="Normal 44 3 5 2" xfId="13881" xr:uid="{00000000-0005-0000-0000-0000641D0000}"/>
    <cellStyle name="Normal 44 3 6" xfId="9368" xr:uid="{00000000-0005-0000-0000-0000651D0000}"/>
    <cellStyle name="Normal 44 4" xfId="463" xr:uid="{00000000-0005-0000-0000-0000661D0000}"/>
    <cellStyle name="Normal 44 4 2" xfId="1027" xr:uid="{00000000-0005-0000-0000-0000671D0000}"/>
    <cellStyle name="Normal 44 4 2 2" xfId="2197" xr:uid="{00000000-0005-0000-0000-0000681D0000}"/>
    <cellStyle name="Normal 44 4 2 2 2" xfId="3286" xr:uid="{00000000-0005-0000-0000-0000691D0000}"/>
    <cellStyle name="Normal 44 4 2 2 2 2" xfId="7801" xr:uid="{00000000-0005-0000-0000-00006A1D0000}"/>
    <cellStyle name="Normal 44 4 2 2 2 2 2" xfId="16842" xr:uid="{00000000-0005-0000-0000-00006B1D0000}"/>
    <cellStyle name="Normal 44 4 2 2 2 3" xfId="12329" xr:uid="{00000000-0005-0000-0000-00006C1D0000}"/>
    <cellStyle name="Normal 44 4 2 2 3" xfId="6720" xr:uid="{00000000-0005-0000-0000-00006D1D0000}"/>
    <cellStyle name="Normal 44 4 2 2 3 2" xfId="15761" xr:uid="{00000000-0005-0000-0000-00006E1D0000}"/>
    <cellStyle name="Normal 44 4 2 2 4" xfId="11248" xr:uid="{00000000-0005-0000-0000-00006F1D0000}"/>
    <cellStyle name="Normal 44 4 2 3" xfId="3285" xr:uid="{00000000-0005-0000-0000-0000701D0000}"/>
    <cellStyle name="Normal 44 4 2 3 2" xfId="7800" xr:uid="{00000000-0005-0000-0000-0000711D0000}"/>
    <cellStyle name="Normal 44 4 2 3 2 2" xfId="16841" xr:uid="{00000000-0005-0000-0000-0000721D0000}"/>
    <cellStyle name="Normal 44 4 2 3 3" xfId="12328" xr:uid="{00000000-0005-0000-0000-0000731D0000}"/>
    <cellStyle name="Normal 44 4 2 4" xfId="5592" xr:uid="{00000000-0005-0000-0000-0000741D0000}"/>
    <cellStyle name="Normal 44 4 2 4 2" xfId="14633" xr:uid="{00000000-0005-0000-0000-0000751D0000}"/>
    <cellStyle name="Normal 44 4 2 5" xfId="10120" xr:uid="{00000000-0005-0000-0000-0000761D0000}"/>
    <cellStyle name="Normal 44 4 3" xfId="1633" xr:uid="{00000000-0005-0000-0000-0000771D0000}"/>
    <cellStyle name="Normal 44 4 3 2" xfId="3287" xr:uid="{00000000-0005-0000-0000-0000781D0000}"/>
    <cellStyle name="Normal 44 4 3 2 2" xfId="7802" xr:uid="{00000000-0005-0000-0000-0000791D0000}"/>
    <cellStyle name="Normal 44 4 3 2 2 2" xfId="16843" xr:uid="{00000000-0005-0000-0000-00007A1D0000}"/>
    <cellStyle name="Normal 44 4 3 2 3" xfId="12330" xr:uid="{00000000-0005-0000-0000-00007B1D0000}"/>
    <cellStyle name="Normal 44 4 3 3" xfId="6156" xr:uid="{00000000-0005-0000-0000-00007C1D0000}"/>
    <cellStyle name="Normal 44 4 3 3 2" xfId="15197" xr:uid="{00000000-0005-0000-0000-00007D1D0000}"/>
    <cellStyle name="Normal 44 4 3 4" xfId="10684" xr:uid="{00000000-0005-0000-0000-00007E1D0000}"/>
    <cellStyle name="Normal 44 4 4" xfId="3284" xr:uid="{00000000-0005-0000-0000-00007F1D0000}"/>
    <cellStyle name="Normal 44 4 4 2" xfId="7799" xr:uid="{00000000-0005-0000-0000-0000801D0000}"/>
    <cellStyle name="Normal 44 4 4 2 2" xfId="16840" xr:uid="{00000000-0005-0000-0000-0000811D0000}"/>
    <cellStyle name="Normal 44 4 4 3" xfId="12327" xr:uid="{00000000-0005-0000-0000-0000821D0000}"/>
    <cellStyle name="Normal 44 4 5" xfId="5028" xr:uid="{00000000-0005-0000-0000-0000831D0000}"/>
    <cellStyle name="Normal 44 4 5 2" xfId="14069" xr:uid="{00000000-0005-0000-0000-0000841D0000}"/>
    <cellStyle name="Normal 44 4 6" xfId="9556" xr:uid="{00000000-0005-0000-0000-0000851D0000}"/>
    <cellStyle name="Normal 44 5" xfId="651" xr:uid="{00000000-0005-0000-0000-0000861D0000}"/>
    <cellStyle name="Normal 44 5 2" xfId="1821" xr:uid="{00000000-0005-0000-0000-0000871D0000}"/>
    <cellStyle name="Normal 44 5 2 2" xfId="3289" xr:uid="{00000000-0005-0000-0000-0000881D0000}"/>
    <cellStyle name="Normal 44 5 2 2 2" xfId="7804" xr:uid="{00000000-0005-0000-0000-0000891D0000}"/>
    <cellStyle name="Normal 44 5 2 2 2 2" xfId="16845" xr:uid="{00000000-0005-0000-0000-00008A1D0000}"/>
    <cellStyle name="Normal 44 5 2 2 3" xfId="12332" xr:uid="{00000000-0005-0000-0000-00008B1D0000}"/>
    <cellStyle name="Normal 44 5 2 3" xfId="6344" xr:uid="{00000000-0005-0000-0000-00008C1D0000}"/>
    <cellStyle name="Normal 44 5 2 3 2" xfId="15385" xr:uid="{00000000-0005-0000-0000-00008D1D0000}"/>
    <cellStyle name="Normal 44 5 2 4" xfId="10872" xr:uid="{00000000-0005-0000-0000-00008E1D0000}"/>
    <cellStyle name="Normal 44 5 3" xfId="3288" xr:uid="{00000000-0005-0000-0000-00008F1D0000}"/>
    <cellStyle name="Normal 44 5 3 2" xfId="7803" xr:uid="{00000000-0005-0000-0000-0000901D0000}"/>
    <cellStyle name="Normal 44 5 3 2 2" xfId="16844" xr:uid="{00000000-0005-0000-0000-0000911D0000}"/>
    <cellStyle name="Normal 44 5 3 3" xfId="12331" xr:uid="{00000000-0005-0000-0000-0000921D0000}"/>
    <cellStyle name="Normal 44 5 4" xfId="5216" xr:uid="{00000000-0005-0000-0000-0000931D0000}"/>
    <cellStyle name="Normal 44 5 4 2" xfId="14257" xr:uid="{00000000-0005-0000-0000-0000941D0000}"/>
    <cellStyle name="Normal 44 5 5" xfId="9744" xr:uid="{00000000-0005-0000-0000-0000951D0000}"/>
    <cellStyle name="Normal 44 6" xfId="1257" xr:uid="{00000000-0005-0000-0000-0000961D0000}"/>
    <cellStyle name="Normal 44 6 2" xfId="3290" xr:uid="{00000000-0005-0000-0000-0000971D0000}"/>
    <cellStyle name="Normal 44 6 2 2" xfId="7805" xr:uid="{00000000-0005-0000-0000-0000981D0000}"/>
    <cellStyle name="Normal 44 6 2 2 2" xfId="16846" xr:uid="{00000000-0005-0000-0000-0000991D0000}"/>
    <cellStyle name="Normal 44 6 2 3" xfId="12333" xr:uid="{00000000-0005-0000-0000-00009A1D0000}"/>
    <cellStyle name="Normal 44 6 3" xfId="5780" xr:uid="{00000000-0005-0000-0000-00009B1D0000}"/>
    <cellStyle name="Normal 44 6 3 2" xfId="14821" xr:uid="{00000000-0005-0000-0000-00009C1D0000}"/>
    <cellStyle name="Normal 44 6 4" xfId="10308" xr:uid="{00000000-0005-0000-0000-00009D1D0000}"/>
    <cellStyle name="Normal 44 7" xfId="3267" xr:uid="{00000000-0005-0000-0000-00009E1D0000}"/>
    <cellStyle name="Normal 44 7 2" xfId="7782" xr:uid="{00000000-0005-0000-0000-00009F1D0000}"/>
    <cellStyle name="Normal 44 7 2 2" xfId="16823" xr:uid="{00000000-0005-0000-0000-0000A01D0000}"/>
    <cellStyle name="Normal 44 7 3" xfId="12310" xr:uid="{00000000-0005-0000-0000-0000A11D0000}"/>
    <cellStyle name="Normal 44 8" xfId="4652" xr:uid="{00000000-0005-0000-0000-0000A21D0000}"/>
    <cellStyle name="Normal 44 8 2" xfId="13693" xr:uid="{00000000-0005-0000-0000-0000A31D0000}"/>
    <cellStyle name="Normal 44 9" xfId="9180" xr:uid="{00000000-0005-0000-0000-0000A41D0000}"/>
    <cellStyle name="Normal 45" xfId="45" xr:uid="{00000000-0005-0000-0000-0000A51D0000}"/>
    <cellStyle name="Normal 45 2" xfId="141" xr:uid="{00000000-0005-0000-0000-0000A61D0000}"/>
    <cellStyle name="Normal 45 2 2" xfId="370" xr:uid="{00000000-0005-0000-0000-0000A71D0000}"/>
    <cellStyle name="Normal 45 2 2 2" xfId="934" xr:uid="{00000000-0005-0000-0000-0000A81D0000}"/>
    <cellStyle name="Normal 45 2 2 2 2" xfId="2104" xr:uid="{00000000-0005-0000-0000-0000A91D0000}"/>
    <cellStyle name="Normal 45 2 2 2 2 2" xfId="3295" xr:uid="{00000000-0005-0000-0000-0000AA1D0000}"/>
    <cellStyle name="Normal 45 2 2 2 2 2 2" xfId="7810" xr:uid="{00000000-0005-0000-0000-0000AB1D0000}"/>
    <cellStyle name="Normal 45 2 2 2 2 2 2 2" xfId="16851" xr:uid="{00000000-0005-0000-0000-0000AC1D0000}"/>
    <cellStyle name="Normal 45 2 2 2 2 2 3" xfId="12338" xr:uid="{00000000-0005-0000-0000-0000AD1D0000}"/>
    <cellStyle name="Normal 45 2 2 2 2 3" xfId="6627" xr:uid="{00000000-0005-0000-0000-0000AE1D0000}"/>
    <cellStyle name="Normal 45 2 2 2 2 3 2" xfId="15668" xr:uid="{00000000-0005-0000-0000-0000AF1D0000}"/>
    <cellStyle name="Normal 45 2 2 2 2 4" xfId="11155" xr:uid="{00000000-0005-0000-0000-0000B01D0000}"/>
    <cellStyle name="Normal 45 2 2 2 3" xfId="3294" xr:uid="{00000000-0005-0000-0000-0000B11D0000}"/>
    <cellStyle name="Normal 45 2 2 2 3 2" xfId="7809" xr:uid="{00000000-0005-0000-0000-0000B21D0000}"/>
    <cellStyle name="Normal 45 2 2 2 3 2 2" xfId="16850" xr:uid="{00000000-0005-0000-0000-0000B31D0000}"/>
    <cellStyle name="Normal 45 2 2 2 3 3" xfId="12337" xr:uid="{00000000-0005-0000-0000-0000B41D0000}"/>
    <cellStyle name="Normal 45 2 2 2 4" xfId="5499" xr:uid="{00000000-0005-0000-0000-0000B51D0000}"/>
    <cellStyle name="Normal 45 2 2 2 4 2" xfId="14540" xr:uid="{00000000-0005-0000-0000-0000B61D0000}"/>
    <cellStyle name="Normal 45 2 2 2 5" xfId="10027" xr:uid="{00000000-0005-0000-0000-0000B71D0000}"/>
    <cellStyle name="Normal 45 2 2 3" xfId="1540" xr:uid="{00000000-0005-0000-0000-0000B81D0000}"/>
    <cellStyle name="Normal 45 2 2 3 2" xfId="3296" xr:uid="{00000000-0005-0000-0000-0000B91D0000}"/>
    <cellStyle name="Normal 45 2 2 3 2 2" xfId="7811" xr:uid="{00000000-0005-0000-0000-0000BA1D0000}"/>
    <cellStyle name="Normal 45 2 2 3 2 2 2" xfId="16852" xr:uid="{00000000-0005-0000-0000-0000BB1D0000}"/>
    <cellStyle name="Normal 45 2 2 3 2 3" xfId="12339" xr:uid="{00000000-0005-0000-0000-0000BC1D0000}"/>
    <cellStyle name="Normal 45 2 2 3 3" xfId="6063" xr:uid="{00000000-0005-0000-0000-0000BD1D0000}"/>
    <cellStyle name="Normal 45 2 2 3 3 2" xfId="15104" xr:uid="{00000000-0005-0000-0000-0000BE1D0000}"/>
    <cellStyle name="Normal 45 2 2 3 4" xfId="10591" xr:uid="{00000000-0005-0000-0000-0000BF1D0000}"/>
    <cellStyle name="Normal 45 2 2 4" xfId="3293" xr:uid="{00000000-0005-0000-0000-0000C01D0000}"/>
    <cellStyle name="Normal 45 2 2 4 2" xfId="7808" xr:uid="{00000000-0005-0000-0000-0000C11D0000}"/>
    <cellStyle name="Normal 45 2 2 4 2 2" xfId="16849" xr:uid="{00000000-0005-0000-0000-0000C21D0000}"/>
    <cellStyle name="Normal 45 2 2 4 3" xfId="12336" xr:uid="{00000000-0005-0000-0000-0000C31D0000}"/>
    <cellStyle name="Normal 45 2 2 5" xfId="4935" xr:uid="{00000000-0005-0000-0000-0000C41D0000}"/>
    <cellStyle name="Normal 45 2 2 5 2" xfId="13976" xr:uid="{00000000-0005-0000-0000-0000C51D0000}"/>
    <cellStyle name="Normal 45 2 2 6" xfId="9463" xr:uid="{00000000-0005-0000-0000-0000C61D0000}"/>
    <cellStyle name="Normal 45 2 3" xfId="558" xr:uid="{00000000-0005-0000-0000-0000C71D0000}"/>
    <cellStyle name="Normal 45 2 3 2" xfId="1122" xr:uid="{00000000-0005-0000-0000-0000C81D0000}"/>
    <cellStyle name="Normal 45 2 3 2 2" xfId="2292" xr:uid="{00000000-0005-0000-0000-0000C91D0000}"/>
    <cellStyle name="Normal 45 2 3 2 2 2" xfId="3299" xr:uid="{00000000-0005-0000-0000-0000CA1D0000}"/>
    <cellStyle name="Normal 45 2 3 2 2 2 2" xfId="7814" xr:uid="{00000000-0005-0000-0000-0000CB1D0000}"/>
    <cellStyle name="Normal 45 2 3 2 2 2 2 2" xfId="16855" xr:uid="{00000000-0005-0000-0000-0000CC1D0000}"/>
    <cellStyle name="Normal 45 2 3 2 2 2 3" xfId="12342" xr:uid="{00000000-0005-0000-0000-0000CD1D0000}"/>
    <cellStyle name="Normal 45 2 3 2 2 3" xfId="6815" xr:uid="{00000000-0005-0000-0000-0000CE1D0000}"/>
    <cellStyle name="Normal 45 2 3 2 2 3 2" xfId="15856" xr:uid="{00000000-0005-0000-0000-0000CF1D0000}"/>
    <cellStyle name="Normal 45 2 3 2 2 4" xfId="11343" xr:uid="{00000000-0005-0000-0000-0000D01D0000}"/>
    <cellStyle name="Normal 45 2 3 2 3" xfId="3298" xr:uid="{00000000-0005-0000-0000-0000D11D0000}"/>
    <cellStyle name="Normal 45 2 3 2 3 2" xfId="7813" xr:uid="{00000000-0005-0000-0000-0000D21D0000}"/>
    <cellStyle name="Normal 45 2 3 2 3 2 2" xfId="16854" xr:uid="{00000000-0005-0000-0000-0000D31D0000}"/>
    <cellStyle name="Normal 45 2 3 2 3 3" xfId="12341" xr:uid="{00000000-0005-0000-0000-0000D41D0000}"/>
    <cellStyle name="Normal 45 2 3 2 4" xfId="5687" xr:uid="{00000000-0005-0000-0000-0000D51D0000}"/>
    <cellStyle name="Normal 45 2 3 2 4 2" xfId="14728" xr:uid="{00000000-0005-0000-0000-0000D61D0000}"/>
    <cellStyle name="Normal 45 2 3 2 5" xfId="10215" xr:uid="{00000000-0005-0000-0000-0000D71D0000}"/>
    <cellStyle name="Normal 45 2 3 3" xfId="1728" xr:uid="{00000000-0005-0000-0000-0000D81D0000}"/>
    <cellStyle name="Normal 45 2 3 3 2" xfId="3300" xr:uid="{00000000-0005-0000-0000-0000D91D0000}"/>
    <cellStyle name="Normal 45 2 3 3 2 2" xfId="7815" xr:uid="{00000000-0005-0000-0000-0000DA1D0000}"/>
    <cellStyle name="Normal 45 2 3 3 2 2 2" xfId="16856" xr:uid="{00000000-0005-0000-0000-0000DB1D0000}"/>
    <cellStyle name="Normal 45 2 3 3 2 3" xfId="12343" xr:uid="{00000000-0005-0000-0000-0000DC1D0000}"/>
    <cellStyle name="Normal 45 2 3 3 3" xfId="6251" xr:uid="{00000000-0005-0000-0000-0000DD1D0000}"/>
    <cellStyle name="Normal 45 2 3 3 3 2" xfId="15292" xr:uid="{00000000-0005-0000-0000-0000DE1D0000}"/>
    <cellStyle name="Normal 45 2 3 3 4" xfId="10779" xr:uid="{00000000-0005-0000-0000-0000DF1D0000}"/>
    <cellStyle name="Normal 45 2 3 4" xfId="3297" xr:uid="{00000000-0005-0000-0000-0000E01D0000}"/>
    <cellStyle name="Normal 45 2 3 4 2" xfId="7812" xr:uid="{00000000-0005-0000-0000-0000E11D0000}"/>
    <cellStyle name="Normal 45 2 3 4 2 2" xfId="16853" xr:uid="{00000000-0005-0000-0000-0000E21D0000}"/>
    <cellStyle name="Normal 45 2 3 4 3" xfId="12340" xr:uid="{00000000-0005-0000-0000-0000E31D0000}"/>
    <cellStyle name="Normal 45 2 3 5" xfId="5123" xr:uid="{00000000-0005-0000-0000-0000E41D0000}"/>
    <cellStyle name="Normal 45 2 3 5 2" xfId="14164" xr:uid="{00000000-0005-0000-0000-0000E51D0000}"/>
    <cellStyle name="Normal 45 2 3 6" xfId="9651" xr:uid="{00000000-0005-0000-0000-0000E61D0000}"/>
    <cellStyle name="Normal 45 2 4" xfId="746" xr:uid="{00000000-0005-0000-0000-0000E71D0000}"/>
    <cellStyle name="Normal 45 2 4 2" xfId="1916" xr:uid="{00000000-0005-0000-0000-0000E81D0000}"/>
    <cellStyle name="Normal 45 2 4 2 2" xfId="3302" xr:uid="{00000000-0005-0000-0000-0000E91D0000}"/>
    <cellStyle name="Normal 45 2 4 2 2 2" xfId="7817" xr:uid="{00000000-0005-0000-0000-0000EA1D0000}"/>
    <cellStyle name="Normal 45 2 4 2 2 2 2" xfId="16858" xr:uid="{00000000-0005-0000-0000-0000EB1D0000}"/>
    <cellStyle name="Normal 45 2 4 2 2 3" xfId="12345" xr:uid="{00000000-0005-0000-0000-0000EC1D0000}"/>
    <cellStyle name="Normal 45 2 4 2 3" xfId="6439" xr:uid="{00000000-0005-0000-0000-0000ED1D0000}"/>
    <cellStyle name="Normal 45 2 4 2 3 2" xfId="15480" xr:uid="{00000000-0005-0000-0000-0000EE1D0000}"/>
    <cellStyle name="Normal 45 2 4 2 4" xfId="10967" xr:uid="{00000000-0005-0000-0000-0000EF1D0000}"/>
    <cellStyle name="Normal 45 2 4 3" xfId="3301" xr:uid="{00000000-0005-0000-0000-0000F01D0000}"/>
    <cellStyle name="Normal 45 2 4 3 2" xfId="7816" xr:uid="{00000000-0005-0000-0000-0000F11D0000}"/>
    <cellStyle name="Normal 45 2 4 3 2 2" xfId="16857" xr:uid="{00000000-0005-0000-0000-0000F21D0000}"/>
    <cellStyle name="Normal 45 2 4 3 3" xfId="12344" xr:uid="{00000000-0005-0000-0000-0000F31D0000}"/>
    <cellStyle name="Normal 45 2 4 4" xfId="5311" xr:uid="{00000000-0005-0000-0000-0000F41D0000}"/>
    <cellStyle name="Normal 45 2 4 4 2" xfId="14352" xr:uid="{00000000-0005-0000-0000-0000F51D0000}"/>
    <cellStyle name="Normal 45 2 4 5" xfId="9839" xr:uid="{00000000-0005-0000-0000-0000F61D0000}"/>
    <cellStyle name="Normal 45 2 5" xfId="1352" xr:uid="{00000000-0005-0000-0000-0000F71D0000}"/>
    <cellStyle name="Normal 45 2 5 2" xfId="3303" xr:uid="{00000000-0005-0000-0000-0000F81D0000}"/>
    <cellStyle name="Normal 45 2 5 2 2" xfId="7818" xr:uid="{00000000-0005-0000-0000-0000F91D0000}"/>
    <cellStyle name="Normal 45 2 5 2 2 2" xfId="16859" xr:uid="{00000000-0005-0000-0000-0000FA1D0000}"/>
    <cellStyle name="Normal 45 2 5 2 3" xfId="12346" xr:uid="{00000000-0005-0000-0000-0000FB1D0000}"/>
    <cellStyle name="Normal 45 2 5 3" xfId="5875" xr:uid="{00000000-0005-0000-0000-0000FC1D0000}"/>
    <cellStyle name="Normal 45 2 5 3 2" xfId="14916" xr:uid="{00000000-0005-0000-0000-0000FD1D0000}"/>
    <cellStyle name="Normal 45 2 5 4" xfId="10403" xr:uid="{00000000-0005-0000-0000-0000FE1D0000}"/>
    <cellStyle name="Normal 45 2 6" xfId="3292" xr:uid="{00000000-0005-0000-0000-0000FF1D0000}"/>
    <cellStyle name="Normal 45 2 6 2" xfId="7807" xr:uid="{00000000-0005-0000-0000-0000001E0000}"/>
    <cellStyle name="Normal 45 2 6 2 2" xfId="16848" xr:uid="{00000000-0005-0000-0000-0000011E0000}"/>
    <cellStyle name="Normal 45 2 6 3" xfId="12335" xr:uid="{00000000-0005-0000-0000-0000021E0000}"/>
    <cellStyle name="Normal 45 2 7" xfId="4747" xr:uid="{00000000-0005-0000-0000-0000031E0000}"/>
    <cellStyle name="Normal 45 2 7 2" xfId="13788" xr:uid="{00000000-0005-0000-0000-0000041E0000}"/>
    <cellStyle name="Normal 45 2 8" xfId="9275" xr:uid="{00000000-0005-0000-0000-0000051E0000}"/>
    <cellStyle name="Normal 45 3" xfId="276" xr:uid="{00000000-0005-0000-0000-0000061E0000}"/>
    <cellStyle name="Normal 45 3 2" xfId="840" xr:uid="{00000000-0005-0000-0000-0000071E0000}"/>
    <cellStyle name="Normal 45 3 2 2" xfId="2010" xr:uid="{00000000-0005-0000-0000-0000081E0000}"/>
    <cellStyle name="Normal 45 3 2 2 2" xfId="3306" xr:uid="{00000000-0005-0000-0000-0000091E0000}"/>
    <cellStyle name="Normal 45 3 2 2 2 2" xfId="7821" xr:uid="{00000000-0005-0000-0000-00000A1E0000}"/>
    <cellStyle name="Normal 45 3 2 2 2 2 2" xfId="16862" xr:uid="{00000000-0005-0000-0000-00000B1E0000}"/>
    <cellStyle name="Normal 45 3 2 2 2 3" xfId="12349" xr:uid="{00000000-0005-0000-0000-00000C1E0000}"/>
    <cellStyle name="Normal 45 3 2 2 3" xfId="6533" xr:uid="{00000000-0005-0000-0000-00000D1E0000}"/>
    <cellStyle name="Normal 45 3 2 2 3 2" xfId="15574" xr:uid="{00000000-0005-0000-0000-00000E1E0000}"/>
    <cellStyle name="Normal 45 3 2 2 4" xfId="11061" xr:uid="{00000000-0005-0000-0000-00000F1E0000}"/>
    <cellStyle name="Normal 45 3 2 3" xfId="3305" xr:uid="{00000000-0005-0000-0000-0000101E0000}"/>
    <cellStyle name="Normal 45 3 2 3 2" xfId="7820" xr:uid="{00000000-0005-0000-0000-0000111E0000}"/>
    <cellStyle name="Normal 45 3 2 3 2 2" xfId="16861" xr:uid="{00000000-0005-0000-0000-0000121E0000}"/>
    <cellStyle name="Normal 45 3 2 3 3" xfId="12348" xr:uid="{00000000-0005-0000-0000-0000131E0000}"/>
    <cellStyle name="Normal 45 3 2 4" xfId="5405" xr:uid="{00000000-0005-0000-0000-0000141E0000}"/>
    <cellStyle name="Normal 45 3 2 4 2" xfId="14446" xr:uid="{00000000-0005-0000-0000-0000151E0000}"/>
    <cellStyle name="Normal 45 3 2 5" xfId="9933" xr:uid="{00000000-0005-0000-0000-0000161E0000}"/>
    <cellStyle name="Normal 45 3 3" xfId="1446" xr:uid="{00000000-0005-0000-0000-0000171E0000}"/>
    <cellStyle name="Normal 45 3 3 2" xfId="3307" xr:uid="{00000000-0005-0000-0000-0000181E0000}"/>
    <cellStyle name="Normal 45 3 3 2 2" xfId="7822" xr:uid="{00000000-0005-0000-0000-0000191E0000}"/>
    <cellStyle name="Normal 45 3 3 2 2 2" xfId="16863" xr:uid="{00000000-0005-0000-0000-00001A1E0000}"/>
    <cellStyle name="Normal 45 3 3 2 3" xfId="12350" xr:uid="{00000000-0005-0000-0000-00001B1E0000}"/>
    <cellStyle name="Normal 45 3 3 3" xfId="5969" xr:uid="{00000000-0005-0000-0000-00001C1E0000}"/>
    <cellStyle name="Normal 45 3 3 3 2" xfId="15010" xr:uid="{00000000-0005-0000-0000-00001D1E0000}"/>
    <cellStyle name="Normal 45 3 3 4" xfId="10497" xr:uid="{00000000-0005-0000-0000-00001E1E0000}"/>
    <cellStyle name="Normal 45 3 4" xfId="3304" xr:uid="{00000000-0005-0000-0000-00001F1E0000}"/>
    <cellStyle name="Normal 45 3 4 2" xfId="7819" xr:uid="{00000000-0005-0000-0000-0000201E0000}"/>
    <cellStyle name="Normal 45 3 4 2 2" xfId="16860" xr:uid="{00000000-0005-0000-0000-0000211E0000}"/>
    <cellStyle name="Normal 45 3 4 3" xfId="12347" xr:uid="{00000000-0005-0000-0000-0000221E0000}"/>
    <cellStyle name="Normal 45 3 5" xfId="4841" xr:uid="{00000000-0005-0000-0000-0000231E0000}"/>
    <cellStyle name="Normal 45 3 5 2" xfId="13882" xr:uid="{00000000-0005-0000-0000-0000241E0000}"/>
    <cellStyle name="Normal 45 3 6" xfId="9369" xr:uid="{00000000-0005-0000-0000-0000251E0000}"/>
    <cellStyle name="Normal 45 4" xfId="464" xr:uid="{00000000-0005-0000-0000-0000261E0000}"/>
    <cellStyle name="Normal 45 4 2" xfId="1028" xr:uid="{00000000-0005-0000-0000-0000271E0000}"/>
    <cellStyle name="Normal 45 4 2 2" xfId="2198" xr:uid="{00000000-0005-0000-0000-0000281E0000}"/>
    <cellStyle name="Normal 45 4 2 2 2" xfId="3310" xr:uid="{00000000-0005-0000-0000-0000291E0000}"/>
    <cellStyle name="Normal 45 4 2 2 2 2" xfId="7825" xr:uid="{00000000-0005-0000-0000-00002A1E0000}"/>
    <cellStyle name="Normal 45 4 2 2 2 2 2" xfId="16866" xr:uid="{00000000-0005-0000-0000-00002B1E0000}"/>
    <cellStyle name="Normal 45 4 2 2 2 3" xfId="12353" xr:uid="{00000000-0005-0000-0000-00002C1E0000}"/>
    <cellStyle name="Normal 45 4 2 2 3" xfId="6721" xr:uid="{00000000-0005-0000-0000-00002D1E0000}"/>
    <cellStyle name="Normal 45 4 2 2 3 2" xfId="15762" xr:uid="{00000000-0005-0000-0000-00002E1E0000}"/>
    <cellStyle name="Normal 45 4 2 2 4" xfId="11249" xr:uid="{00000000-0005-0000-0000-00002F1E0000}"/>
    <cellStyle name="Normal 45 4 2 3" xfId="3309" xr:uid="{00000000-0005-0000-0000-0000301E0000}"/>
    <cellStyle name="Normal 45 4 2 3 2" xfId="7824" xr:uid="{00000000-0005-0000-0000-0000311E0000}"/>
    <cellStyle name="Normal 45 4 2 3 2 2" xfId="16865" xr:uid="{00000000-0005-0000-0000-0000321E0000}"/>
    <cellStyle name="Normal 45 4 2 3 3" xfId="12352" xr:uid="{00000000-0005-0000-0000-0000331E0000}"/>
    <cellStyle name="Normal 45 4 2 4" xfId="5593" xr:uid="{00000000-0005-0000-0000-0000341E0000}"/>
    <cellStyle name="Normal 45 4 2 4 2" xfId="14634" xr:uid="{00000000-0005-0000-0000-0000351E0000}"/>
    <cellStyle name="Normal 45 4 2 5" xfId="10121" xr:uid="{00000000-0005-0000-0000-0000361E0000}"/>
    <cellStyle name="Normal 45 4 3" xfId="1634" xr:uid="{00000000-0005-0000-0000-0000371E0000}"/>
    <cellStyle name="Normal 45 4 3 2" xfId="3311" xr:uid="{00000000-0005-0000-0000-0000381E0000}"/>
    <cellStyle name="Normal 45 4 3 2 2" xfId="7826" xr:uid="{00000000-0005-0000-0000-0000391E0000}"/>
    <cellStyle name="Normal 45 4 3 2 2 2" xfId="16867" xr:uid="{00000000-0005-0000-0000-00003A1E0000}"/>
    <cellStyle name="Normal 45 4 3 2 3" xfId="12354" xr:uid="{00000000-0005-0000-0000-00003B1E0000}"/>
    <cellStyle name="Normal 45 4 3 3" xfId="6157" xr:uid="{00000000-0005-0000-0000-00003C1E0000}"/>
    <cellStyle name="Normal 45 4 3 3 2" xfId="15198" xr:uid="{00000000-0005-0000-0000-00003D1E0000}"/>
    <cellStyle name="Normal 45 4 3 4" xfId="10685" xr:uid="{00000000-0005-0000-0000-00003E1E0000}"/>
    <cellStyle name="Normal 45 4 4" xfId="3308" xr:uid="{00000000-0005-0000-0000-00003F1E0000}"/>
    <cellStyle name="Normal 45 4 4 2" xfId="7823" xr:uid="{00000000-0005-0000-0000-0000401E0000}"/>
    <cellStyle name="Normal 45 4 4 2 2" xfId="16864" xr:uid="{00000000-0005-0000-0000-0000411E0000}"/>
    <cellStyle name="Normal 45 4 4 3" xfId="12351" xr:uid="{00000000-0005-0000-0000-0000421E0000}"/>
    <cellStyle name="Normal 45 4 5" xfId="5029" xr:uid="{00000000-0005-0000-0000-0000431E0000}"/>
    <cellStyle name="Normal 45 4 5 2" xfId="14070" xr:uid="{00000000-0005-0000-0000-0000441E0000}"/>
    <cellStyle name="Normal 45 4 6" xfId="9557" xr:uid="{00000000-0005-0000-0000-0000451E0000}"/>
    <cellStyle name="Normal 45 5" xfId="652" xr:uid="{00000000-0005-0000-0000-0000461E0000}"/>
    <cellStyle name="Normal 45 5 2" xfId="1822" xr:uid="{00000000-0005-0000-0000-0000471E0000}"/>
    <cellStyle name="Normal 45 5 2 2" xfId="3313" xr:uid="{00000000-0005-0000-0000-0000481E0000}"/>
    <cellStyle name="Normal 45 5 2 2 2" xfId="7828" xr:uid="{00000000-0005-0000-0000-0000491E0000}"/>
    <cellStyle name="Normal 45 5 2 2 2 2" xfId="16869" xr:uid="{00000000-0005-0000-0000-00004A1E0000}"/>
    <cellStyle name="Normal 45 5 2 2 3" xfId="12356" xr:uid="{00000000-0005-0000-0000-00004B1E0000}"/>
    <cellStyle name="Normal 45 5 2 3" xfId="6345" xr:uid="{00000000-0005-0000-0000-00004C1E0000}"/>
    <cellStyle name="Normal 45 5 2 3 2" xfId="15386" xr:uid="{00000000-0005-0000-0000-00004D1E0000}"/>
    <cellStyle name="Normal 45 5 2 4" xfId="10873" xr:uid="{00000000-0005-0000-0000-00004E1E0000}"/>
    <cellStyle name="Normal 45 5 3" xfId="3312" xr:uid="{00000000-0005-0000-0000-00004F1E0000}"/>
    <cellStyle name="Normal 45 5 3 2" xfId="7827" xr:uid="{00000000-0005-0000-0000-0000501E0000}"/>
    <cellStyle name="Normal 45 5 3 2 2" xfId="16868" xr:uid="{00000000-0005-0000-0000-0000511E0000}"/>
    <cellStyle name="Normal 45 5 3 3" xfId="12355" xr:uid="{00000000-0005-0000-0000-0000521E0000}"/>
    <cellStyle name="Normal 45 5 4" xfId="5217" xr:uid="{00000000-0005-0000-0000-0000531E0000}"/>
    <cellStyle name="Normal 45 5 4 2" xfId="14258" xr:uid="{00000000-0005-0000-0000-0000541E0000}"/>
    <cellStyle name="Normal 45 5 5" xfId="9745" xr:uid="{00000000-0005-0000-0000-0000551E0000}"/>
    <cellStyle name="Normal 45 6" xfId="1258" xr:uid="{00000000-0005-0000-0000-0000561E0000}"/>
    <cellStyle name="Normal 45 6 2" xfId="3314" xr:uid="{00000000-0005-0000-0000-0000571E0000}"/>
    <cellStyle name="Normal 45 6 2 2" xfId="7829" xr:uid="{00000000-0005-0000-0000-0000581E0000}"/>
    <cellStyle name="Normal 45 6 2 2 2" xfId="16870" xr:uid="{00000000-0005-0000-0000-0000591E0000}"/>
    <cellStyle name="Normal 45 6 2 3" xfId="12357" xr:uid="{00000000-0005-0000-0000-00005A1E0000}"/>
    <cellStyle name="Normal 45 6 3" xfId="5781" xr:uid="{00000000-0005-0000-0000-00005B1E0000}"/>
    <cellStyle name="Normal 45 6 3 2" xfId="14822" xr:uid="{00000000-0005-0000-0000-00005C1E0000}"/>
    <cellStyle name="Normal 45 6 4" xfId="10309" xr:uid="{00000000-0005-0000-0000-00005D1E0000}"/>
    <cellStyle name="Normal 45 7" xfId="3291" xr:uid="{00000000-0005-0000-0000-00005E1E0000}"/>
    <cellStyle name="Normal 45 7 2" xfId="7806" xr:uid="{00000000-0005-0000-0000-00005F1E0000}"/>
    <cellStyle name="Normal 45 7 2 2" xfId="16847" xr:uid="{00000000-0005-0000-0000-0000601E0000}"/>
    <cellStyle name="Normal 45 7 3" xfId="12334" xr:uid="{00000000-0005-0000-0000-0000611E0000}"/>
    <cellStyle name="Normal 45 8" xfId="4653" xr:uid="{00000000-0005-0000-0000-0000621E0000}"/>
    <cellStyle name="Normal 45 8 2" xfId="13694" xr:uid="{00000000-0005-0000-0000-0000631E0000}"/>
    <cellStyle name="Normal 45 9" xfId="9181" xr:uid="{00000000-0005-0000-0000-0000641E0000}"/>
    <cellStyle name="Normal 46" xfId="46" xr:uid="{00000000-0005-0000-0000-0000651E0000}"/>
    <cellStyle name="Normal 46 2" xfId="142" xr:uid="{00000000-0005-0000-0000-0000661E0000}"/>
    <cellStyle name="Normal 46 2 2" xfId="371" xr:uid="{00000000-0005-0000-0000-0000671E0000}"/>
    <cellStyle name="Normal 46 2 2 2" xfId="935" xr:uid="{00000000-0005-0000-0000-0000681E0000}"/>
    <cellStyle name="Normal 46 2 2 2 2" xfId="2105" xr:uid="{00000000-0005-0000-0000-0000691E0000}"/>
    <cellStyle name="Normal 46 2 2 2 2 2" xfId="3319" xr:uid="{00000000-0005-0000-0000-00006A1E0000}"/>
    <cellStyle name="Normal 46 2 2 2 2 2 2" xfId="7834" xr:uid="{00000000-0005-0000-0000-00006B1E0000}"/>
    <cellStyle name="Normal 46 2 2 2 2 2 2 2" xfId="16875" xr:uid="{00000000-0005-0000-0000-00006C1E0000}"/>
    <cellStyle name="Normal 46 2 2 2 2 2 3" xfId="12362" xr:uid="{00000000-0005-0000-0000-00006D1E0000}"/>
    <cellStyle name="Normal 46 2 2 2 2 3" xfId="6628" xr:uid="{00000000-0005-0000-0000-00006E1E0000}"/>
    <cellStyle name="Normal 46 2 2 2 2 3 2" xfId="15669" xr:uid="{00000000-0005-0000-0000-00006F1E0000}"/>
    <cellStyle name="Normal 46 2 2 2 2 4" xfId="11156" xr:uid="{00000000-0005-0000-0000-0000701E0000}"/>
    <cellStyle name="Normal 46 2 2 2 3" xfId="3318" xr:uid="{00000000-0005-0000-0000-0000711E0000}"/>
    <cellStyle name="Normal 46 2 2 2 3 2" xfId="7833" xr:uid="{00000000-0005-0000-0000-0000721E0000}"/>
    <cellStyle name="Normal 46 2 2 2 3 2 2" xfId="16874" xr:uid="{00000000-0005-0000-0000-0000731E0000}"/>
    <cellStyle name="Normal 46 2 2 2 3 3" xfId="12361" xr:uid="{00000000-0005-0000-0000-0000741E0000}"/>
    <cellStyle name="Normal 46 2 2 2 4" xfId="5500" xr:uid="{00000000-0005-0000-0000-0000751E0000}"/>
    <cellStyle name="Normal 46 2 2 2 4 2" xfId="14541" xr:uid="{00000000-0005-0000-0000-0000761E0000}"/>
    <cellStyle name="Normal 46 2 2 2 5" xfId="10028" xr:uid="{00000000-0005-0000-0000-0000771E0000}"/>
    <cellStyle name="Normal 46 2 2 3" xfId="1541" xr:uid="{00000000-0005-0000-0000-0000781E0000}"/>
    <cellStyle name="Normal 46 2 2 3 2" xfId="3320" xr:uid="{00000000-0005-0000-0000-0000791E0000}"/>
    <cellStyle name="Normal 46 2 2 3 2 2" xfId="7835" xr:uid="{00000000-0005-0000-0000-00007A1E0000}"/>
    <cellStyle name="Normal 46 2 2 3 2 2 2" xfId="16876" xr:uid="{00000000-0005-0000-0000-00007B1E0000}"/>
    <cellStyle name="Normal 46 2 2 3 2 3" xfId="12363" xr:uid="{00000000-0005-0000-0000-00007C1E0000}"/>
    <cellStyle name="Normal 46 2 2 3 3" xfId="6064" xr:uid="{00000000-0005-0000-0000-00007D1E0000}"/>
    <cellStyle name="Normal 46 2 2 3 3 2" xfId="15105" xr:uid="{00000000-0005-0000-0000-00007E1E0000}"/>
    <cellStyle name="Normal 46 2 2 3 4" xfId="10592" xr:uid="{00000000-0005-0000-0000-00007F1E0000}"/>
    <cellStyle name="Normal 46 2 2 4" xfId="3317" xr:uid="{00000000-0005-0000-0000-0000801E0000}"/>
    <cellStyle name="Normal 46 2 2 4 2" xfId="7832" xr:uid="{00000000-0005-0000-0000-0000811E0000}"/>
    <cellStyle name="Normal 46 2 2 4 2 2" xfId="16873" xr:uid="{00000000-0005-0000-0000-0000821E0000}"/>
    <cellStyle name="Normal 46 2 2 4 3" xfId="12360" xr:uid="{00000000-0005-0000-0000-0000831E0000}"/>
    <cellStyle name="Normal 46 2 2 5" xfId="4936" xr:uid="{00000000-0005-0000-0000-0000841E0000}"/>
    <cellStyle name="Normal 46 2 2 5 2" xfId="13977" xr:uid="{00000000-0005-0000-0000-0000851E0000}"/>
    <cellStyle name="Normal 46 2 2 6" xfId="9464" xr:uid="{00000000-0005-0000-0000-0000861E0000}"/>
    <cellStyle name="Normal 46 2 3" xfId="559" xr:uid="{00000000-0005-0000-0000-0000871E0000}"/>
    <cellStyle name="Normal 46 2 3 2" xfId="1123" xr:uid="{00000000-0005-0000-0000-0000881E0000}"/>
    <cellStyle name="Normal 46 2 3 2 2" xfId="2293" xr:uid="{00000000-0005-0000-0000-0000891E0000}"/>
    <cellStyle name="Normal 46 2 3 2 2 2" xfId="3323" xr:uid="{00000000-0005-0000-0000-00008A1E0000}"/>
    <cellStyle name="Normal 46 2 3 2 2 2 2" xfId="7838" xr:uid="{00000000-0005-0000-0000-00008B1E0000}"/>
    <cellStyle name="Normal 46 2 3 2 2 2 2 2" xfId="16879" xr:uid="{00000000-0005-0000-0000-00008C1E0000}"/>
    <cellStyle name="Normal 46 2 3 2 2 2 3" xfId="12366" xr:uid="{00000000-0005-0000-0000-00008D1E0000}"/>
    <cellStyle name="Normal 46 2 3 2 2 3" xfId="6816" xr:uid="{00000000-0005-0000-0000-00008E1E0000}"/>
    <cellStyle name="Normal 46 2 3 2 2 3 2" xfId="15857" xr:uid="{00000000-0005-0000-0000-00008F1E0000}"/>
    <cellStyle name="Normal 46 2 3 2 2 4" xfId="11344" xr:uid="{00000000-0005-0000-0000-0000901E0000}"/>
    <cellStyle name="Normal 46 2 3 2 3" xfId="3322" xr:uid="{00000000-0005-0000-0000-0000911E0000}"/>
    <cellStyle name="Normal 46 2 3 2 3 2" xfId="7837" xr:uid="{00000000-0005-0000-0000-0000921E0000}"/>
    <cellStyle name="Normal 46 2 3 2 3 2 2" xfId="16878" xr:uid="{00000000-0005-0000-0000-0000931E0000}"/>
    <cellStyle name="Normal 46 2 3 2 3 3" xfId="12365" xr:uid="{00000000-0005-0000-0000-0000941E0000}"/>
    <cellStyle name="Normal 46 2 3 2 4" xfId="5688" xr:uid="{00000000-0005-0000-0000-0000951E0000}"/>
    <cellStyle name="Normal 46 2 3 2 4 2" xfId="14729" xr:uid="{00000000-0005-0000-0000-0000961E0000}"/>
    <cellStyle name="Normal 46 2 3 2 5" xfId="10216" xr:uid="{00000000-0005-0000-0000-0000971E0000}"/>
    <cellStyle name="Normal 46 2 3 3" xfId="1729" xr:uid="{00000000-0005-0000-0000-0000981E0000}"/>
    <cellStyle name="Normal 46 2 3 3 2" xfId="3324" xr:uid="{00000000-0005-0000-0000-0000991E0000}"/>
    <cellStyle name="Normal 46 2 3 3 2 2" xfId="7839" xr:uid="{00000000-0005-0000-0000-00009A1E0000}"/>
    <cellStyle name="Normal 46 2 3 3 2 2 2" xfId="16880" xr:uid="{00000000-0005-0000-0000-00009B1E0000}"/>
    <cellStyle name="Normal 46 2 3 3 2 3" xfId="12367" xr:uid="{00000000-0005-0000-0000-00009C1E0000}"/>
    <cellStyle name="Normal 46 2 3 3 3" xfId="6252" xr:uid="{00000000-0005-0000-0000-00009D1E0000}"/>
    <cellStyle name="Normal 46 2 3 3 3 2" xfId="15293" xr:uid="{00000000-0005-0000-0000-00009E1E0000}"/>
    <cellStyle name="Normal 46 2 3 3 4" xfId="10780" xr:uid="{00000000-0005-0000-0000-00009F1E0000}"/>
    <cellStyle name="Normal 46 2 3 4" xfId="3321" xr:uid="{00000000-0005-0000-0000-0000A01E0000}"/>
    <cellStyle name="Normal 46 2 3 4 2" xfId="7836" xr:uid="{00000000-0005-0000-0000-0000A11E0000}"/>
    <cellStyle name="Normal 46 2 3 4 2 2" xfId="16877" xr:uid="{00000000-0005-0000-0000-0000A21E0000}"/>
    <cellStyle name="Normal 46 2 3 4 3" xfId="12364" xr:uid="{00000000-0005-0000-0000-0000A31E0000}"/>
    <cellStyle name="Normal 46 2 3 5" xfId="5124" xr:uid="{00000000-0005-0000-0000-0000A41E0000}"/>
    <cellStyle name="Normal 46 2 3 5 2" xfId="14165" xr:uid="{00000000-0005-0000-0000-0000A51E0000}"/>
    <cellStyle name="Normal 46 2 3 6" xfId="9652" xr:uid="{00000000-0005-0000-0000-0000A61E0000}"/>
    <cellStyle name="Normal 46 2 4" xfId="747" xr:uid="{00000000-0005-0000-0000-0000A71E0000}"/>
    <cellStyle name="Normal 46 2 4 2" xfId="1917" xr:uid="{00000000-0005-0000-0000-0000A81E0000}"/>
    <cellStyle name="Normal 46 2 4 2 2" xfId="3326" xr:uid="{00000000-0005-0000-0000-0000A91E0000}"/>
    <cellStyle name="Normal 46 2 4 2 2 2" xfId="7841" xr:uid="{00000000-0005-0000-0000-0000AA1E0000}"/>
    <cellStyle name="Normal 46 2 4 2 2 2 2" xfId="16882" xr:uid="{00000000-0005-0000-0000-0000AB1E0000}"/>
    <cellStyle name="Normal 46 2 4 2 2 3" xfId="12369" xr:uid="{00000000-0005-0000-0000-0000AC1E0000}"/>
    <cellStyle name="Normal 46 2 4 2 3" xfId="6440" xr:uid="{00000000-0005-0000-0000-0000AD1E0000}"/>
    <cellStyle name="Normal 46 2 4 2 3 2" xfId="15481" xr:uid="{00000000-0005-0000-0000-0000AE1E0000}"/>
    <cellStyle name="Normal 46 2 4 2 4" xfId="10968" xr:uid="{00000000-0005-0000-0000-0000AF1E0000}"/>
    <cellStyle name="Normal 46 2 4 3" xfId="3325" xr:uid="{00000000-0005-0000-0000-0000B01E0000}"/>
    <cellStyle name="Normal 46 2 4 3 2" xfId="7840" xr:uid="{00000000-0005-0000-0000-0000B11E0000}"/>
    <cellStyle name="Normal 46 2 4 3 2 2" xfId="16881" xr:uid="{00000000-0005-0000-0000-0000B21E0000}"/>
    <cellStyle name="Normal 46 2 4 3 3" xfId="12368" xr:uid="{00000000-0005-0000-0000-0000B31E0000}"/>
    <cellStyle name="Normal 46 2 4 4" xfId="5312" xr:uid="{00000000-0005-0000-0000-0000B41E0000}"/>
    <cellStyle name="Normal 46 2 4 4 2" xfId="14353" xr:uid="{00000000-0005-0000-0000-0000B51E0000}"/>
    <cellStyle name="Normal 46 2 4 5" xfId="9840" xr:uid="{00000000-0005-0000-0000-0000B61E0000}"/>
    <cellStyle name="Normal 46 2 5" xfId="1353" xr:uid="{00000000-0005-0000-0000-0000B71E0000}"/>
    <cellStyle name="Normal 46 2 5 2" xfId="3327" xr:uid="{00000000-0005-0000-0000-0000B81E0000}"/>
    <cellStyle name="Normal 46 2 5 2 2" xfId="7842" xr:uid="{00000000-0005-0000-0000-0000B91E0000}"/>
    <cellStyle name="Normal 46 2 5 2 2 2" xfId="16883" xr:uid="{00000000-0005-0000-0000-0000BA1E0000}"/>
    <cellStyle name="Normal 46 2 5 2 3" xfId="12370" xr:uid="{00000000-0005-0000-0000-0000BB1E0000}"/>
    <cellStyle name="Normal 46 2 5 3" xfId="5876" xr:uid="{00000000-0005-0000-0000-0000BC1E0000}"/>
    <cellStyle name="Normal 46 2 5 3 2" xfId="14917" xr:uid="{00000000-0005-0000-0000-0000BD1E0000}"/>
    <cellStyle name="Normal 46 2 5 4" xfId="10404" xr:uid="{00000000-0005-0000-0000-0000BE1E0000}"/>
    <cellStyle name="Normal 46 2 6" xfId="3316" xr:uid="{00000000-0005-0000-0000-0000BF1E0000}"/>
    <cellStyle name="Normal 46 2 6 2" xfId="7831" xr:uid="{00000000-0005-0000-0000-0000C01E0000}"/>
    <cellStyle name="Normal 46 2 6 2 2" xfId="16872" xr:uid="{00000000-0005-0000-0000-0000C11E0000}"/>
    <cellStyle name="Normal 46 2 6 3" xfId="12359" xr:uid="{00000000-0005-0000-0000-0000C21E0000}"/>
    <cellStyle name="Normal 46 2 7" xfId="4748" xr:uid="{00000000-0005-0000-0000-0000C31E0000}"/>
    <cellStyle name="Normal 46 2 7 2" xfId="13789" xr:uid="{00000000-0005-0000-0000-0000C41E0000}"/>
    <cellStyle name="Normal 46 2 8" xfId="9276" xr:uid="{00000000-0005-0000-0000-0000C51E0000}"/>
    <cellStyle name="Normal 46 3" xfId="277" xr:uid="{00000000-0005-0000-0000-0000C61E0000}"/>
    <cellStyle name="Normal 46 3 2" xfId="841" xr:uid="{00000000-0005-0000-0000-0000C71E0000}"/>
    <cellStyle name="Normal 46 3 2 2" xfId="2011" xr:uid="{00000000-0005-0000-0000-0000C81E0000}"/>
    <cellStyle name="Normal 46 3 2 2 2" xfId="3330" xr:uid="{00000000-0005-0000-0000-0000C91E0000}"/>
    <cellStyle name="Normal 46 3 2 2 2 2" xfId="7845" xr:uid="{00000000-0005-0000-0000-0000CA1E0000}"/>
    <cellStyle name="Normal 46 3 2 2 2 2 2" xfId="16886" xr:uid="{00000000-0005-0000-0000-0000CB1E0000}"/>
    <cellStyle name="Normal 46 3 2 2 2 3" xfId="12373" xr:uid="{00000000-0005-0000-0000-0000CC1E0000}"/>
    <cellStyle name="Normal 46 3 2 2 3" xfId="6534" xr:uid="{00000000-0005-0000-0000-0000CD1E0000}"/>
    <cellStyle name="Normal 46 3 2 2 3 2" xfId="15575" xr:uid="{00000000-0005-0000-0000-0000CE1E0000}"/>
    <cellStyle name="Normal 46 3 2 2 4" xfId="11062" xr:uid="{00000000-0005-0000-0000-0000CF1E0000}"/>
    <cellStyle name="Normal 46 3 2 3" xfId="3329" xr:uid="{00000000-0005-0000-0000-0000D01E0000}"/>
    <cellStyle name="Normal 46 3 2 3 2" xfId="7844" xr:uid="{00000000-0005-0000-0000-0000D11E0000}"/>
    <cellStyle name="Normal 46 3 2 3 2 2" xfId="16885" xr:uid="{00000000-0005-0000-0000-0000D21E0000}"/>
    <cellStyle name="Normal 46 3 2 3 3" xfId="12372" xr:uid="{00000000-0005-0000-0000-0000D31E0000}"/>
    <cellStyle name="Normal 46 3 2 4" xfId="5406" xr:uid="{00000000-0005-0000-0000-0000D41E0000}"/>
    <cellStyle name="Normal 46 3 2 4 2" xfId="14447" xr:uid="{00000000-0005-0000-0000-0000D51E0000}"/>
    <cellStyle name="Normal 46 3 2 5" xfId="9934" xr:uid="{00000000-0005-0000-0000-0000D61E0000}"/>
    <cellStyle name="Normal 46 3 3" xfId="1447" xr:uid="{00000000-0005-0000-0000-0000D71E0000}"/>
    <cellStyle name="Normal 46 3 3 2" xfId="3331" xr:uid="{00000000-0005-0000-0000-0000D81E0000}"/>
    <cellStyle name="Normal 46 3 3 2 2" xfId="7846" xr:uid="{00000000-0005-0000-0000-0000D91E0000}"/>
    <cellStyle name="Normal 46 3 3 2 2 2" xfId="16887" xr:uid="{00000000-0005-0000-0000-0000DA1E0000}"/>
    <cellStyle name="Normal 46 3 3 2 3" xfId="12374" xr:uid="{00000000-0005-0000-0000-0000DB1E0000}"/>
    <cellStyle name="Normal 46 3 3 3" xfId="5970" xr:uid="{00000000-0005-0000-0000-0000DC1E0000}"/>
    <cellStyle name="Normal 46 3 3 3 2" xfId="15011" xr:uid="{00000000-0005-0000-0000-0000DD1E0000}"/>
    <cellStyle name="Normal 46 3 3 4" xfId="10498" xr:uid="{00000000-0005-0000-0000-0000DE1E0000}"/>
    <cellStyle name="Normal 46 3 4" xfId="3328" xr:uid="{00000000-0005-0000-0000-0000DF1E0000}"/>
    <cellStyle name="Normal 46 3 4 2" xfId="7843" xr:uid="{00000000-0005-0000-0000-0000E01E0000}"/>
    <cellStyle name="Normal 46 3 4 2 2" xfId="16884" xr:uid="{00000000-0005-0000-0000-0000E11E0000}"/>
    <cellStyle name="Normal 46 3 4 3" xfId="12371" xr:uid="{00000000-0005-0000-0000-0000E21E0000}"/>
    <cellStyle name="Normal 46 3 5" xfId="4842" xr:uid="{00000000-0005-0000-0000-0000E31E0000}"/>
    <cellStyle name="Normal 46 3 5 2" xfId="13883" xr:uid="{00000000-0005-0000-0000-0000E41E0000}"/>
    <cellStyle name="Normal 46 3 6" xfId="9370" xr:uid="{00000000-0005-0000-0000-0000E51E0000}"/>
    <cellStyle name="Normal 46 4" xfId="465" xr:uid="{00000000-0005-0000-0000-0000E61E0000}"/>
    <cellStyle name="Normal 46 4 2" xfId="1029" xr:uid="{00000000-0005-0000-0000-0000E71E0000}"/>
    <cellStyle name="Normal 46 4 2 2" xfId="2199" xr:uid="{00000000-0005-0000-0000-0000E81E0000}"/>
    <cellStyle name="Normal 46 4 2 2 2" xfId="3334" xr:uid="{00000000-0005-0000-0000-0000E91E0000}"/>
    <cellStyle name="Normal 46 4 2 2 2 2" xfId="7849" xr:uid="{00000000-0005-0000-0000-0000EA1E0000}"/>
    <cellStyle name="Normal 46 4 2 2 2 2 2" xfId="16890" xr:uid="{00000000-0005-0000-0000-0000EB1E0000}"/>
    <cellStyle name="Normal 46 4 2 2 2 3" xfId="12377" xr:uid="{00000000-0005-0000-0000-0000EC1E0000}"/>
    <cellStyle name="Normal 46 4 2 2 3" xfId="6722" xr:uid="{00000000-0005-0000-0000-0000ED1E0000}"/>
    <cellStyle name="Normal 46 4 2 2 3 2" xfId="15763" xr:uid="{00000000-0005-0000-0000-0000EE1E0000}"/>
    <cellStyle name="Normal 46 4 2 2 4" xfId="11250" xr:uid="{00000000-0005-0000-0000-0000EF1E0000}"/>
    <cellStyle name="Normal 46 4 2 3" xfId="3333" xr:uid="{00000000-0005-0000-0000-0000F01E0000}"/>
    <cellStyle name="Normal 46 4 2 3 2" xfId="7848" xr:uid="{00000000-0005-0000-0000-0000F11E0000}"/>
    <cellStyle name="Normal 46 4 2 3 2 2" xfId="16889" xr:uid="{00000000-0005-0000-0000-0000F21E0000}"/>
    <cellStyle name="Normal 46 4 2 3 3" xfId="12376" xr:uid="{00000000-0005-0000-0000-0000F31E0000}"/>
    <cellStyle name="Normal 46 4 2 4" xfId="5594" xr:uid="{00000000-0005-0000-0000-0000F41E0000}"/>
    <cellStyle name="Normal 46 4 2 4 2" xfId="14635" xr:uid="{00000000-0005-0000-0000-0000F51E0000}"/>
    <cellStyle name="Normal 46 4 2 5" xfId="10122" xr:uid="{00000000-0005-0000-0000-0000F61E0000}"/>
    <cellStyle name="Normal 46 4 3" xfId="1635" xr:uid="{00000000-0005-0000-0000-0000F71E0000}"/>
    <cellStyle name="Normal 46 4 3 2" xfId="3335" xr:uid="{00000000-0005-0000-0000-0000F81E0000}"/>
    <cellStyle name="Normal 46 4 3 2 2" xfId="7850" xr:uid="{00000000-0005-0000-0000-0000F91E0000}"/>
    <cellStyle name="Normal 46 4 3 2 2 2" xfId="16891" xr:uid="{00000000-0005-0000-0000-0000FA1E0000}"/>
    <cellStyle name="Normal 46 4 3 2 3" xfId="12378" xr:uid="{00000000-0005-0000-0000-0000FB1E0000}"/>
    <cellStyle name="Normal 46 4 3 3" xfId="6158" xr:uid="{00000000-0005-0000-0000-0000FC1E0000}"/>
    <cellStyle name="Normal 46 4 3 3 2" xfId="15199" xr:uid="{00000000-0005-0000-0000-0000FD1E0000}"/>
    <cellStyle name="Normal 46 4 3 4" xfId="10686" xr:uid="{00000000-0005-0000-0000-0000FE1E0000}"/>
    <cellStyle name="Normal 46 4 4" xfId="3332" xr:uid="{00000000-0005-0000-0000-0000FF1E0000}"/>
    <cellStyle name="Normal 46 4 4 2" xfId="7847" xr:uid="{00000000-0005-0000-0000-0000001F0000}"/>
    <cellStyle name="Normal 46 4 4 2 2" xfId="16888" xr:uid="{00000000-0005-0000-0000-0000011F0000}"/>
    <cellStyle name="Normal 46 4 4 3" xfId="12375" xr:uid="{00000000-0005-0000-0000-0000021F0000}"/>
    <cellStyle name="Normal 46 4 5" xfId="5030" xr:uid="{00000000-0005-0000-0000-0000031F0000}"/>
    <cellStyle name="Normal 46 4 5 2" xfId="14071" xr:uid="{00000000-0005-0000-0000-0000041F0000}"/>
    <cellStyle name="Normal 46 4 6" xfId="9558" xr:uid="{00000000-0005-0000-0000-0000051F0000}"/>
    <cellStyle name="Normal 46 5" xfId="653" xr:uid="{00000000-0005-0000-0000-0000061F0000}"/>
    <cellStyle name="Normal 46 5 2" xfId="1823" xr:uid="{00000000-0005-0000-0000-0000071F0000}"/>
    <cellStyle name="Normal 46 5 2 2" xfId="3337" xr:uid="{00000000-0005-0000-0000-0000081F0000}"/>
    <cellStyle name="Normal 46 5 2 2 2" xfId="7852" xr:uid="{00000000-0005-0000-0000-0000091F0000}"/>
    <cellStyle name="Normal 46 5 2 2 2 2" xfId="16893" xr:uid="{00000000-0005-0000-0000-00000A1F0000}"/>
    <cellStyle name="Normal 46 5 2 2 3" xfId="12380" xr:uid="{00000000-0005-0000-0000-00000B1F0000}"/>
    <cellStyle name="Normal 46 5 2 3" xfId="6346" xr:uid="{00000000-0005-0000-0000-00000C1F0000}"/>
    <cellStyle name="Normal 46 5 2 3 2" xfId="15387" xr:uid="{00000000-0005-0000-0000-00000D1F0000}"/>
    <cellStyle name="Normal 46 5 2 4" xfId="10874" xr:uid="{00000000-0005-0000-0000-00000E1F0000}"/>
    <cellStyle name="Normal 46 5 3" xfId="3336" xr:uid="{00000000-0005-0000-0000-00000F1F0000}"/>
    <cellStyle name="Normal 46 5 3 2" xfId="7851" xr:uid="{00000000-0005-0000-0000-0000101F0000}"/>
    <cellStyle name="Normal 46 5 3 2 2" xfId="16892" xr:uid="{00000000-0005-0000-0000-0000111F0000}"/>
    <cellStyle name="Normal 46 5 3 3" xfId="12379" xr:uid="{00000000-0005-0000-0000-0000121F0000}"/>
    <cellStyle name="Normal 46 5 4" xfId="5218" xr:uid="{00000000-0005-0000-0000-0000131F0000}"/>
    <cellStyle name="Normal 46 5 4 2" xfId="14259" xr:uid="{00000000-0005-0000-0000-0000141F0000}"/>
    <cellStyle name="Normal 46 5 5" xfId="9746" xr:uid="{00000000-0005-0000-0000-0000151F0000}"/>
    <cellStyle name="Normal 46 6" xfId="1259" xr:uid="{00000000-0005-0000-0000-0000161F0000}"/>
    <cellStyle name="Normal 46 6 2" xfId="3338" xr:uid="{00000000-0005-0000-0000-0000171F0000}"/>
    <cellStyle name="Normal 46 6 2 2" xfId="7853" xr:uid="{00000000-0005-0000-0000-0000181F0000}"/>
    <cellStyle name="Normal 46 6 2 2 2" xfId="16894" xr:uid="{00000000-0005-0000-0000-0000191F0000}"/>
    <cellStyle name="Normal 46 6 2 3" xfId="12381" xr:uid="{00000000-0005-0000-0000-00001A1F0000}"/>
    <cellStyle name="Normal 46 6 3" xfId="5782" xr:uid="{00000000-0005-0000-0000-00001B1F0000}"/>
    <cellStyle name="Normal 46 6 3 2" xfId="14823" xr:uid="{00000000-0005-0000-0000-00001C1F0000}"/>
    <cellStyle name="Normal 46 6 4" xfId="10310" xr:uid="{00000000-0005-0000-0000-00001D1F0000}"/>
    <cellStyle name="Normal 46 7" xfId="3315" xr:uid="{00000000-0005-0000-0000-00001E1F0000}"/>
    <cellStyle name="Normal 46 7 2" xfId="7830" xr:uid="{00000000-0005-0000-0000-00001F1F0000}"/>
    <cellStyle name="Normal 46 7 2 2" xfId="16871" xr:uid="{00000000-0005-0000-0000-0000201F0000}"/>
    <cellStyle name="Normal 46 7 3" xfId="12358" xr:uid="{00000000-0005-0000-0000-0000211F0000}"/>
    <cellStyle name="Normal 46 8" xfId="4654" xr:uid="{00000000-0005-0000-0000-0000221F0000}"/>
    <cellStyle name="Normal 46 8 2" xfId="13695" xr:uid="{00000000-0005-0000-0000-0000231F0000}"/>
    <cellStyle name="Normal 46 9" xfId="9182" xr:uid="{00000000-0005-0000-0000-0000241F0000}"/>
    <cellStyle name="Normal 47" xfId="47" xr:uid="{00000000-0005-0000-0000-0000251F0000}"/>
    <cellStyle name="Normal 47 2" xfId="143" xr:uid="{00000000-0005-0000-0000-0000261F0000}"/>
    <cellStyle name="Normal 47 2 2" xfId="372" xr:uid="{00000000-0005-0000-0000-0000271F0000}"/>
    <cellStyle name="Normal 47 2 2 2" xfId="936" xr:uid="{00000000-0005-0000-0000-0000281F0000}"/>
    <cellStyle name="Normal 47 2 2 2 2" xfId="2106" xr:uid="{00000000-0005-0000-0000-0000291F0000}"/>
    <cellStyle name="Normal 47 2 2 2 2 2" xfId="3343" xr:uid="{00000000-0005-0000-0000-00002A1F0000}"/>
    <cellStyle name="Normal 47 2 2 2 2 2 2" xfId="7858" xr:uid="{00000000-0005-0000-0000-00002B1F0000}"/>
    <cellStyle name="Normal 47 2 2 2 2 2 2 2" xfId="16899" xr:uid="{00000000-0005-0000-0000-00002C1F0000}"/>
    <cellStyle name="Normal 47 2 2 2 2 2 3" xfId="12386" xr:uid="{00000000-0005-0000-0000-00002D1F0000}"/>
    <cellStyle name="Normal 47 2 2 2 2 3" xfId="6629" xr:uid="{00000000-0005-0000-0000-00002E1F0000}"/>
    <cellStyle name="Normal 47 2 2 2 2 3 2" xfId="15670" xr:uid="{00000000-0005-0000-0000-00002F1F0000}"/>
    <cellStyle name="Normal 47 2 2 2 2 4" xfId="11157" xr:uid="{00000000-0005-0000-0000-0000301F0000}"/>
    <cellStyle name="Normal 47 2 2 2 3" xfId="3342" xr:uid="{00000000-0005-0000-0000-0000311F0000}"/>
    <cellStyle name="Normal 47 2 2 2 3 2" xfId="7857" xr:uid="{00000000-0005-0000-0000-0000321F0000}"/>
    <cellStyle name="Normal 47 2 2 2 3 2 2" xfId="16898" xr:uid="{00000000-0005-0000-0000-0000331F0000}"/>
    <cellStyle name="Normal 47 2 2 2 3 3" xfId="12385" xr:uid="{00000000-0005-0000-0000-0000341F0000}"/>
    <cellStyle name="Normal 47 2 2 2 4" xfId="5501" xr:uid="{00000000-0005-0000-0000-0000351F0000}"/>
    <cellStyle name="Normal 47 2 2 2 4 2" xfId="14542" xr:uid="{00000000-0005-0000-0000-0000361F0000}"/>
    <cellStyle name="Normal 47 2 2 2 5" xfId="10029" xr:uid="{00000000-0005-0000-0000-0000371F0000}"/>
    <cellStyle name="Normal 47 2 2 3" xfId="1542" xr:uid="{00000000-0005-0000-0000-0000381F0000}"/>
    <cellStyle name="Normal 47 2 2 3 2" xfId="3344" xr:uid="{00000000-0005-0000-0000-0000391F0000}"/>
    <cellStyle name="Normal 47 2 2 3 2 2" xfId="7859" xr:uid="{00000000-0005-0000-0000-00003A1F0000}"/>
    <cellStyle name="Normal 47 2 2 3 2 2 2" xfId="16900" xr:uid="{00000000-0005-0000-0000-00003B1F0000}"/>
    <cellStyle name="Normal 47 2 2 3 2 3" xfId="12387" xr:uid="{00000000-0005-0000-0000-00003C1F0000}"/>
    <cellStyle name="Normal 47 2 2 3 3" xfId="6065" xr:uid="{00000000-0005-0000-0000-00003D1F0000}"/>
    <cellStyle name="Normal 47 2 2 3 3 2" xfId="15106" xr:uid="{00000000-0005-0000-0000-00003E1F0000}"/>
    <cellStyle name="Normal 47 2 2 3 4" xfId="10593" xr:uid="{00000000-0005-0000-0000-00003F1F0000}"/>
    <cellStyle name="Normal 47 2 2 4" xfId="3341" xr:uid="{00000000-0005-0000-0000-0000401F0000}"/>
    <cellStyle name="Normal 47 2 2 4 2" xfId="7856" xr:uid="{00000000-0005-0000-0000-0000411F0000}"/>
    <cellStyle name="Normal 47 2 2 4 2 2" xfId="16897" xr:uid="{00000000-0005-0000-0000-0000421F0000}"/>
    <cellStyle name="Normal 47 2 2 4 3" xfId="12384" xr:uid="{00000000-0005-0000-0000-0000431F0000}"/>
    <cellStyle name="Normal 47 2 2 5" xfId="4937" xr:uid="{00000000-0005-0000-0000-0000441F0000}"/>
    <cellStyle name="Normal 47 2 2 5 2" xfId="13978" xr:uid="{00000000-0005-0000-0000-0000451F0000}"/>
    <cellStyle name="Normal 47 2 2 6" xfId="9465" xr:uid="{00000000-0005-0000-0000-0000461F0000}"/>
    <cellStyle name="Normal 47 2 3" xfId="560" xr:uid="{00000000-0005-0000-0000-0000471F0000}"/>
    <cellStyle name="Normal 47 2 3 2" xfId="1124" xr:uid="{00000000-0005-0000-0000-0000481F0000}"/>
    <cellStyle name="Normal 47 2 3 2 2" xfId="2294" xr:uid="{00000000-0005-0000-0000-0000491F0000}"/>
    <cellStyle name="Normal 47 2 3 2 2 2" xfId="3347" xr:uid="{00000000-0005-0000-0000-00004A1F0000}"/>
    <cellStyle name="Normal 47 2 3 2 2 2 2" xfId="7862" xr:uid="{00000000-0005-0000-0000-00004B1F0000}"/>
    <cellStyle name="Normal 47 2 3 2 2 2 2 2" xfId="16903" xr:uid="{00000000-0005-0000-0000-00004C1F0000}"/>
    <cellStyle name="Normal 47 2 3 2 2 2 3" xfId="12390" xr:uid="{00000000-0005-0000-0000-00004D1F0000}"/>
    <cellStyle name="Normal 47 2 3 2 2 3" xfId="6817" xr:uid="{00000000-0005-0000-0000-00004E1F0000}"/>
    <cellStyle name="Normal 47 2 3 2 2 3 2" xfId="15858" xr:uid="{00000000-0005-0000-0000-00004F1F0000}"/>
    <cellStyle name="Normal 47 2 3 2 2 4" xfId="11345" xr:uid="{00000000-0005-0000-0000-0000501F0000}"/>
    <cellStyle name="Normal 47 2 3 2 3" xfId="3346" xr:uid="{00000000-0005-0000-0000-0000511F0000}"/>
    <cellStyle name="Normal 47 2 3 2 3 2" xfId="7861" xr:uid="{00000000-0005-0000-0000-0000521F0000}"/>
    <cellStyle name="Normal 47 2 3 2 3 2 2" xfId="16902" xr:uid="{00000000-0005-0000-0000-0000531F0000}"/>
    <cellStyle name="Normal 47 2 3 2 3 3" xfId="12389" xr:uid="{00000000-0005-0000-0000-0000541F0000}"/>
    <cellStyle name="Normal 47 2 3 2 4" xfId="5689" xr:uid="{00000000-0005-0000-0000-0000551F0000}"/>
    <cellStyle name="Normal 47 2 3 2 4 2" xfId="14730" xr:uid="{00000000-0005-0000-0000-0000561F0000}"/>
    <cellStyle name="Normal 47 2 3 2 5" xfId="10217" xr:uid="{00000000-0005-0000-0000-0000571F0000}"/>
    <cellStyle name="Normal 47 2 3 3" xfId="1730" xr:uid="{00000000-0005-0000-0000-0000581F0000}"/>
    <cellStyle name="Normal 47 2 3 3 2" xfId="3348" xr:uid="{00000000-0005-0000-0000-0000591F0000}"/>
    <cellStyle name="Normal 47 2 3 3 2 2" xfId="7863" xr:uid="{00000000-0005-0000-0000-00005A1F0000}"/>
    <cellStyle name="Normal 47 2 3 3 2 2 2" xfId="16904" xr:uid="{00000000-0005-0000-0000-00005B1F0000}"/>
    <cellStyle name="Normal 47 2 3 3 2 3" xfId="12391" xr:uid="{00000000-0005-0000-0000-00005C1F0000}"/>
    <cellStyle name="Normal 47 2 3 3 3" xfId="6253" xr:uid="{00000000-0005-0000-0000-00005D1F0000}"/>
    <cellStyle name="Normal 47 2 3 3 3 2" xfId="15294" xr:uid="{00000000-0005-0000-0000-00005E1F0000}"/>
    <cellStyle name="Normal 47 2 3 3 4" xfId="10781" xr:uid="{00000000-0005-0000-0000-00005F1F0000}"/>
    <cellStyle name="Normal 47 2 3 4" xfId="3345" xr:uid="{00000000-0005-0000-0000-0000601F0000}"/>
    <cellStyle name="Normal 47 2 3 4 2" xfId="7860" xr:uid="{00000000-0005-0000-0000-0000611F0000}"/>
    <cellStyle name="Normal 47 2 3 4 2 2" xfId="16901" xr:uid="{00000000-0005-0000-0000-0000621F0000}"/>
    <cellStyle name="Normal 47 2 3 4 3" xfId="12388" xr:uid="{00000000-0005-0000-0000-0000631F0000}"/>
    <cellStyle name="Normal 47 2 3 5" xfId="5125" xr:uid="{00000000-0005-0000-0000-0000641F0000}"/>
    <cellStyle name="Normal 47 2 3 5 2" xfId="14166" xr:uid="{00000000-0005-0000-0000-0000651F0000}"/>
    <cellStyle name="Normal 47 2 3 6" xfId="9653" xr:uid="{00000000-0005-0000-0000-0000661F0000}"/>
    <cellStyle name="Normal 47 2 4" xfId="748" xr:uid="{00000000-0005-0000-0000-0000671F0000}"/>
    <cellStyle name="Normal 47 2 4 2" xfId="1918" xr:uid="{00000000-0005-0000-0000-0000681F0000}"/>
    <cellStyle name="Normal 47 2 4 2 2" xfId="3350" xr:uid="{00000000-0005-0000-0000-0000691F0000}"/>
    <cellStyle name="Normal 47 2 4 2 2 2" xfId="7865" xr:uid="{00000000-0005-0000-0000-00006A1F0000}"/>
    <cellStyle name="Normal 47 2 4 2 2 2 2" xfId="16906" xr:uid="{00000000-0005-0000-0000-00006B1F0000}"/>
    <cellStyle name="Normal 47 2 4 2 2 3" xfId="12393" xr:uid="{00000000-0005-0000-0000-00006C1F0000}"/>
    <cellStyle name="Normal 47 2 4 2 3" xfId="6441" xr:uid="{00000000-0005-0000-0000-00006D1F0000}"/>
    <cellStyle name="Normal 47 2 4 2 3 2" xfId="15482" xr:uid="{00000000-0005-0000-0000-00006E1F0000}"/>
    <cellStyle name="Normal 47 2 4 2 4" xfId="10969" xr:uid="{00000000-0005-0000-0000-00006F1F0000}"/>
    <cellStyle name="Normal 47 2 4 3" xfId="3349" xr:uid="{00000000-0005-0000-0000-0000701F0000}"/>
    <cellStyle name="Normal 47 2 4 3 2" xfId="7864" xr:uid="{00000000-0005-0000-0000-0000711F0000}"/>
    <cellStyle name="Normal 47 2 4 3 2 2" xfId="16905" xr:uid="{00000000-0005-0000-0000-0000721F0000}"/>
    <cellStyle name="Normal 47 2 4 3 3" xfId="12392" xr:uid="{00000000-0005-0000-0000-0000731F0000}"/>
    <cellStyle name="Normal 47 2 4 4" xfId="5313" xr:uid="{00000000-0005-0000-0000-0000741F0000}"/>
    <cellStyle name="Normal 47 2 4 4 2" xfId="14354" xr:uid="{00000000-0005-0000-0000-0000751F0000}"/>
    <cellStyle name="Normal 47 2 4 5" xfId="9841" xr:uid="{00000000-0005-0000-0000-0000761F0000}"/>
    <cellStyle name="Normal 47 2 5" xfId="1354" xr:uid="{00000000-0005-0000-0000-0000771F0000}"/>
    <cellStyle name="Normal 47 2 5 2" xfId="3351" xr:uid="{00000000-0005-0000-0000-0000781F0000}"/>
    <cellStyle name="Normal 47 2 5 2 2" xfId="7866" xr:uid="{00000000-0005-0000-0000-0000791F0000}"/>
    <cellStyle name="Normal 47 2 5 2 2 2" xfId="16907" xr:uid="{00000000-0005-0000-0000-00007A1F0000}"/>
    <cellStyle name="Normal 47 2 5 2 3" xfId="12394" xr:uid="{00000000-0005-0000-0000-00007B1F0000}"/>
    <cellStyle name="Normal 47 2 5 3" xfId="5877" xr:uid="{00000000-0005-0000-0000-00007C1F0000}"/>
    <cellStyle name="Normal 47 2 5 3 2" xfId="14918" xr:uid="{00000000-0005-0000-0000-00007D1F0000}"/>
    <cellStyle name="Normal 47 2 5 4" xfId="10405" xr:uid="{00000000-0005-0000-0000-00007E1F0000}"/>
    <cellStyle name="Normal 47 2 6" xfId="3340" xr:uid="{00000000-0005-0000-0000-00007F1F0000}"/>
    <cellStyle name="Normal 47 2 6 2" xfId="7855" xr:uid="{00000000-0005-0000-0000-0000801F0000}"/>
    <cellStyle name="Normal 47 2 6 2 2" xfId="16896" xr:uid="{00000000-0005-0000-0000-0000811F0000}"/>
    <cellStyle name="Normal 47 2 6 3" xfId="12383" xr:uid="{00000000-0005-0000-0000-0000821F0000}"/>
    <cellStyle name="Normal 47 2 7" xfId="4749" xr:uid="{00000000-0005-0000-0000-0000831F0000}"/>
    <cellStyle name="Normal 47 2 7 2" xfId="13790" xr:uid="{00000000-0005-0000-0000-0000841F0000}"/>
    <cellStyle name="Normal 47 2 8" xfId="9277" xr:uid="{00000000-0005-0000-0000-0000851F0000}"/>
    <cellStyle name="Normal 47 3" xfId="278" xr:uid="{00000000-0005-0000-0000-0000861F0000}"/>
    <cellStyle name="Normal 47 3 2" xfId="842" xr:uid="{00000000-0005-0000-0000-0000871F0000}"/>
    <cellStyle name="Normal 47 3 2 2" xfId="2012" xr:uid="{00000000-0005-0000-0000-0000881F0000}"/>
    <cellStyle name="Normal 47 3 2 2 2" xfId="3354" xr:uid="{00000000-0005-0000-0000-0000891F0000}"/>
    <cellStyle name="Normal 47 3 2 2 2 2" xfId="7869" xr:uid="{00000000-0005-0000-0000-00008A1F0000}"/>
    <cellStyle name="Normal 47 3 2 2 2 2 2" xfId="16910" xr:uid="{00000000-0005-0000-0000-00008B1F0000}"/>
    <cellStyle name="Normal 47 3 2 2 2 3" xfId="12397" xr:uid="{00000000-0005-0000-0000-00008C1F0000}"/>
    <cellStyle name="Normal 47 3 2 2 3" xfId="6535" xr:uid="{00000000-0005-0000-0000-00008D1F0000}"/>
    <cellStyle name="Normal 47 3 2 2 3 2" xfId="15576" xr:uid="{00000000-0005-0000-0000-00008E1F0000}"/>
    <cellStyle name="Normal 47 3 2 2 4" xfId="11063" xr:uid="{00000000-0005-0000-0000-00008F1F0000}"/>
    <cellStyle name="Normal 47 3 2 3" xfId="3353" xr:uid="{00000000-0005-0000-0000-0000901F0000}"/>
    <cellStyle name="Normal 47 3 2 3 2" xfId="7868" xr:uid="{00000000-0005-0000-0000-0000911F0000}"/>
    <cellStyle name="Normal 47 3 2 3 2 2" xfId="16909" xr:uid="{00000000-0005-0000-0000-0000921F0000}"/>
    <cellStyle name="Normal 47 3 2 3 3" xfId="12396" xr:uid="{00000000-0005-0000-0000-0000931F0000}"/>
    <cellStyle name="Normal 47 3 2 4" xfId="5407" xr:uid="{00000000-0005-0000-0000-0000941F0000}"/>
    <cellStyle name="Normal 47 3 2 4 2" xfId="14448" xr:uid="{00000000-0005-0000-0000-0000951F0000}"/>
    <cellStyle name="Normal 47 3 2 5" xfId="9935" xr:uid="{00000000-0005-0000-0000-0000961F0000}"/>
    <cellStyle name="Normal 47 3 3" xfId="1448" xr:uid="{00000000-0005-0000-0000-0000971F0000}"/>
    <cellStyle name="Normal 47 3 3 2" xfId="3355" xr:uid="{00000000-0005-0000-0000-0000981F0000}"/>
    <cellStyle name="Normal 47 3 3 2 2" xfId="7870" xr:uid="{00000000-0005-0000-0000-0000991F0000}"/>
    <cellStyle name="Normal 47 3 3 2 2 2" xfId="16911" xr:uid="{00000000-0005-0000-0000-00009A1F0000}"/>
    <cellStyle name="Normal 47 3 3 2 3" xfId="12398" xr:uid="{00000000-0005-0000-0000-00009B1F0000}"/>
    <cellStyle name="Normal 47 3 3 3" xfId="5971" xr:uid="{00000000-0005-0000-0000-00009C1F0000}"/>
    <cellStyle name="Normal 47 3 3 3 2" xfId="15012" xr:uid="{00000000-0005-0000-0000-00009D1F0000}"/>
    <cellStyle name="Normal 47 3 3 4" xfId="10499" xr:uid="{00000000-0005-0000-0000-00009E1F0000}"/>
    <cellStyle name="Normal 47 3 4" xfId="3352" xr:uid="{00000000-0005-0000-0000-00009F1F0000}"/>
    <cellStyle name="Normal 47 3 4 2" xfId="7867" xr:uid="{00000000-0005-0000-0000-0000A01F0000}"/>
    <cellStyle name="Normal 47 3 4 2 2" xfId="16908" xr:uid="{00000000-0005-0000-0000-0000A11F0000}"/>
    <cellStyle name="Normal 47 3 4 3" xfId="12395" xr:uid="{00000000-0005-0000-0000-0000A21F0000}"/>
    <cellStyle name="Normal 47 3 5" xfId="4843" xr:uid="{00000000-0005-0000-0000-0000A31F0000}"/>
    <cellStyle name="Normal 47 3 5 2" xfId="13884" xr:uid="{00000000-0005-0000-0000-0000A41F0000}"/>
    <cellStyle name="Normal 47 3 6" xfId="9371" xr:uid="{00000000-0005-0000-0000-0000A51F0000}"/>
    <cellStyle name="Normal 47 4" xfId="466" xr:uid="{00000000-0005-0000-0000-0000A61F0000}"/>
    <cellStyle name="Normal 47 4 2" xfId="1030" xr:uid="{00000000-0005-0000-0000-0000A71F0000}"/>
    <cellStyle name="Normal 47 4 2 2" xfId="2200" xr:uid="{00000000-0005-0000-0000-0000A81F0000}"/>
    <cellStyle name="Normal 47 4 2 2 2" xfId="3358" xr:uid="{00000000-0005-0000-0000-0000A91F0000}"/>
    <cellStyle name="Normal 47 4 2 2 2 2" xfId="7873" xr:uid="{00000000-0005-0000-0000-0000AA1F0000}"/>
    <cellStyle name="Normal 47 4 2 2 2 2 2" xfId="16914" xr:uid="{00000000-0005-0000-0000-0000AB1F0000}"/>
    <cellStyle name="Normal 47 4 2 2 2 3" xfId="12401" xr:uid="{00000000-0005-0000-0000-0000AC1F0000}"/>
    <cellStyle name="Normal 47 4 2 2 3" xfId="6723" xr:uid="{00000000-0005-0000-0000-0000AD1F0000}"/>
    <cellStyle name="Normal 47 4 2 2 3 2" xfId="15764" xr:uid="{00000000-0005-0000-0000-0000AE1F0000}"/>
    <cellStyle name="Normal 47 4 2 2 4" xfId="11251" xr:uid="{00000000-0005-0000-0000-0000AF1F0000}"/>
    <cellStyle name="Normal 47 4 2 3" xfId="3357" xr:uid="{00000000-0005-0000-0000-0000B01F0000}"/>
    <cellStyle name="Normal 47 4 2 3 2" xfId="7872" xr:uid="{00000000-0005-0000-0000-0000B11F0000}"/>
    <cellStyle name="Normal 47 4 2 3 2 2" xfId="16913" xr:uid="{00000000-0005-0000-0000-0000B21F0000}"/>
    <cellStyle name="Normal 47 4 2 3 3" xfId="12400" xr:uid="{00000000-0005-0000-0000-0000B31F0000}"/>
    <cellStyle name="Normal 47 4 2 4" xfId="5595" xr:uid="{00000000-0005-0000-0000-0000B41F0000}"/>
    <cellStyle name="Normal 47 4 2 4 2" xfId="14636" xr:uid="{00000000-0005-0000-0000-0000B51F0000}"/>
    <cellStyle name="Normal 47 4 2 5" xfId="10123" xr:uid="{00000000-0005-0000-0000-0000B61F0000}"/>
    <cellStyle name="Normal 47 4 3" xfId="1636" xr:uid="{00000000-0005-0000-0000-0000B71F0000}"/>
    <cellStyle name="Normal 47 4 3 2" xfId="3359" xr:uid="{00000000-0005-0000-0000-0000B81F0000}"/>
    <cellStyle name="Normal 47 4 3 2 2" xfId="7874" xr:uid="{00000000-0005-0000-0000-0000B91F0000}"/>
    <cellStyle name="Normal 47 4 3 2 2 2" xfId="16915" xr:uid="{00000000-0005-0000-0000-0000BA1F0000}"/>
    <cellStyle name="Normal 47 4 3 2 3" xfId="12402" xr:uid="{00000000-0005-0000-0000-0000BB1F0000}"/>
    <cellStyle name="Normal 47 4 3 3" xfId="6159" xr:uid="{00000000-0005-0000-0000-0000BC1F0000}"/>
    <cellStyle name="Normal 47 4 3 3 2" xfId="15200" xr:uid="{00000000-0005-0000-0000-0000BD1F0000}"/>
    <cellStyle name="Normal 47 4 3 4" xfId="10687" xr:uid="{00000000-0005-0000-0000-0000BE1F0000}"/>
    <cellStyle name="Normal 47 4 4" xfId="3356" xr:uid="{00000000-0005-0000-0000-0000BF1F0000}"/>
    <cellStyle name="Normal 47 4 4 2" xfId="7871" xr:uid="{00000000-0005-0000-0000-0000C01F0000}"/>
    <cellStyle name="Normal 47 4 4 2 2" xfId="16912" xr:uid="{00000000-0005-0000-0000-0000C11F0000}"/>
    <cellStyle name="Normal 47 4 4 3" xfId="12399" xr:uid="{00000000-0005-0000-0000-0000C21F0000}"/>
    <cellStyle name="Normal 47 4 5" xfId="5031" xr:uid="{00000000-0005-0000-0000-0000C31F0000}"/>
    <cellStyle name="Normal 47 4 5 2" xfId="14072" xr:uid="{00000000-0005-0000-0000-0000C41F0000}"/>
    <cellStyle name="Normal 47 4 6" xfId="9559" xr:uid="{00000000-0005-0000-0000-0000C51F0000}"/>
    <cellStyle name="Normal 47 5" xfId="654" xr:uid="{00000000-0005-0000-0000-0000C61F0000}"/>
    <cellStyle name="Normal 47 5 2" xfId="1824" xr:uid="{00000000-0005-0000-0000-0000C71F0000}"/>
    <cellStyle name="Normal 47 5 2 2" xfId="3361" xr:uid="{00000000-0005-0000-0000-0000C81F0000}"/>
    <cellStyle name="Normal 47 5 2 2 2" xfId="7876" xr:uid="{00000000-0005-0000-0000-0000C91F0000}"/>
    <cellStyle name="Normal 47 5 2 2 2 2" xfId="16917" xr:uid="{00000000-0005-0000-0000-0000CA1F0000}"/>
    <cellStyle name="Normal 47 5 2 2 3" xfId="12404" xr:uid="{00000000-0005-0000-0000-0000CB1F0000}"/>
    <cellStyle name="Normal 47 5 2 3" xfId="6347" xr:uid="{00000000-0005-0000-0000-0000CC1F0000}"/>
    <cellStyle name="Normal 47 5 2 3 2" xfId="15388" xr:uid="{00000000-0005-0000-0000-0000CD1F0000}"/>
    <cellStyle name="Normal 47 5 2 4" xfId="10875" xr:uid="{00000000-0005-0000-0000-0000CE1F0000}"/>
    <cellStyle name="Normal 47 5 3" xfId="3360" xr:uid="{00000000-0005-0000-0000-0000CF1F0000}"/>
    <cellStyle name="Normal 47 5 3 2" xfId="7875" xr:uid="{00000000-0005-0000-0000-0000D01F0000}"/>
    <cellStyle name="Normal 47 5 3 2 2" xfId="16916" xr:uid="{00000000-0005-0000-0000-0000D11F0000}"/>
    <cellStyle name="Normal 47 5 3 3" xfId="12403" xr:uid="{00000000-0005-0000-0000-0000D21F0000}"/>
    <cellStyle name="Normal 47 5 4" xfId="5219" xr:uid="{00000000-0005-0000-0000-0000D31F0000}"/>
    <cellStyle name="Normal 47 5 4 2" xfId="14260" xr:uid="{00000000-0005-0000-0000-0000D41F0000}"/>
    <cellStyle name="Normal 47 5 5" xfId="9747" xr:uid="{00000000-0005-0000-0000-0000D51F0000}"/>
    <cellStyle name="Normal 47 6" xfId="1260" xr:uid="{00000000-0005-0000-0000-0000D61F0000}"/>
    <cellStyle name="Normal 47 6 2" xfId="3362" xr:uid="{00000000-0005-0000-0000-0000D71F0000}"/>
    <cellStyle name="Normal 47 6 2 2" xfId="7877" xr:uid="{00000000-0005-0000-0000-0000D81F0000}"/>
    <cellStyle name="Normal 47 6 2 2 2" xfId="16918" xr:uid="{00000000-0005-0000-0000-0000D91F0000}"/>
    <cellStyle name="Normal 47 6 2 3" xfId="12405" xr:uid="{00000000-0005-0000-0000-0000DA1F0000}"/>
    <cellStyle name="Normal 47 6 3" xfId="5783" xr:uid="{00000000-0005-0000-0000-0000DB1F0000}"/>
    <cellStyle name="Normal 47 6 3 2" xfId="14824" xr:uid="{00000000-0005-0000-0000-0000DC1F0000}"/>
    <cellStyle name="Normal 47 6 4" xfId="10311" xr:uid="{00000000-0005-0000-0000-0000DD1F0000}"/>
    <cellStyle name="Normal 47 7" xfId="3339" xr:uid="{00000000-0005-0000-0000-0000DE1F0000}"/>
    <cellStyle name="Normal 47 7 2" xfId="7854" xr:uid="{00000000-0005-0000-0000-0000DF1F0000}"/>
    <cellStyle name="Normal 47 7 2 2" xfId="16895" xr:uid="{00000000-0005-0000-0000-0000E01F0000}"/>
    <cellStyle name="Normal 47 7 3" xfId="12382" xr:uid="{00000000-0005-0000-0000-0000E11F0000}"/>
    <cellStyle name="Normal 47 8" xfId="4655" xr:uid="{00000000-0005-0000-0000-0000E21F0000}"/>
    <cellStyle name="Normal 47 8 2" xfId="13696" xr:uid="{00000000-0005-0000-0000-0000E31F0000}"/>
    <cellStyle name="Normal 47 9" xfId="9183" xr:uid="{00000000-0005-0000-0000-0000E41F0000}"/>
    <cellStyle name="Normal 48" xfId="48" xr:uid="{00000000-0005-0000-0000-0000E51F0000}"/>
    <cellStyle name="Normal 48 2" xfId="144" xr:uid="{00000000-0005-0000-0000-0000E61F0000}"/>
    <cellStyle name="Normal 48 2 2" xfId="373" xr:uid="{00000000-0005-0000-0000-0000E71F0000}"/>
    <cellStyle name="Normal 48 2 2 2" xfId="937" xr:uid="{00000000-0005-0000-0000-0000E81F0000}"/>
    <cellStyle name="Normal 48 2 2 2 2" xfId="2107" xr:uid="{00000000-0005-0000-0000-0000E91F0000}"/>
    <cellStyle name="Normal 48 2 2 2 2 2" xfId="3367" xr:uid="{00000000-0005-0000-0000-0000EA1F0000}"/>
    <cellStyle name="Normal 48 2 2 2 2 2 2" xfId="7882" xr:uid="{00000000-0005-0000-0000-0000EB1F0000}"/>
    <cellStyle name="Normal 48 2 2 2 2 2 2 2" xfId="16923" xr:uid="{00000000-0005-0000-0000-0000EC1F0000}"/>
    <cellStyle name="Normal 48 2 2 2 2 2 3" xfId="12410" xr:uid="{00000000-0005-0000-0000-0000ED1F0000}"/>
    <cellStyle name="Normal 48 2 2 2 2 3" xfId="6630" xr:uid="{00000000-0005-0000-0000-0000EE1F0000}"/>
    <cellStyle name="Normal 48 2 2 2 2 3 2" xfId="15671" xr:uid="{00000000-0005-0000-0000-0000EF1F0000}"/>
    <cellStyle name="Normal 48 2 2 2 2 4" xfId="11158" xr:uid="{00000000-0005-0000-0000-0000F01F0000}"/>
    <cellStyle name="Normal 48 2 2 2 3" xfId="3366" xr:uid="{00000000-0005-0000-0000-0000F11F0000}"/>
    <cellStyle name="Normal 48 2 2 2 3 2" xfId="7881" xr:uid="{00000000-0005-0000-0000-0000F21F0000}"/>
    <cellStyle name="Normal 48 2 2 2 3 2 2" xfId="16922" xr:uid="{00000000-0005-0000-0000-0000F31F0000}"/>
    <cellStyle name="Normal 48 2 2 2 3 3" xfId="12409" xr:uid="{00000000-0005-0000-0000-0000F41F0000}"/>
    <cellStyle name="Normal 48 2 2 2 4" xfId="5502" xr:uid="{00000000-0005-0000-0000-0000F51F0000}"/>
    <cellStyle name="Normal 48 2 2 2 4 2" xfId="14543" xr:uid="{00000000-0005-0000-0000-0000F61F0000}"/>
    <cellStyle name="Normal 48 2 2 2 5" xfId="10030" xr:uid="{00000000-0005-0000-0000-0000F71F0000}"/>
    <cellStyle name="Normal 48 2 2 3" xfId="1543" xr:uid="{00000000-0005-0000-0000-0000F81F0000}"/>
    <cellStyle name="Normal 48 2 2 3 2" xfId="3368" xr:uid="{00000000-0005-0000-0000-0000F91F0000}"/>
    <cellStyle name="Normal 48 2 2 3 2 2" xfId="7883" xr:uid="{00000000-0005-0000-0000-0000FA1F0000}"/>
    <cellStyle name="Normal 48 2 2 3 2 2 2" xfId="16924" xr:uid="{00000000-0005-0000-0000-0000FB1F0000}"/>
    <cellStyle name="Normal 48 2 2 3 2 3" xfId="12411" xr:uid="{00000000-0005-0000-0000-0000FC1F0000}"/>
    <cellStyle name="Normal 48 2 2 3 3" xfId="6066" xr:uid="{00000000-0005-0000-0000-0000FD1F0000}"/>
    <cellStyle name="Normal 48 2 2 3 3 2" xfId="15107" xr:uid="{00000000-0005-0000-0000-0000FE1F0000}"/>
    <cellStyle name="Normal 48 2 2 3 4" xfId="10594" xr:uid="{00000000-0005-0000-0000-0000FF1F0000}"/>
    <cellStyle name="Normal 48 2 2 4" xfId="3365" xr:uid="{00000000-0005-0000-0000-000000200000}"/>
    <cellStyle name="Normal 48 2 2 4 2" xfId="7880" xr:uid="{00000000-0005-0000-0000-000001200000}"/>
    <cellStyle name="Normal 48 2 2 4 2 2" xfId="16921" xr:uid="{00000000-0005-0000-0000-000002200000}"/>
    <cellStyle name="Normal 48 2 2 4 3" xfId="12408" xr:uid="{00000000-0005-0000-0000-000003200000}"/>
    <cellStyle name="Normal 48 2 2 5" xfId="4938" xr:uid="{00000000-0005-0000-0000-000004200000}"/>
    <cellStyle name="Normal 48 2 2 5 2" xfId="13979" xr:uid="{00000000-0005-0000-0000-000005200000}"/>
    <cellStyle name="Normal 48 2 2 6" xfId="9466" xr:uid="{00000000-0005-0000-0000-000006200000}"/>
    <cellStyle name="Normal 48 2 3" xfId="561" xr:uid="{00000000-0005-0000-0000-000007200000}"/>
    <cellStyle name="Normal 48 2 3 2" xfId="1125" xr:uid="{00000000-0005-0000-0000-000008200000}"/>
    <cellStyle name="Normal 48 2 3 2 2" xfId="2295" xr:uid="{00000000-0005-0000-0000-000009200000}"/>
    <cellStyle name="Normal 48 2 3 2 2 2" xfId="3371" xr:uid="{00000000-0005-0000-0000-00000A200000}"/>
    <cellStyle name="Normal 48 2 3 2 2 2 2" xfId="7886" xr:uid="{00000000-0005-0000-0000-00000B200000}"/>
    <cellStyle name="Normal 48 2 3 2 2 2 2 2" xfId="16927" xr:uid="{00000000-0005-0000-0000-00000C200000}"/>
    <cellStyle name="Normal 48 2 3 2 2 2 3" xfId="12414" xr:uid="{00000000-0005-0000-0000-00000D200000}"/>
    <cellStyle name="Normal 48 2 3 2 2 3" xfId="6818" xr:uid="{00000000-0005-0000-0000-00000E200000}"/>
    <cellStyle name="Normal 48 2 3 2 2 3 2" xfId="15859" xr:uid="{00000000-0005-0000-0000-00000F200000}"/>
    <cellStyle name="Normal 48 2 3 2 2 4" xfId="11346" xr:uid="{00000000-0005-0000-0000-000010200000}"/>
    <cellStyle name="Normal 48 2 3 2 3" xfId="3370" xr:uid="{00000000-0005-0000-0000-000011200000}"/>
    <cellStyle name="Normal 48 2 3 2 3 2" xfId="7885" xr:uid="{00000000-0005-0000-0000-000012200000}"/>
    <cellStyle name="Normal 48 2 3 2 3 2 2" xfId="16926" xr:uid="{00000000-0005-0000-0000-000013200000}"/>
    <cellStyle name="Normal 48 2 3 2 3 3" xfId="12413" xr:uid="{00000000-0005-0000-0000-000014200000}"/>
    <cellStyle name="Normal 48 2 3 2 4" xfId="5690" xr:uid="{00000000-0005-0000-0000-000015200000}"/>
    <cellStyle name="Normal 48 2 3 2 4 2" xfId="14731" xr:uid="{00000000-0005-0000-0000-000016200000}"/>
    <cellStyle name="Normal 48 2 3 2 5" xfId="10218" xr:uid="{00000000-0005-0000-0000-000017200000}"/>
    <cellStyle name="Normal 48 2 3 3" xfId="1731" xr:uid="{00000000-0005-0000-0000-000018200000}"/>
    <cellStyle name="Normal 48 2 3 3 2" xfId="3372" xr:uid="{00000000-0005-0000-0000-000019200000}"/>
    <cellStyle name="Normal 48 2 3 3 2 2" xfId="7887" xr:uid="{00000000-0005-0000-0000-00001A200000}"/>
    <cellStyle name="Normal 48 2 3 3 2 2 2" xfId="16928" xr:uid="{00000000-0005-0000-0000-00001B200000}"/>
    <cellStyle name="Normal 48 2 3 3 2 3" xfId="12415" xr:uid="{00000000-0005-0000-0000-00001C200000}"/>
    <cellStyle name="Normal 48 2 3 3 3" xfId="6254" xr:uid="{00000000-0005-0000-0000-00001D200000}"/>
    <cellStyle name="Normal 48 2 3 3 3 2" xfId="15295" xr:uid="{00000000-0005-0000-0000-00001E200000}"/>
    <cellStyle name="Normal 48 2 3 3 4" xfId="10782" xr:uid="{00000000-0005-0000-0000-00001F200000}"/>
    <cellStyle name="Normal 48 2 3 4" xfId="3369" xr:uid="{00000000-0005-0000-0000-000020200000}"/>
    <cellStyle name="Normal 48 2 3 4 2" xfId="7884" xr:uid="{00000000-0005-0000-0000-000021200000}"/>
    <cellStyle name="Normal 48 2 3 4 2 2" xfId="16925" xr:uid="{00000000-0005-0000-0000-000022200000}"/>
    <cellStyle name="Normal 48 2 3 4 3" xfId="12412" xr:uid="{00000000-0005-0000-0000-000023200000}"/>
    <cellStyle name="Normal 48 2 3 5" xfId="5126" xr:uid="{00000000-0005-0000-0000-000024200000}"/>
    <cellStyle name="Normal 48 2 3 5 2" xfId="14167" xr:uid="{00000000-0005-0000-0000-000025200000}"/>
    <cellStyle name="Normal 48 2 3 6" xfId="9654" xr:uid="{00000000-0005-0000-0000-000026200000}"/>
    <cellStyle name="Normal 48 2 4" xfId="749" xr:uid="{00000000-0005-0000-0000-000027200000}"/>
    <cellStyle name="Normal 48 2 4 2" xfId="1919" xr:uid="{00000000-0005-0000-0000-000028200000}"/>
    <cellStyle name="Normal 48 2 4 2 2" xfId="3374" xr:uid="{00000000-0005-0000-0000-000029200000}"/>
    <cellStyle name="Normal 48 2 4 2 2 2" xfId="7889" xr:uid="{00000000-0005-0000-0000-00002A200000}"/>
    <cellStyle name="Normal 48 2 4 2 2 2 2" xfId="16930" xr:uid="{00000000-0005-0000-0000-00002B200000}"/>
    <cellStyle name="Normal 48 2 4 2 2 3" xfId="12417" xr:uid="{00000000-0005-0000-0000-00002C200000}"/>
    <cellStyle name="Normal 48 2 4 2 3" xfId="6442" xr:uid="{00000000-0005-0000-0000-00002D200000}"/>
    <cellStyle name="Normal 48 2 4 2 3 2" xfId="15483" xr:uid="{00000000-0005-0000-0000-00002E200000}"/>
    <cellStyle name="Normal 48 2 4 2 4" xfId="10970" xr:uid="{00000000-0005-0000-0000-00002F200000}"/>
    <cellStyle name="Normal 48 2 4 3" xfId="3373" xr:uid="{00000000-0005-0000-0000-000030200000}"/>
    <cellStyle name="Normal 48 2 4 3 2" xfId="7888" xr:uid="{00000000-0005-0000-0000-000031200000}"/>
    <cellStyle name="Normal 48 2 4 3 2 2" xfId="16929" xr:uid="{00000000-0005-0000-0000-000032200000}"/>
    <cellStyle name="Normal 48 2 4 3 3" xfId="12416" xr:uid="{00000000-0005-0000-0000-000033200000}"/>
    <cellStyle name="Normal 48 2 4 4" xfId="5314" xr:uid="{00000000-0005-0000-0000-000034200000}"/>
    <cellStyle name="Normal 48 2 4 4 2" xfId="14355" xr:uid="{00000000-0005-0000-0000-000035200000}"/>
    <cellStyle name="Normal 48 2 4 5" xfId="9842" xr:uid="{00000000-0005-0000-0000-000036200000}"/>
    <cellStyle name="Normal 48 2 5" xfId="1355" xr:uid="{00000000-0005-0000-0000-000037200000}"/>
    <cellStyle name="Normal 48 2 5 2" xfId="3375" xr:uid="{00000000-0005-0000-0000-000038200000}"/>
    <cellStyle name="Normal 48 2 5 2 2" xfId="7890" xr:uid="{00000000-0005-0000-0000-000039200000}"/>
    <cellStyle name="Normal 48 2 5 2 2 2" xfId="16931" xr:uid="{00000000-0005-0000-0000-00003A200000}"/>
    <cellStyle name="Normal 48 2 5 2 3" xfId="12418" xr:uid="{00000000-0005-0000-0000-00003B200000}"/>
    <cellStyle name="Normal 48 2 5 3" xfId="5878" xr:uid="{00000000-0005-0000-0000-00003C200000}"/>
    <cellStyle name="Normal 48 2 5 3 2" xfId="14919" xr:uid="{00000000-0005-0000-0000-00003D200000}"/>
    <cellStyle name="Normal 48 2 5 4" xfId="10406" xr:uid="{00000000-0005-0000-0000-00003E200000}"/>
    <cellStyle name="Normal 48 2 6" xfId="3364" xr:uid="{00000000-0005-0000-0000-00003F200000}"/>
    <cellStyle name="Normal 48 2 6 2" xfId="7879" xr:uid="{00000000-0005-0000-0000-000040200000}"/>
    <cellStyle name="Normal 48 2 6 2 2" xfId="16920" xr:uid="{00000000-0005-0000-0000-000041200000}"/>
    <cellStyle name="Normal 48 2 6 3" xfId="12407" xr:uid="{00000000-0005-0000-0000-000042200000}"/>
    <cellStyle name="Normal 48 2 7" xfId="4750" xr:uid="{00000000-0005-0000-0000-000043200000}"/>
    <cellStyle name="Normal 48 2 7 2" xfId="13791" xr:uid="{00000000-0005-0000-0000-000044200000}"/>
    <cellStyle name="Normal 48 2 8" xfId="9278" xr:uid="{00000000-0005-0000-0000-000045200000}"/>
    <cellStyle name="Normal 48 3" xfId="279" xr:uid="{00000000-0005-0000-0000-000046200000}"/>
    <cellStyle name="Normal 48 3 2" xfId="843" xr:uid="{00000000-0005-0000-0000-000047200000}"/>
    <cellStyle name="Normal 48 3 2 2" xfId="2013" xr:uid="{00000000-0005-0000-0000-000048200000}"/>
    <cellStyle name="Normal 48 3 2 2 2" xfId="3378" xr:uid="{00000000-0005-0000-0000-000049200000}"/>
    <cellStyle name="Normal 48 3 2 2 2 2" xfId="7893" xr:uid="{00000000-0005-0000-0000-00004A200000}"/>
    <cellStyle name="Normal 48 3 2 2 2 2 2" xfId="16934" xr:uid="{00000000-0005-0000-0000-00004B200000}"/>
    <cellStyle name="Normal 48 3 2 2 2 3" xfId="12421" xr:uid="{00000000-0005-0000-0000-00004C200000}"/>
    <cellStyle name="Normal 48 3 2 2 3" xfId="6536" xr:uid="{00000000-0005-0000-0000-00004D200000}"/>
    <cellStyle name="Normal 48 3 2 2 3 2" xfId="15577" xr:uid="{00000000-0005-0000-0000-00004E200000}"/>
    <cellStyle name="Normal 48 3 2 2 4" xfId="11064" xr:uid="{00000000-0005-0000-0000-00004F200000}"/>
    <cellStyle name="Normal 48 3 2 3" xfId="3377" xr:uid="{00000000-0005-0000-0000-000050200000}"/>
    <cellStyle name="Normal 48 3 2 3 2" xfId="7892" xr:uid="{00000000-0005-0000-0000-000051200000}"/>
    <cellStyle name="Normal 48 3 2 3 2 2" xfId="16933" xr:uid="{00000000-0005-0000-0000-000052200000}"/>
    <cellStyle name="Normal 48 3 2 3 3" xfId="12420" xr:uid="{00000000-0005-0000-0000-000053200000}"/>
    <cellStyle name="Normal 48 3 2 4" xfId="5408" xr:uid="{00000000-0005-0000-0000-000054200000}"/>
    <cellStyle name="Normal 48 3 2 4 2" xfId="14449" xr:uid="{00000000-0005-0000-0000-000055200000}"/>
    <cellStyle name="Normal 48 3 2 5" xfId="9936" xr:uid="{00000000-0005-0000-0000-000056200000}"/>
    <cellStyle name="Normal 48 3 3" xfId="1449" xr:uid="{00000000-0005-0000-0000-000057200000}"/>
    <cellStyle name="Normal 48 3 3 2" xfId="3379" xr:uid="{00000000-0005-0000-0000-000058200000}"/>
    <cellStyle name="Normal 48 3 3 2 2" xfId="7894" xr:uid="{00000000-0005-0000-0000-000059200000}"/>
    <cellStyle name="Normal 48 3 3 2 2 2" xfId="16935" xr:uid="{00000000-0005-0000-0000-00005A200000}"/>
    <cellStyle name="Normal 48 3 3 2 3" xfId="12422" xr:uid="{00000000-0005-0000-0000-00005B200000}"/>
    <cellStyle name="Normal 48 3 3 3" xfId="5972" xr:uid="{00000000-0005-0000-0000-00005C200000}"/>
    <cellStyle name="Normal 48 3 3 3 2" xfId="15013" xr:uid="{00000000-0005-0000-0000-00005D200000}"/>
    <cellStyle name="Normal 48 3 3 4" xfId="10500" xr:uid="{00000000-0005-0000-0000-00005E200000}"/>
    <cellStyle name="Normal 48 3 4" xfId="3376" xr:uid="{00000000-0005-0000-0000-00005F200000}"/>
    <cellStyle name="Normal 48 3 4 2" xfId="7891" xr:uid="{00000000-0005-0000-0000-000060200000}"/>
    <cellStyle name="Normal 48 3 4 2 2" xfId="16932" xr:uid="{00000000-0005-0000-0000-000061200000}"/>
    <cellStyle name="Normal 48 3 4 3" xfId="12419" xr:uid="{00000000-0005-0000-0000-000062200000}"/>
    <cellStyle name="Normal 48 3 5" xfId="4844" xr:uid="{00000000-0005-0000-0000-000063200000}"/>
    <cellStyle name="Normal 48 3 5 2" xfId="13885" xr:uid="{00000000-0005-0000-0000-000064200000}"/>
    <cellStyle name="Normal 48 3 6" xfId="9372" xr:uid="{00000000-0005-0000-0000-000065200000}"/>
    <cellStyle name="Normal 48 4" xfId="467" xr:uid="{00000000-0005-0000-0000-000066200000}"/>
    <cellStyle name="Normal 48 4 2" xfId="1031" xr:uid="{00000000-0005-0000-0000-000067200000}"/>
    <cellStyle name="Normal 48 4 2 2" xfId="2201" xr:uid="{00000000-0005-0000-0000-000068200000}"/>
    <cellStyle name="Normal 48 4 2 2 2" xfId="3382" xr:uid="{00000000-0005-0000-0000-000069200000}"/>
    <cellStyle name="Normal 48 4 2 2 2 2" xfId="7897" xr:uid="{00000000-0005-0000-0000-00006A200000}"/>
    <cellStyle name="Normal 48 4 2 2 2 2 2" xfId="16938" xr:uid="{00000000-0005-0000-0000-00006B200000}"/>
    <cellStyle name="Normal 48 4 2 2 2 3" xfId="12425" xr:uid="{00000000-0005-0000-0000-00006C200000}"/>
    <cellStyle name="Normal 48 4 2 2 3" xfId="6724" xr:uid="{00000000-0005-0000-0000-00006D200000}"/>
    <cellStyle name="Normal 48 4 2 2 3 2" xfId="15765" xr:uid="{00000000-0005-0000-0000-00006E200000}"/>
    <cellStyle name="Normal 48 4 2 2 4" xfId="11252" xr:uid="{00000000-0005-0000-0000-00006F200000}"/>
    <cellStyle name="Normal 48 4 2 3" xfId="3381" xr:uid="{00000000-0005-0000-0000-000070200000}"/>
    <cellStyle name="Normal 48 4 2 3 2" xfId="7896" xr:uid="{00000000-0005-0000-0000-000071200000}"/>
    <cellStyle name="Normal 48 4 2 3 2 2" xfId="16937" xr:uid="{00000000-0005-0000-0000-000072200000}"/>
    <cellStyle name="Normal 48 4 2 3 3" xfId="12424" xr:uid="{00000000-0005-0000-0000-000073200000}"/>
    <cellStyle name="Normal 48 4 2 4" xfId="5596" xr:uid="{00000000-0005-0000-0000-000074200000}"/>
    <cellStyle name="Normal 48 4 2 4 2" xfId="14637" xr:uid="{00000000-0005-0000-0000-000075200000}"/>
    <cellStyle name="Normal 48 4 2 5" xfId="10124" xr:uid="{00000000-0005-0000-0000-000076200000}"/>
    <cellStyle name="Normal 48 4 3" xfId="1637" xr:uid="{00000000-0005-0000-0000-000077200000}"/>
    <cellStyle name="Normal 48 4 3 2" xfId="3383" xr:uid="{00000000-0005-0000-0000-000078200000}"/>
    <cellStyle name="Normal 48 4 3 2 2" xfId="7898" xr:uid="{00000000-0005-0000-0000-000079200000}"/>
    <cellStyle name="Normal 48 4 3 2 2 2" xfId="16939" xr:uid="{00000000-0005-0000-0000-00007A200000}"/>
    <cellStyle name="Normal 48 4 3 2 3" xfId="12426" xr:uid="{00000000-0005-0000-0000-00007B200000}"/>
    <cellStyle name="Normal 48 4 3 3" xfId="6160" xr:uid="{00000000-0005-0000-0000-00007C200000}"/>
    <cellStyle name="Normal 48 4 3 3 2" xfId="15201" xr:uid="{00000000-0005-0000-0000-00007D200000}"/>
    <cellStyle name="Normal 48 4 3 4" xfId="10688" xr:uid="{00000000-0005-0000-0000-00007E200000}"/>
    <cellStyle name="Normal 48 4 4" xfId="3380" xr:uid="{00000000-0005-0000-0000-00007F200000}"/>
    <cellStyle name="Normal 48 4 4 2" xfId="7895" xr:uid="{00000000-0005-0000-0000-000080200000}"/>
    <cellStyle name="Normal 48 4 4 2 2" xfId="16936" xr:uid="{00000000-0005-0000-0000-000081200000}"/>
    <cellStyle name="Normal 48 4 4 3" xfId="12423" xr:uid="{00000000-0005-0000-0000-000082200000}"/>
    <cellStyle name="Normal 48 4 5" xfId="5032" xr:uid="{00000000-0005-0000-0000-000083200000}"/>
    <cellStyle name="Normal 48 4 5 2" xfId="14073" xr:uid="{00000000-0005-0000-0000-000084200000}"/>
    <cellStyle name="Normal 48 4 6" xfId="9560" xr:uid="{00000000-0005-0000-0000-000085200000}"/>
    <cellStyle name="Normal 48 5" xfId="655" xr:uid="{00000000-0005-0000-0000-000086200000}"/>
    <cellStyle name="Normal 48 5 2" xfId="1825" xr:uid="{00000000-0005-0000-0000-000087200000}"/>
    <cellStyle name="Normal 48 5 2 2" xfId="3385" xr:uid="{00000000-0005-0000-0000-000088200000}"/>
    <cellStyle name="Normal 48 5 2 2 2" xfId="7900" xr:uid="{00000000-0005-0000-0000-000089200000}"/>
    <cellStyle name="Normal 48 5 2 2 2 2" xfId="16941" xr:uid="{00000000-0005-0000-0000-00008A200000}"/>
    <cellStyle name="Normal 48 5 2 2 3" xfId="12428" xr:uid="{00000000-0005-0000-0000-00008B200000}"/>
    <cellStyle name="Normal 48 5 2 3" xfId="6348" xr:uid="{00000000-0005-0000-0000-00008C200000}"/>
    <cellStyle name="Normal 48 5 2 3 2" xfId="15389" xr:uid="{00000000-0005-0000-0000-00008D200000}"/>
    <cellStyle name="Normal 48 5 2 4" xfId="10876" xr:uid="{00000000-0005-0000-0000-00008E200000}"/>
    <cellStyle name="Normal 48 5 3" xfId="3384" xr:uid="{00000000-0005-0000-0000-00008F200000}"/>
    <cellStyle name="Normal 48 5 3 2" xfId="7899" xr:uid="{00000000-0005-0000-0000-000090200000}"/>
    <cellStyle name="Normal 48 5 3 2 2" xfId="16940" xr:uid="{00000000-0005-0000-0000-000091200000}"/>
    <cellStyle name="Normal 48 5 3 3" xfId="12427" xr:uid="{00000000-0005-0000-0000-000092200000}"/>
    <cellStyle name="Normal 48 5 4" xfId="5220" xr:uid="{00000000-0005-0000-0000-000093200000}"/>
    <cellStyle name="Normal 48 5 4 2" xfId="14261" xr:uid="{00000000-0005-0000-0000-000094200000}"/>
    <cellStyle name="Normal 48 5 5" xfId="9748" xr:uid="{00000000-0005-0000-0000-000095200000}"/>
    <cellStyle name="Normal 48 6" xfId="1261" xr:uid="{00000000-0005-0000-0000-000096200000}"/>
    <cellStyle name="Normal 48 6 2" xfId="3386" xr:uid="{00000000-0005-0000-0000-000097200000}"/>
    <cellStyle name="Normal 48 6 2 2" xfId="7901" xr:uid="{00000000-0005-0000-0000-000098200000}"/>
    <cellStyle name="Normal 48 6 2 2 2" xfId="16942" xr:uid="{00000000-0005-0000-0000-000099200000}"/>
    <cellStyle name="Normal 48 6 2 3" xfId="12429" xr:uid="{00000000-0005-0000-0000-00009A200000}"/>
    <cellStyle name="Normal 48 6 3" xfId="5784" xr:uid="{00000000-0005-0000-0000-00009B200000}"/>
    <cellStyle name="Normal 48 6 3 2" xfId="14825" xr:uid="{00000000-0005-0000-0000-00009C200000}"/>
    <cellStyle name="Normal 48 6 4" xfId="10312" xr:uid="{00000000-0005-0000-0000-00009D200000}"/>
    <cellStyle name="Normal 48 7" xfId="3363" xr:uid="{00000000-0005-0000-0000-00009E200000}"/>
    <cellStyle name="Normal 48 7 2" xfId="7878" xr:uid="{00000000-0005-0000-0000-00009F200000}"/>
    <cellStyle name="Normal 48 7 2 2" xfId="16919" xr:uid="{00000000-0005-0000-0000-0000A0200000}"/>
    <cellStyle name="Normal 48 7 3" xfId="12406" xr:uid="{00000000-0005-0000-0000-0000A1200000}"/>
    <cellStyle name="Normal 48 8" xfId="4656" xr:uid="{00000000-0005-0000-0000-0000A2200000}"/>
    <cellStyle name="Normal 48 8 2" xfId="13697" xr:uid="{00000000-0005-0000-0000-0000A3200000}"/>
    <cellStyle name="Normal 48 9" xfId="9184" xr:uid="{00000000-0005-0000-0000-0000A4200000}"/>
    <cellStyle name="Normal 49" xfId="49" xr:uid="{00000000-0005-0000-0000-0000A5200000}"/>
    <cellStyle name="Normal 49 2" xfId="145" xr:uid="{00000000-0005-0000-0000-0000A6200000}"/>
    <cellStyle name="Normal 49 2 2" xfId="374" xr:uid="{00000000-0005-0000-0000-0000A7200000}"/>
    <cellStyle name="Normal 49 2 2 2" xfId="938" xr:uid="{00000000-0005-0000-0000-0000A8200000}"/>
    <cellStyle name="Normal 49 2 2 2 2" xfId="2108" xr:uid="{00000000-0005-0000-0000-0000A9200000}"/>
    <cellStyle name="Normal 49 2 2 2 2 2" xfId="3391" xr:uid="{00000000-0005-0000-0000-0000AA200000}"/>
    <cellStyle name="Normal 49 2 2 2 2 2 2" xfId="7906" xr:uid="{00000000-0005-0000-0000-0000AB200000}"/>
    <cellStyle name="Normal 49 2 2 2 2 2 2 2" xfId="16947" xr:uid="{00000000-0005-0000-0000-0000AC200000}"/>
    <cellStyle name="Normal 49 2 2 2 2 2 3" xfId="12434" xr:uid="{00000000-0005-0000-0000-0000AD200000}"/>
    <cellStyle name="Normal 49 2 2 2 2 3" xfId="6631" xr:uid="{00000000-0005-0000-0000-0000AE200000}"/>
    <cellStyle name="Normal 49 2 2 2 2 3 2" xfId="15672" xr:uid="{00000000-0005-0000-0000-0000AF200000}"/>
    <cellStyle name="Normal 49 2 2 2 2 4" xfId="11159" xr:uid="{00000000-0005-0000-0000-0000B0200000}"/>
    <cellStyle name="Normal 49 2 2 2 3" xfId="3390" xr:uid="{00000000-0005-0000-0000-0000B1200000}"/>
    <cellStyle name="Normal 49 2 2 2 3 2" xfId="7905" xr:uid="{00000000-0005-0000-0000-0000B2200000}"/>
    <cellStyle name="Normal 49 2 2 2 3 2 2" xfId="16946" xr:uid="{00000000-0005-0000-0000-0000B3200000}"/>
    <cellStyle name="Normal 49 2 2 2 3 3" xfId="12433" xr:uid="{00000000-0005-0000-0000-0000B4200000}"/>
    <cellStyle name="Normal 49 2 2 2 4" xfId="5503" xr:uid="{00000000-0005-0000-0000-0000B5200000}"/>
    <cellStyle name="Normal 49 2 2 2 4 2" xfId="14544" xr:uid="{00000000-0005-0000-0000-0000B6200000}"/>
    <cellStyle name="Normal 49 2 2 2 5" xfId="10031" xr:uid="{00000000-0005-0000-0000-0000B7200000}"/>
    <cellStyle name="Normal 49 2 2 3" xfId="1544" xr:uid="{00000000-0005-0000-0000-0000B8200000}"/>
    <cellStyle name="Normal 49 2 2 3 2" xfId="3392" xr:uid="{00000000-0005-0000-0000-0000B9200000}"/>
    <cellStyle name="Normal 49 2 2 3 2 2" xfId="7907" xr:uid="{00000000-0005-0000-0000-0000BA200000}"/>
    <cellStyle name="Normal 49 2 2 3 2 2 2" xfId="16948" xr:uid="{00000000-0005-0000-0000-0000BB200000}"/>
    <cellStyle name="Normal 49 2 2 3 2 3" xfId="12435" xr:uid="{00000000-0005-0000-0000-0000BC200000}"/>
    <cellStyle name="Normal 49 2 2 3 3" xfId="6067" xr:uid="{00000000-0005-0000-0000-0000BD200000}"/>
    <cellStyle name="Normal 49 2 2 3 3 2" xfId="15108" xr:uid="{00000000-0005-0000-0000-0000BE200000}"/>
    <cellStyle name="Normal 49 2 2 3 4" xfId="10595" xr:uid="{00000000-0005-0000-0000-0000BF200000}"/>
    <cellStyle name="Normal 49 2 2 4" xfId="3389" xr:uid="{00000000-0005-0000-0000-0000C0200000}"/>
    <cellStyle name="Normal 49 2 2 4 2" xfId="7904" xr:uid="{00000000-0005-0000-0000-0000C1200000}"/>
    <cellStyle name="Normal 49 2 2 4 2 2" xfId="16945" xr:uid="{00000000-0005-0000-0000-0000C2200000}"/>
    <cellStyle name="Normal 49 2 2 4 3" xfId="12432" xr:uid="{00000000-0005-0000-0000-0000C3200000}"/>
    <cellStyle name="Normal 49 2 2 5" xfId="4939" xr:uid="{00000000-0005-0000-0000-0000C4200000}"/>
    <cellStyle name="Normal 49 2 2 5 2" xfId="13980" xr:uid="{00000000-0005-0000-0000-0000C5200000}"/>
    <cellStyle name="Normal 49 2 2 6" xfId="9467" xr:uid="{00000000-0005-0000-0000-0000C6200000}"/>
    <cellStyle name="Normal 49 2 3" xfId="562" xr:uid="{00000000-0005-0000-0000-0000C7200000}"/>
    <cellStyle name="Normal 49 2 3 2" xfId="1126" xr:uid="{00000000-0005-0000-0000-0000C8200000}"/>
    <cellStyle name="Normal 49 2 3 2 2" xfId="2296" xr:uid="{00000000-0005-0000-0000-0000C9200000}"/>
    <cellStyle name="Normal 49 2 3 2 2 2" xfId="3395" xr:uid="{00000000-0005-0000-0000-0000CA200000}"/>
    <cellStyle name="Normal 49 2 3 2 2 2 2" xfId="7910" xr:uid="{00000000-0005-0000-0000-0000CB200000}"/>
    <cellStyle name="Normal 49 2 3 2 2 2 2 2" xfId="16951" xr:uid="{00000000-0005-0000-0000-0000CC200000}"/>
    <cellStyle name="Normal 49 2 3 2 2 2 3" xfId="12438" xr:uid="{00000000-0005-0000-0000-0000CD200000}"/>
    <cellStyle name="Normal 49 2 3 2 2 3" xfId="6819" xr:uid="{00000000-0005-0000-0000-0000CE200000}"/>
    <cellStyle name="Normal 49 2 3 2 2 3 2" xfId="15860" xr:uid="{00000000-0005-0000-0000-0000CF200000}"/>
    <cellStyle name="Normal 49 2 3 2 2 4" xfId="11347" xr:uid="{00000000-0005-0000-0000-0000D0200000}"/>
    <cellStyle name="Normal 49 2 3 2 3" xfId="3394" xr:uid="{00000000-0005-0000-0000-0000D1200000}"/>
    <cellStyle name="Normal 49 2 3 2 3 2" xfId="7909" xr:uid="{00000000-0005-0000-0000-0000D2200000}"/>
    <cellStyle name="Normal 49 2 3 2 3 2 2" xfId="16950" xr:uid="{00000000-0005-0000-0000-0000D3200000}"/>
    <cellStyle name="Normal 49 2 3 2 3 3" xfId="12437" xr:uid="{00000000-0005-0000-0000-0000D4200000}"/>
    <cellStyle name="Normal 49 2 3 2 4" xfId="5691" xr:uid="{00000000-0005-0000-0000-0000D5200000}"/>
    <cellStyle name="Normal 49 2 3 2 4 2" xfId="14732" xr:uid="{00000000-0005-0000-0000-0000D6200000}"/>
    <cellStyle name="Normal 49 2 3 2 5" xfId="10219" xr:uid="{00000000-0005-0000-0000-0000D7200000}"/>
    <cellStyle name="Normal 49 2 3 3" xfId="1732" xr:uid="{00000000-0005-0000-0000-0000D8200000}"/>
    <cellStyle name="Normal 49 2 3 3 2" xfId="3396" xr:uid="{00000000-0005-0000-0000-0000D9200000}"/>
    <cellStyle name="Normal 49 2 3 3 2 2" xfId="7911" xr:uid="{00000000-0005-0000-0000-0000DA200000}"/>
    <cellStyle name="Normal 49 2 3 3 2 2 2" xfId="16952" xr:uid="{00000000-0005-0000-0000-0000DB200000}"/>
    <cellStyle name="Normal 49 2 3 3 2 3" xfId="12439" xr:uid="{00000000-0005-0000-0000-0000DC200000}"/>
    <cellStyle name="Normal 49 2 3 3 3" xfId="6255" xr:uid="{00000000-0005-0000-0000-0000DD200000}"/>
    <cellStyle name="Normal 49 2 3 3 3 2" xfId="15296" xr:uid="{00000000-0005-0000-0000-0000DE200000}"/>
    <cellStyle name="Normal 49 2 3 3 4" xfId="10783" xr:uid="{00000000-0005-0000-0000-0000DF200000}"/>
    <cellStyle name="Normal 49 2 3 4" xfId="3393" xr:uid="{00000000-0005-0000-0000-0000E0200000}"/>
    <cellStyle name="Normal 49 2 3 4 2" xfId="7908" xr:uid="{00000000-0005-0000-0000-0000E1200000}"/>
    <cellStyle name="Normal 49 2 3 4 2 2" xfId="16949" xr:uid="{00000000-0005-0000-0000-0000E2200000}"/>
    <cellStyle name="Normal 49 2 3 4 3" xfId="12436" xr:uid="{00000000-0005-0000-0000-0000E3200000}"/>
    <cellStyle name="Normal 49 2 3 5" xfId="5127" xr:uid="{00000000-0005-0000-0000-0000E4200000}"/>
    <cellStyle name="Normal 49 2 3 5 2" xfId="14168" xr:uid="{00000000-0005-0000-0000-0000E5200000}"/>
    <cellStyle name="Normal 49 2 3 6" xfId="9655" xr:uid="{00000000-0005-0000-0000-0000E6200000}"/>
    <cellStyle name="Normal 49 2 4" xfId="750" xr:uid="{00000000-0005-0000-0000-0000E7200000}"/>
    <cellStyle name="Normal 49 2 4 2" xfId="1920" xr:uid="{00000000-0005-0000-0000-0000E8200000}"/>
    <cellStyle name="Normal 49 2 4 2 2" xfId="3398" xr:uid="{00000000-0005-0000-0000-0000E9200000}"/>
    <cellStyle name="Normal 49 2 4 2 2 2" xfId="7913" xr:uid="{00000000-0005-0000-0000-0000EA200000}"/>
    <cellStyle name="Normal 49 2 4 2 2 2 2" xfId="16954" xr:uid="{00000000-0005-0000-0000-0000EB200000}"/>
    <cellStyle name="Normal 49 2 4 2 2 3" xfId="12441" xr:uid="{00000000-0005-0000-0000-0000EC200000}"/>
    <cellStyle name="Normal 49 2 4 2 3" xfId="6443" xr:uid="{00000000-0005-0000-0000-0000ED200000}"/>
    <cellStyle name="Normal 49 2 4 2 3 2" xfId="15484" xr:uid="{00000000-0005-0000-0000-0000EE200000}"/>
    <cellStyle name="Normal 49 2 4 2 4" xfId="10971" xr:uid="{00000000-0005-0000-0000-0000EF200000}"/>
    <cellStyle name="Normal 49 2 4 3" xfId="3397" xr:uid="{00000000-0005-0000-0000-0000F0200000}"/>
    <cellStyle name="Normal 49 2 4 3 2" xfId="7912" xr:uid="{00000000-0005-0000-0000-0000F1200000}"/>
    <cellStyle name="Normal 49 2 4 3 2 2" xfId="16953" xr:uid="{00000000-0005-0000-0000-0000F2200000}"/>
    <cellStyle name="Normal 49 2 4 3 3" xfId="12440" xr:uid="{00000000-0005-0000-0000-0000F3200000}"/>
    <cellStyle name="Normal 49 2 4 4" xfId="5315" xr:uid="{00000000-0005-0000-0000-0000F4200000}"/>
    <cellStyle name="Normal 49 2 4 4 2" xfId="14356" xr:uid="{00000000-0005-0000-0000-0000F5200000}"/>
    <cellStyle name="Normal 49 2 4 5" xfId="9843" xr:uid="{00000000-0005-0000-0000-0000F6200000}"/>
    <cellStyle name="Normal 49 2 5" xfId="1356" xr:uid="{00000000-0005-0000-0000-0000F7200000}"/>
    <cellStyle name="Normal 49 2 5 2" xfId="3399" xr:uid="{00000000-0005-0000-0000-0000F8200000}"/>
    <cellStyle name="Normal 49 2 5 2 2" xfId="7914" xr:uid="{00000000-0005-0000-0000-0000F9200000}"/>
    <cellStyle name="Normal 49 2 5 2 2 2" xfId="16955" xr:uid="{00000000-0005-0000-0000-0000FA200000}"/>
    <cellStyle name="Normal 49 2 5 2 3" xfId="12442" xr:uid="{00000000-0005-0000-0000-0000FB200000}"/>
    <cellStyle name="Normal 49 2 5 3" xfId="5879" xr:uid="{00000000-0005-0000-0000-0000FC200000}"/>
    <cellStyle name="Normal 49 2 5 3 2" xfId="14920" xr:uid="{00000000-0005-0000-0000-0000FD200000}"/>
    <cellStyle name="Normal 49 2 5 4" xfId="10407" xr:uid="{00000000-0005-0000-0000-0000FE200000}"/>
    <cellStyle name="Normal 49 2 6" xfId="3388" xr:uid="{00000000-0005-0000-0000-0000FF200000}"/>
    <cellStyle name="Normal 49 2 6 2" xfId="7903" xr:uid="{00000000-0005-0000-0000-000000210000}"/>
    <cellStyle name="Normal 49 2 6 2 2" xfId="16944" xr:uid="{00000000-0005-0000-0000-000001210000}"/>
    <cellStyle name="Normal 49 2 6 3" xfId="12431" xr:uid="{00000000-0005-0000-0000-000002210000}"/>
    <cellStyle name="Normal 49 2 7" xfId="4751" xr:uid="{00000000-0005-0000-0000-000003210000}"/>
    <cellStyle name="Normal 49 2 7 2" xfId="13792" xr:uid="{00000000-0005-0000-0000-000004210000}"/>
    <cellStyle name="Normal 49 2 8" xfId="9279" xr:uid="{00000000-0005-0000-0000-000005210000}"/>
    <cellStyle name="Normal 49 3" xfId="280" xr:uid="{00000000-0005-0000-0000-000006210000}"/>
    <cellStyle name="Normal 49 3 2" xfId="844" xr:uid="{00000000-0005-0000-0000-000007210000}"/>
    <cellStyle name="Normal 49 3 2 2" xfId="2014" xr:uid="{00000000-0005-0000-0000-000008210000}"/>
    <cellStyle name="Normal 49 3 2 2 2" xfId="3402" xr:uid="{00000000-0005-0000-0000-000009210000}"/>
    <cellStyle name="Normal 49 3 2 2 2 2" xfId="7917" xr:uid="{00000000-0005-0000-0000-00000A210000}"/>
    <cellStyle name="Normal 49 3 2 2 2 2 2" xfId="16958" xr:uid="{00000000-0005-0000-0000-00000B210000}"/>
    <cellStyle name="Normal 49 3 2 2 2 3" xfId="12445" xr:uid="{00000000-0005-0000-0000-00000C210000}"/>
    <cellStyle name="Normal 49 3 2 2 3" xfId="6537" xr:uid="{00000000-0005-0000-0000-00000D210000}"/>
    <cellStyle name="Normal 49 3 2 2 3 2" xfId="15578" xr:uid="{00000000-0005-0000-0000-00000E210000}"/>
    <cellStyle name="Normal 49 3 2 2 4" xfId="11065" xr:uid="{00000000-0005-0000-0000-00000F210000}"/>
    <cellStyle name="Normal 49 3 2 3" xfId="3401" xr:uid="{00000000-0005-0000-0000-000010210000}"/>
    <cellStyle name="Normal 49 3 2 3 2" xfId="7916" xr:uid="{00000000-0005-0000-0000-000011210000}"/>
    <cellStyle name="Normal 49 3 2 3 2 2" xfId="16957" xr:uid="{00000000-0005-0000-0000-000012210000}"/>
    <cellStyle name="Normal 49 3 2 3 3" xfId="12444" xr:uid="{00000000-0005-0000-0000-000013210000}"/>
    <cellStyle name="Normal 49 3 2 4" xfId="5409" xr:uid="{00000000-0005-0000-0000-000014210000}"/>
    <cellStyle name="Normal 49 3 2 4 2" xfId="14450" xr:uid="{00000000-0005-0000-0000-000015210000}"/>
    <cellStyle name="Normal 49 3 2 5" xfId="9937" xr:uid="{00000000-0005-0000-0000-000016210000}"/>
    <cellStyle name="Normal 49 3 3" xfId="1450" xr:uid="{00000000-0005-0000-0000-000017210000}"/>
    <cellStyle name="Normal 49 3 3 2" xfId="3403" xr:uid="{00000000-0005-0000-0000-000018210000}"/>
    <cellStyle name="Normal 49 3 3 2 2" xfId="7918" xr:uid="{00000000-0005-0000-0000-000019210000}"/>
    <cellStyle name="Normal 49 3 3 2 2 2" xfId="16959" xr:uid="{00000000-0005-0000-0000-00001A210000}"/>
    <cellStyle name="Normal 49 3 3 2 3" xfId="12446" xr:uid="{00000000-0005-0000-0000-00001B210000}"/>
    <cellStyle name="Normal 49 3 3 3" xfId="5973" xr:uid="{00000000-0005-0000-0000-00001C210000}"/>
    <cellStyle name="Normal 49 3 3 3 2" xfId="15014" xr:uid="{00000000-0005-0000-0000-00001D210000}"/>
    <cellStyle name="Normal 49 3 3 4" xfId="10501" xr:uid="{00000000-0005-0000-0000-00001E210000}"/>
    <cellStyle name="Normal 49 3 4" xfId="3400" xr:uid="{00000000-0005-0000-0000-00001F210000}"/>
    <cellStyle name="Normal 49 3 4 2" xfId="7915" xr:uid="{00000000-0005-0000-0000-000020210000}"/>
    <cellStyle name="Normal 49 3 4 2 2" xfId="16956" xr:uid="{00000000-0005-0000-0000-000021210000}"/>
    <cellStyle name="Normal 49 3 4 3" xfId="12443" xr:uid="{00000000-0005-0000-0000-000022210000}"/>
    <cellStyle name="Normal 49 3 5" xfId="4845" xr:uid="{00000000-0005-0000-0000-000023210000}"/>
    <cellStyle name="Normal 49 3 5 2" xfId="13886" xr:uid="{00000000-0005-0000-0000-000024210000}"/>
    <cellStyle name="Normal 49 3 6" xfId="9373" xr:uid="{00000000-0005-0000-0000-000025210000}"/>
    <cellStyle name="Normal 49 4" xfId="468" xr:uid="{00000000-0005-0000-0000-000026210000}"/>
    <cellStyle name="Normal 49 4 2" xfId="1032" xr:uid="{00000000-0005-0000-0000-000027210000}"/>
    <cellStyle name="Normal 49 4 2 2" xfId="2202" xr:uid="{00000000-0005-0000-0000-000028210000}"/>
    <cellStyle name="Normal 49 4 2 2 2" xfId="3406" xr:uid="{00000000-0005-0000-0000-000029210000}"/>
    <cellStyle name="Normal 49 4 2 2 2 2" xfId="7921" xr:uid="{00000000-0005-0000-0000-00002A210000}"/>
    <cellStyle name="Normal 49 4 2 2 2 2 2" xfId="16962" xr:uid="{00000000-0005-0000-0000-00002B210000}"/>
    <cellStyle name="Normal 49 4 2 2 2 3" xfId="12449" xr:uid="{00000000-0005-0000-0000-00002C210000}"/>
    <cellStyle name="Normal 49 4 2 2 3" xfId="6725" xr:uid="{00000000-0005-0000-0000-00002D210000}"/>
    <cellStyle name="Normal 49 4 2 2 3 2" xfId="15766" xr:uid="{00000000-0005-0000-0000-00002E210000}"/>
    <cellStyle name="Normal 49 4 2 2 4" xfId="11253" xr:uid="{00000000-0005-0000-0000-00002F210000}"/>
    <cellStyle name="Normal 49 4 2 3" xfId="3405" xr:uid="{00000000-0005-0000-0000-000030210000}"/>
    <cellStyle name="Normal 49 4 2 3 2" xfId="7920" xr:uid="{00000000-0005-0000-0000-000031210000}"/>
    <cellStyle name="Normal 49 4 2 3 2 2" xfId="16961" xr:uid="{00000000-0005-0000-0000-000032210000}"/>
    <cellStyle name="Normal 49 4 2 3 3" xfId="12448" xr:uid="{00000000-0005-0000-0000-000033210000}"/>
    <cellStyle name="Normal 49 4 2 4" xfId="5597" xr:uid="{00000000-0005-0000-0000-000034210000}"/>
    <cellStyle name="Normal 49 4 2 4 2" xfId="14638" xr:uid="{00000000-0005-0000-0000-000035210000}"/>
    <cellStyle name="Normal 49 4 2 5" xfId="10125" xr:uid="{00000000-0005-0000-0000-000036210000}"/>
    <cellStyle name="Normal 49 4 3" xfId="1638" xr:uid="{00000000-0005-0000-0000-000037210000}"/>
    <cellStyle name="Normal 49 4 3 2" xfId="3407" xr:uid="{00000000-0005-0000-0000-000038210000}"/>
    <cellStyle name="Normal 49 4 3 2 2" xfId="7922" xr:uid="{00000000-0005-0000-0000-000039210000}"/>
    <cellStyle name="Normal 49 4 3 2 2 2" xfId="16963" xr:uid="{00000000-0005-0000-0000-00003A210000}"/>
    <cellStyle name="Normal 49 4 3 2 3" xfId="12450" xr:uid="{00000000-0005-0000-0000-00003B210000}"/>
    <cellStyle name="Normal 49 4 3 3" xfId="6161" xr:uid="{00000000-0005-0000-0000-00003C210000}"/>
    <cellStyle name="Normal 49 4 3 3 2" xfId="15202" xr:uid="{00000000-0005-0000-0000-00003D210000}"/>
    <cellStyle name="Normal 49 4 3 4" xfId="10689" xr:uid="{00000000-0005-0000-0000-00003E210000}"/>
    <cellStyle name="Normal 49 4 4" xfId="3404" xr:uid="{00000000-0005-0000-0000-00003F210000}"/>
    <cellStyle name="Normal 49 4 4 2" xfId="7919" xr:uid="{00000000-0005-0000-0000-000040210000}"/>
    <cellStyle name="Normal 49 4 4 2 2" xfId="16960" xr:uid="{00000000-0005-0000-0000-000041210000}"/>
    <cellStyle name="Normal 49 4 4 3" xfId="12447" xr:uid="{00000000-0005-0000-0000-000042210000}"/>
    <cellStyle name="Normal 49 4 5" xfId="5033" xr:uid="{00000000-0005-0000-0000-000043210000}"/>
    <cellStyle name="Normal 49 4 5 2" xfId="14074" xr:uid="{00000000-0005-0000-0000-000044210000}"/>
    <cellStyle name="Normal 49 4 6" xfId="9561" xr:uid="{00000000-0005-0000-0000-000045210000}"/>
    <cellStyle name="Normal 49 5" xfId="656" xr:uid="{00000000-0005-0000-0000-000046210000}"/>
    <cellStyle name="Normal 49 5 2" xfId="1826" xr:uid="{00000000-0005-0000-0000-000047210000}"/>
    <cellStyle name="Normal 49 5 2 2" xfId="3409" xr:uid="{00000000-0005-0000-0000-000048210000}"/>
    <cellStyle name="Normal 49 5 2 2 2" xfId="7924" xr:uid="{00000000-0005-0000-0000-000049210000}"/>
    <cellStyle name="Normal 49 5 2 2 2 2" xfId="16965" xr:uid="{00000000-0005-0000-0000-00004A210000}"/>
    <cellStyle name="Normal 49 5 2 2 3" xfId="12452" xr:uid="{00000000-0005-0000-0000-00004B210000}"/>
    <cellStyle name="Normal 49 5 2 3" xfId="6349" xr:uid="{00000000-0005-0000-0000-00004C210000}"/>
    <cellStyle name="Normal 49 5 2 3 2" xfId="15390" xr:uid="{00000000-0005-0000-0000-00004D210000}"/>
    <cellStyle name="Normal 49 5 2 4" xfId="10877" xr:uid="{00000000-0005-0000-0000-00004E210000}"/>
    <cellStyle name="Normal 49 5 3" xfId="3408" xr:uid="{00000000-0005-0000-0000-00004F210000}"/>
    <cellStyle name="Normal 49 5 3 2" xfId="7923" xr:uid="{00000000-0005-0000-0000-000050210000}"/>
    <cellStyle name="Normal 49 5 3 2 2" xfId="16964" xr:uid="{00000000-0005-0000-0000-000051210000}"/>
    <cellStyle name="Normal 49 5 3 3" xfId="12451" xr:uid="{00000000-0005-0000-0000-000052210000}"/>
    <cellStyle name="Normal 49 5 4" xfId="5221" xr:uid="{00000000-0005-0000-0000-000053210000}"/>
    <cellStyle name="Normal 49 5 4 2" xfId="14262" xr:uid="{00000000-0005-0000-0000-000054210000}"/>
    <cellStyle name="Normal 49 5 5" xfId="9749" xr:uid="{00000000-0005-0000-0000-000055210000}"/>
    <cellStyle name="Normal 49 6" xfId="1262" xr:uid="{00000000-0005-0000-0000-000056210000}"/>
    <cellStyle name="Normal 49 6 2" xfId="3410" xr:uid="{00000000-0005-0000-0000-000057210000}"/>
    <cellStyle name="Normal 49 6 2 2" xfId="7925" xr:uid="{00000000-0005-0000-0000-000058210000}"/>
    <cellStyle name="Normal 49 6 2 2 2" xfId="16966" xr:uid="{00000000-0005-0000-0000-000059210000}"/>
    <cellStyle name="Normal 49 6 2 3" xfId="12453" xr:uid="{00000000-0005-0000-0000-00005A210000}"/>
    <cellStyle name="Normal 49 6 3" xfId="5785" xr:uid="{00000000-0005-0000-0000-00005B210000}"/>
    <cellStyle name="Normal 49 6 3 2" xfId="14826" xr:uid="{00000000-0005-0000-0000-00005C210000}"/>
    <cellStyle name="Normal 49 6 4" xfId="10313" xr:uid="{00000000-0005-0000-0000-00005D210000}"/>
    <cellStyle name="Normal 49 7" xfId="3387" xr:uid="{00000000-0005-0000-0000-00005E210000}"/>
    <cellStyle name="Normal 49 7 2" xfId="7902" xr:uid="{00000000-0005-0000-0000-00005F210000}"/>
    <cellStyle name="Normal 49 7 2 2" xfId="16943" xr:uid="{00000000-0005-0000-0000-000060210000}"/>
    <cellStyle name="Normal 49 7 3" xfId="12430" xr:uid="{00000000-0005-0000-0000-000061210000}"/>
    <cellStyle name="Normal 49 8" xfId="4657" xr:uid="{00000000-0005-0000-0000-000062210000}"/>
    <cellStyle name="Normal 49 8 2" xfId="13698" xr:uid="{00000000-0005-0000-0000-000063210000}"/>
    <cellStyle name="Normal 49 9" xfId="9185" xr:uid="{00000000-0005-0000-0000-000064210000}"/>
    <cellStyle name="Normal 5" xfId="1218" xr:uid="{00000000-0005-0000-0000-000065210000}"/>
    <cellStyle name="Normal 5 2" xfId="3" xr:uid="{00000000-0005-0000-0000-000066210000}"/>
    <cellStyle name="Normal 5 3" xfId="9139" xr:uid="{00000000-0005-0000-0000-000067210000}"/>
    <cellStyle name="Normal 50" xfId="50" xr:uid="{00000000-0005-0000-0000-000068210000}"/>
    <cellStyle name="Normal 50 2" xfId="146" xr:uid="{00000000-0005-0000-0000-000069210000}"/>
    <cellStyle name="Normal 50 2 2" xfId="375" xr:uid="{00000000-0005-0000-0000-00006A210000}"/>
    <cellStyle name="Normal 50 2 2 2" xfId="939" xr:uid="{00000000-0005-0000-0000-00006B210000}"/>
    <cellStyle name="Normal 50 2 2 2 2" xfId="2109" xr:uid="{00000000-0005-0000-0000-00006C210000}"/>
    <cellStyle name="Normal 50 2 2 2 2 2" xfId="3415" xr:uid="{00000000-0005-0000-0000-00006D210000}"/>
    <cellStyle name="Normal 50 2 2 2 2 2 2" xfId="7930" xr:uid="{00000000-0005-0000-0000-00006E210000}"/>
    <cellStyle name="Normal 50 2 2 2 2 2 2 2" xfId="16971" xr:uid="{00000000-0005-0000-0000-00006F210000}"/>
    <cellStyle name="Normal 50 2 2 2 2 2 3" xfId="12458" xr:uid="{00000000-0005-0000-0000-000070210000}"/>
    <cellStyle name="Normal 50 2 2 2 2 3" xfId="6632" xr:uid="{00000000-0005-0000-0000-000071210000}"/>
    <cellStyle name="Normal 50 2 2 2 2 3 2" xfId="15673" xr:uid="{00000000-0005-0000-0000-000072210000}"/>
    <cellStyle name="Normal 50 2 2 2 2 4" xfId="11160" xr:uid="{00000000-0005-0000-0000-000073210000}"/>
    <cellStyle name="Normal 50 2 2 2 3" xfId="3414" xr:uid="{00000000-0005-0000-0000-000074210000}"/>
    <cellStyle name="Normal 50 2 2 2 3 2" xfId="7929" xr:uid="{00000000-0005-0000-0000-000075210000}"/>
    <cellStyle name="Normal 50 2 2 2 3 2 2" xfId="16970" xr:uid="{00000000-0005-0000-0000-000076210000}"/>
    <cellStyle name="Normal 50 2 2 2 3 3" xfId="12457" xr:uid="{00000000-0005-0000-0000-000077210000}"/>
    <cellStyle name="Normal 50 2 2 2 4" xfId="5504" xr:uid="{00000000-0005-0000-0000-000078210000}"/>
    <cellStyle name="Normal 50 2 2 2 4 2" xfId="14545" xr:uid="{00000000-0005-0000-0000-000079210000}"/>
    <cellStyle name="Normal 50 2 2 2 5" xfId="10032" xr:uid="{00000000-0005-0000-0000-00007A210000}"/>
    <cellStyle name="Normal 50 2 2 3" xfId="1545" xr:uid="{00000000-0005-0000-0000-00007B210000}"/>
    <cellStyle name="Normal 50 2 2 3 2" xfId="3416" xr:uid="{00000000-0005-0000-0000-00007C210000}"/>
    <cellStyle name="Normal 50 2 2 3 2 2" xfId="7931" xr:uid="{00000000-0005-0000-0000-00007D210000}"/>
    <cellStyle name="Normal 50 2 2 3 2 2 2" xfId="16972" xr:uid="{00000000-0005-0000-0000-00007E210000}"/>
    <cellStyle name="Normal 50 2 2 3 2 3" xfId="12459" xr:uid="{00000000-0005-0000-0000-00007F210000}"/>
    <cellStyle name="Normal 50 2 2 3 3" xfId="6068" xr:uid="{00000000-0005-0000-0000-000080210000}"/>
    <cellStyle name="Normal 50 2 2 3 3 2" xfId="15109" xr:uid="{00000000-0005-0000-0000-000081210000}"/>
    <cellStyle name="Normal 50 2 2 3 4" xfId="10596" xr:uid="{00000000-0005-0000-0000-000082210000}"/>
    <cellStyle name="Normal 50 2 2 4" xfId="3413" xr:uid="{00000000-0005-0000-0000-000083210000}"/>
    <cellStyle name="Normal 50 2 2 4 2" xfId="7928" xr:uid="{00000000-0005-0000-0000-000084210000}"/>
    <cellStyle name="Normal 50 2 2 4 2 2" xfId="16969" xr:uid="{00000000-0005-0000-0000-000085210000}"/>
    <cellStyle name="Normal 50 2 2 4 3" xfId="12456" xr:uid="{00000000-0005-0000-0000-000086210000}"/>
    <cellStyle name="Normal 50 2 2 5" xfId="4940" xr:uid="{00000000-0005-0000-0000-000087210000}"/>
    <cellStyle name="Normal 50 2 2 5 2" xfId="13981" xr:uid="{00000000-0005-0000-0000-000088210000}"/>
    <cellStyle name="Normal 50 2 2 6" xfId="9468" xr:uid="{00000000-0005-0000-0000-000089210000}"/>
    <cellStyle name="Normal 50 2 3" xfId="563" xr:uid="{00000000-0005-0000-0000-00008A210000}"/>
    <cellStyle name="Normal 50 2 3 2" xfId="1127" xr:uid="{00000000-0005-0000-0000-00008B210000}"/>
    <cellStyle name="Normal 50 2 3 2 2" xfId="2297" xr:uid="{00000000-0005-0000-0000-00008C210000}"/>
    <cellStyle name="Normal 50 2 3 2 2 2" xfId="3419" xr:uid="{00000000-0005-0000-0000-00008D210000}"/>
    <cellStyle name="Normal 50 2 3 2 2 2 2" xfId="7934" xr:uid="{00000000-0005-0000-0000-00008E210000}"/>
    <cellStyle name="Normal 50 2 3 2 2 2 2 2" xfId="16975" xr:uid="{00000000-0005-0000-0000-00008F210000}"/>
    <cellStyle name="Normal 50 2 3 2 2 2 3" xfId="12462" xr:uid="{00000000-0005-0000-0000-000090210000}"/>
    <cellStyle name="Normal 50 2 3 2 2 3" xfId="6820" xr:uid="{00000000-0005-0000-0000-000091210000}"/>
    <cellStyle name="Normal 50 2 3 2 2 3 2" xfId="15861" xr:uid="{00000000-0005-0000-0000-000092210000}"/>
    <cellStyle name="Normal 50 2 3 2 2 4" xfId="11348" xr:uid="{00000000-0005-0000-0000-000093210000}"/>
    <cellStyle name="Normal 50 2 3 2 3" xfId="3418" xr:uid="{00000000-0005-0000-0000-000094210000}"/>
    <cellStyle name="Normal 50 2 3 2 3 2" xfId="7933" xr:uid="{00000000-0005-0000-0000-000095210000}"/>
    <cellStyle name="Normal 50 2 3 2 3 2 2" xfId="16974" xr:uid="{00000000-0005-0000-0000-000096210000}"/>
    <cellStyle name="Normal 50 2 3 2 3 3" xfId="12461" xr:uid="{00000000-0005-0000-0000-000097210000}"/>
    <cellStyle name="Normal 50 2 3 2 4" xfId="5692" xr:uid="{00000000-0005-0000-0000-000098210000}"/>
    <cellStyle name="Normal 50 2 3 2 4 2" xfId="14733" xr:uid="{00000000-0005-0000-0000-000099210000}"/>
    <cellStyle name="Normal 50 2 3 2 5" xfId="10220" xr:uid="{00000000-0005-0000-0000-00009A210000}"/>
    <cellStyle name="Normal 50 2 3 3" xfId="1733" xr:uid="{00000000-0005-0000-0000-00009B210000}"/>
    <cellStyle name="Normal 50 2 3 3 2" xfId="3420" xr:uid="{00000000-0005-0000-0000-00009C210000}"/>
    <cellStyle name="Normal 50 2 3 3 2 2" xfId="7935" xr:uid="{00000000-0005-0000-0000-00009D210000}"/>
    <cellStyle name="Normal 50 2 3 3 2 2 2" xfId="16976" xr:uid="{00000000-0005-0000-0000-00009E210000}"/>
    <cellStyle name="Normal 50 2 3 3 2 3" xfId="12463" xr:uid="{00000000-0005-0000-0000-00009F210000}"/>
    <cellStyle name="Normal 50 2 3 3 3" xfId="6256" xr:uid="{00000000-0005-0000-0000-0000A0210000}"/>
    <cellStyle name="Normal 50 2 3 3 3 2" xfId="15297" xr:uid="{00000000-0005-0000-0000-0000A1210000}"/>
    <cellStyle name="Normal 50 2 3 3 4" xfId="10784" xr:uid="{00000000-0005-0000-0000-0000A2210000}"/>
    <cellStyle name="Normal 50 2 3 4" xfId="3417" xr:uid="{00000000-0005-0000-0000-0000A3210000}"/>
    <cellStyle name="Normal 50 2 3 4 2" xfId="7932" xr:uid="{00000000-0005-0000-0000-0000A4210000}"/>
    <cellStyle name="Normal 50 2 3 4 2 2" xfId="16973" xr:uid="{00000000-0005-0000-0000-0000A5210000}"/>
    <cellStyle name="Normal 50 2 3 4 3" xfId="12460" xr:uid="{00000000-0005-0000-0000-0000A6210000}"/>
    <cellStyle name="Normal 50 2 3 5" xfId="5128" xr:uid="{00000000-0005-0000-0000-0000A7210000}"/>
    <cellStyle name="Normal 50 2 3 5 2" xfId="14169" xr:uid="{00000000-0005-0000-0000-0000A8210000}"/>
    <cellStyle name="Normal 50 2 3 6" xfId="9656" xr:uid="{00000000-0005-0000-0000-0000A9210000}"/>
    <cellStyle name="Normal 50 2 4" xfId="751" xr:uid="{00000000-0005-0000-0000-0000AA210000}"/>
    <cellStyle name="Normal 50 2 4 2" xfId="1921" xr:uid="{00000000-0005-0000-0000-0000AB210000}"/>
    <cellStyle name="Normal 50 2 4 2 2" xfId="3422" xr:uid="{00000000-0005-0000-0000-0000AC210000}"/>
    <cellStyle name="Normal 50 2 4 2 2 2" xfId="7937" xr:uid="{00000000-0005-0000-0000-0000AD210000}"/>
    <cellStyle name="Normal 50 2 4 2 2 2 2" xfId="16978" xr:uid="{00000000-0005-0000-0000-0000AE210000}"/>
    <cellStyle name="Normal 50 2 4 2 2 3" xfId="12465" xr:uid="{00000000-0005-0000-0000-0000AF210000}"/>
    <cellStyle name="Normal 50 2 4 2 3" xfId="6444" xr:uid="{00000000-0005-0000-0000-0000B0210000}"/>
    <cellStyle name="Normal 50 2 4 2 3 2" xfId="15485" xr:uid="{00000000-0005-0000-0000-0000B1210000}"/>
    <cellStyle name="Normal 50 2 4 2 4" xfId="10972" xr:uid="{00000000-0005-0000-0000-0000B2210000}"/>
    <cellStyle name="Normal 50 2 4 3" xfId="3421" xr:uid="{00000000-0005-0000-0000-0000B3210000}"/>
    <cellStyle name="Normal 50 2 4 3 2" xfId="7936" xr:uid="{00000000-0005-0000-0000-0000B4210000}"/>
    <cellStyle name="Normal 50 2 4 3 2 2" xfId="16977" xr:uid="{00000000-0005-0000-0000-0000B5210000}"/>
    <cellStyle name="Normal 50 2 4 3 3" xfId="12464" xr:uid="{00000000-0005-0000-0000-0000B6210000}"/>
    <cellStyle name="Normal 50 2 4 4" xfId="5316" xr:uid="{00000000-0005-0000-0000-0000B7210000}"/>
    <cellStyle name="Normal 50 2 4 4 2" xfId="14357" xr:uid="{00000000-0005-0000-0000-0000B8210000}"/>
    <cellStyle name="Normal 50 2 4 5" xfId="9844" xr:uid="{00000000-0005-0000-0000-0000B9210000}"/>
    <cellStyle name="Normal 50 2 5" xfId="1357" xr:uid="{00000000-0005-0000-0000-0000BA210000}"/>
    <cellStyle name="Normal 50 2 5 2" xfId="3423" xr:uid="{00000000-0005-0000-0000-0000BB210000}"/>
    <cellStyle name="Normal 50 2 5 2 2" xfId="7938" xr:uid="{00000000-0005-0000-0000-0000BC210000}"/>
    <cellStyle name="Normal 50 2 5 2 2 2" xfId="16979" xr:uid="{00000000-0005-0000-0000-0000BD210000}"/>
    <cellStyle name="Normal 50 2 5 2 3" xfId="12466" xr:uid="{00000000-0005-0000-0000-0000BE210000}"/>
    <cellStyle name="Normal 50 2 5 3" xfId="5880" xr:uid="{00000000-0005-0000-0000-0000BF210000}"/>
    <cellStyle name="Normal 50 2 5 3 2" xfId="14921" xr:uid="{00000000-0005-0000-0000-0000C0210000}"/>
    <cellStyle name="Normal 50 2 5 4" xfId="10408" xr:uid="{00000000-0005-0000-0000-0000C1210000}"/>
    <cellStyle name="Normal 50 2 6" xfId="3412" xr:uid="{00000000-0005-0000-0000-0000C2210000}"/>
    <cellStyle name="Normal 50 2 6 2" xfId="7927" xr:uid="{00000000-0005-0000-0000-0000C3210000}"/>
    <cellStyle name="Normal 50 2 6 2 2" xfId="16968" xr:uid="{00000000-0005-0000-0000-0000C4210000}"/>
    <cellStyle name="Normal 50 2 6 3" xfId="12455" xr:uid="{00000000-0005-0000-0000-0000C5210000}"/>
    <cellStyle name="Normal 50 2 7" xfId="4752" xr:uid="{00000000-0005-0000-0000-0000C6210000}"/>
    <cellStyle name="Normal 50 2 7 2" xfId="13793" xr:uid="{00000000-0005-0000-0000-0000C7210000}"/>
    <cellStyle name="Normal 50 2 8" xfId="9280" xr:uid="{00000000-0005-0000-0000-0000C8210000}"/>
    <cellStyle name="Normal 50 3" xfId="281" xr:uid="{00000000-0005-0000-0000-0000C9210000}"/>
    <cellStyle name="Normal 50 3 2" xfId="845" xr:uid="{00000000-0005-0000-0000-0000CA210000}"/>
    <cellStyle name="Normal 50 3 2 2" xfId="2015" xr:uid="{00000000-0005-0000-0000-0000CB210000}"/>
    <cellStyle name="Normal 50 3 2 2 2" xfId="3426" xr:uid="{00000000-0005-0000-0000-0000CC210000}"/>
    <cellStyle name="Normal 50 3 2 2 2 2" xfId="7941" xr:uid="{00000000-0005-0000-0000-0000CD210000}"/>
    <cellStyle name="Normal 50 3 2 2 2 2 2" xfId="16982" xr:uid="{00000000-0005-0000-0000-0000CE210000}"/>
    <cellStyle name="Normal 50 3 2 2 2 3" xfId="12469" xr:uid="{00000000-0005-0000-0000-0000CF210000}"/>
    <cellStyle name="Normal 50 3 2 2 3" xfId="6538" xr:uid="{00000000-0005-0000-0000-0000D0210000}"/>
    <cellStyle name="Normal 50 3 2 2 3 2" xfId="15579" xr:uid="{00000000-0005-0000-0000-0000D1210000}"/>
    <cellStyle name="Normal 50 3 2 2 4" xfId="11066" xr:uid="{00000000-0005-0000-0000-0000D2210000}"/>
    <cellStyle name="Normal 50 3 2 3" xfId="3425" xr:uid="{00000000-0005-0000-0000-0000D3210000}"/>
    <cellStyle name="Normal 50 3 2 3 2" xfId="7940" xr:uid="{00000000-0005-0000-0000-0000D4210000}"/>
    <cellStyle name="Normal 50 3 2 3 2 2" xfId="16981" xr:uid="{00000000-0005-0000-0000-0000D5210000}"/>
    <cellStyle name="Normal 50 3 2 3 3" xfId="12468" xr:uid="{00000000-0005-0000-0000-0000D6210000}"/>
    <cellStyle name="Normal 50 3 2 4" xfId="5410" xr:uid="{00000000-0005-0000-0000-0000D7210000}"/>
    <cellStyle name="Normal 50 3 2 4 2" xfId="14451" xr:uid="{00000000-0005-0000-0000-0000D8210000}"/>
    <cellStyle name="Normal 50 3 2 5" xfId="9938" xr:uid="{00000000-0005-0000-0000-0000D9210000}"/>
    <cellStyle name="Normal 50 3 3" xfId="1451" xr:uid="{00000000-0005-0000-0000-0000DA210000}"/>
    <cellStyle name="Normal 50 3 3 2" xfId="3427" xr:uid="{00000000-0005-0000-0000-0000DB210000}"/>
    <cellStyle name="Normal 50 3 3 2 2" xfId="7942" xr:uid="{00000000-0005-0000-0000-0000DC210000}"/>
    <cellStyle name="Normal 50 3 3 2 2 2" xfId="16983" xr:uid="{00000000-0005-0000-0000-0000DD210000}"/>
    <cellStyle name="Normal 50 3 3 2 3" xfId="12470" xr:uid="{00000000-0005-0000-0000-0000DE210000}"/>
    <cellStyle name="Normal 50 3 3 3" xfId="5974" xr:uid="{00000000-0005-0000-0000-0000DF210000}"/>
    <cellStyle name="Normal 50 3 3 3 2" xfId="15015" xr:uid="{00000000-0005-0000-0000-0000E0210000}"/>
    <cellStyle name="Normal 50 3 3 4" xfId="10502" xr:uid="{00000000-0005-0000-0000-0000E1210000}"/>
    <cellStyle name="Normal 50 3 4" xfId="3424" xr:uid="{00000000-0005-0000-0000-0000E2210000}"/>
    <cellStyle name="Normal 50 3 4 2" xfId="7939" xr:uid="{00000000-0005-0000-0000-0000E3210000}"/>
    <cellStyle name="Normal 50 3 4 2 2" xfId="16980" xr:uid="{00000000-0005-0000-0000-0000E4210000}"/>
    <cellStyle name="Normal 50 3 4 3" xfId="12467" xr:uid="{00000000-0005-0000-0000-0000E5210000}"/>
    <cellStyle name="Normal 50 3 5" xfId="4846" xr:uid="{00000000-0005-0000-0000-0000E6210000}"/>
    <cellStyle name="Normal 50 3 5 2" xfId="13887" xr:uid="{00000000-0005-0000-0000-0000E7210000}"/>
    <cellStyle name="Normal 50 3 6" xfId="9374" xr:uid="{00000000-0005-0000-0000-0000E8210000}"/>
    <cellStyle name="Normal 50 4" xfId="469" xr:uid="{00000000-0005-0000-0000-0000E9210000}"/>
    <cellStyle name="Normal 50 4 2" xfId="1033" xr:uid="{00000000-0005-0000-0000-0000EA210000}"/>
    <cellStyle name="Normal 50 4 2 2" xfId="2203" xr:uid="{00000000-0005-0000-0000-0000EB210000}"/>
    <cellStyle name="Normal 50 4 2 2 2" xfId="3430" xr:uid="{00000000-0005-0000-0000-0000EC210000}"/>
    <cellStyle name="Normal 50 4 2 2 2 2" xfId="7945" xr:uid="{00000000-0005-0000-0000-0000ED210000}"/>
    <cellStyle name="Normal 50 4 2 2 2 2 2" xfId="16986" xr:uid="{00000000-0005-0000-0000-0000EE210000}"/>
    <cellStyle name="Normal 50 4 2 2 2 3" xfId="12473" xr:uid="{00000000-0005-0000-0000-0000EF210000}"/>
    <cellStyle name="Normal 50 4 2 2 3" xfId="6726" xr:uid="{00000000-0005-0000-0000-0000F0210000}"/>
    <cellStyle name="Normal 50 4 2 2 3 2" xfId="15767" xr:uid="{00000000-0005-0000-0000-0000F1210000}"/>
    <cellStyle name="Normal 50 4 2 2 4" xfId="11254" xr:uid="{00000000-0005-0000-0000-0000F2210000}"/>
    <cellStyle name="Normal 50 4 2 3" xfId="3429" xr:uid="{00000000-0005-0000-0000-0000F3210000}"/>
    <cellStyle name="Normal 50 4 2 3 2" xfId="7944" xr:uid="{00000000-0005-0000-0000-0000F4210000}"/>
    <cellStyle name="Normal 50 4 2 3 2 2" xfId="16985" xr:uid="{00000000-0005-0000-0000-0000F5210000}"/>
    <cellStyle name="Normal 50 4 2 3 3" xfId="12472" xr:uid="{00000000-0005-0000-0000-0000F6210000}"/>
    <cellStyle name="Normal 50 4 2 4" xfId="5598" xr:uid="{00000000-0005-0000-0000-0000F7210000}"/>
    <cellStyle name="Normal 50 4 2 4 2" xfId="14639" xr:uid="{00000000-0005-0000-0000-0000F8210000}"/>
    <cellStyle name="Normal 50 4 2 5" xfId="10126" xr:uid="{00000000-0005-0000-0000-0000F9210000}"/>
    <cellStyle name="Normal 50 4 3" xfId="1639" xr:uid="{00000000-0005-0000-0000-0000FA210000}"/>
    <cellStyle name="Normal 50 4 3 2" xfId="3431" xr:uid="{00000000-0005-0000-0000-0000FB210000}"/>
    <cellStyle name="Normal 50 4 3 2 2" xfId="7946" xr:uid="{00000000-0005-0000-0000-0000FC210000}"/>
    <cellStyle name="Normal 50 4 3 2 2 2" xfId="16987" xr:uid="{00000000-0005-0000-0000-0000FD210000}"/>
    <cellStyle name="Normal 50 4 3 2 3" xfId="12474" xr:uid="{00000000-0005-0000-0000-0000FE210000}"/>
    <cellStyle name="Normal 50 4 3 3" xfId="6162" xr:uid="{00000000-0005-0000-0000-0000FF210000}"/>
    <cellStyle name="Normal 50 4 3 3 2" xfId="15203" xr:uid="{00000000-0005-0000-0000-000000220000}"/>
    <cellStyle name="Normal 50 4 3 4" xfId="10690" xr:uid="{00000000-0005-0000-0000-000001220000}"/>
    <cellStyle name="Normal 50 4 4" xfId="3428" xr:uid="{00000000-0005-0000-0000-000002220000}"/>
    <cellStyle name="Normal 50 4 4 2" xfId="7943" xr:uid="{00000000-0005-0000-0000-000003220000}"/>
    <cellStyle name="Normal 50 4 4 2 2" xfId="16984" xr:uid="{00000000-0005-0000-0000-000004220000}"/>
    <cellStyle name="Normal 50 4 4 3" xfId="12471" xr:uid="{00000000-0005-0000-0000-000005220000}"/>
    <cellStyle name="Normal 50 4 5" xfId="5034" xr:uid="{00000000-0005-0000-0000-000006220000}"/>
    <cellStyle name="Normal 50 4 5 2" xfId="14075" xr:uid="{00000000-0005-0000-0000-000007220000}"/>
    <cellStyle name="Normal 50 4 6" xfId="9562" xr:uid="{00000000-0005-0000-0000-000008220000}"/>
    <cellStyle name="Normal 50 5" xfId="657" xr:uid="{00000000-0005-0000-0000-000009220000}"/>
    <cellStyle name="Normal 50 5 2" xfId="1827" xr:uid="{00000000-0005-0000-0000-00000A220000}"/>
    <cellStyle name="Normal 50 5 2 2" xfId="3433" xr:uid="{00000000-0005-0000-0000-00000B220000}"/>
    <cellStyle name="Normal 50 5 2 2 2" xfId="7948" xr:uid="{00000000-0005-0000-0000-00000C220000}"/>
    <cellStyle name="Normal 50 5 2 2 2 2" xfId="16989" xr:uid="{00000000-0005-0000-0000-00000D220000}"/>
    <cellStyle name="Normal 50 5 2 2 3" xfId="12476" xr:uid="{00000000-0005-0000-0000-00000E220000}"/>
    <cellStyle name="Normal 50 5 2 3" xfId="6350" xr:uid="{00000000-0005-0000-0000-00000F220000}"/>
    <cellStyle name="Normal 50 5 2 3 2" xfId="15391" xr:uid="{00000000-0005-0000-0000-000010220000}"/>
    <cellStyle name="Normal 50 5 2 4" xfId="10878" xr:uid="{00000000-0005-0000-0000-000011220000}"/>
    <cellStyle name="Normal 50 5 3" xfId="3432" xr:uid="{00000000-0005-0000-0000-000012220000}"/>
    <cellStyle name="Normal 50 5 3 2" xfId="7947" xr:uid="{00000000-0005-0000-0000-000013220000}"/>
    <cellStyle name="Normal 50 5 3 2 2" xfId="16988" xr:uid="{00000000-0005-0000-0000-000014220000}"/>
    <cellStyle name="Normal 50 5 3 3" xfId="12475" xr:uid="{00000000-0005-0000-0000-000015220000}"/>
    <cellStyle name="Normal 50 5 4" xfId="5222" xr:uid="{00000000-0005-0000-0000-000016220000}"/>
    <cellStyle name="Normal 50 5 4 2" xfId="14263" xr:uid="{00000000-0005-0000-0000-000017220000}"/>
    <cellStyle name="Normal 50 5 5" xfId="9750" xr:uid="{00000000-0005-0000-0000-000018220000}"/>
    <cellStyle name="Normal 50 6" xfId="1263" xr:uid="{00000000-0005-0000-0000-000019220000}"/>
    <cellStyle name="Normal 50 6 2" xfId="3434" xr:uid="{00000000-0005-0000-0000-00001A220000}"/>
    <cellStyle name="Normal 50 6 2 2" xfId="7949" xr:uid="{00000000-0005-0000-0000-00001B220000}"/>
    <cellStyle name="Normal 50 6 2 2 2" xfId="16990" xr:uid="{00000000-0005-0000-0000-00001C220000}"/>
    <cellStyle name="Normal 50 6 2 3" xfId="12477" xr:uid="{00000000-0005-0000-0000-00001D220000}"/>
    <cellStyle name="Normal 50 6 3" xfId="5786" xr:uid="{00000000-0005-0000-0000-00001E220000}"/>
    <cellStyle name="Normal 50 6 3 2" xfId="14827" xr:uid="{00000000-0005-0000-0000-00001F220000}"/>
    <cellStyle name="Normal 50 6 4" xfId="10314" xr:uid="{00000000-0005-0000-0000-000020220000}"/>
    <cellStyle name="Normal 50 7" xfId="3411" xr:uid="{00000000-0005-0000-0000-000021220000}"/>
    <cellStyle name="Normal 50 7 2" xfId="7926" xr:uid="{00000000-0005-0000-0000-000022220000}"/>
    <cellStyle name="Normal 50 7 2 2" xfId="16967" xr:uid="{00000000-0005-0000-0000-000023220000}"/>
    <cellStyle name="Normal 50 7 3" xfId="12454" xr:uid="{00000000-0005-0000-0000-000024220000}"/>
    <cellStyle name="Normal 50 8" xfId="4658" xr:uid="{00000000-0005-0000-0000-000025220000}"/>
    <cellStyle name="Normal 50 8 2" xfId="13699" xr:uid="{00000000-0005-0000-0000-000026220000}"/>
    <cellStyle name="Normal 50 9" xfId="9186" xr:uid="{00000000-0005-0000-0000-000027220000}"/>
    <cellStyle name="Normal 51" xfId="51" xr:uid="{00000000-0005-0000-0000-000028220000}"/>
    <cellStyle name="Normal 51 2" xfId="147" xr:uid="{00000000-0005-0000-0000-000029220000}"/>
    <cellStyle name="Normal 51 2 2" xfId="376" xr:uid="{00000000-0005-0000-0000-00002A220000}"/>
    <cellStyle name="Normal 51 2 2 2" xfId="940" xr:uid="{00000000-0005-0000-0000-00002B220000}"/>
    <cellStyle name="Normal 51 2 2 2 2" xfId="2110" xr:uid="{00000000-0005-0000-0000-00002C220000}"/>
    <cellStyle name="Normal 51 2 2 2 2 2" xfId="3439" xr:uid="{00000000-0005-0000-0000-00002D220000}"/>
    <cellStyle name="Normal 51 2 2 2 2 2 2" xfId="7954" xr:uid="{00000000-0005-0000-0000-00002E220000}"/>
    <cellStyle name="Normal 51 2 2 2 2 2 2 2" xfId="16995" xr:uid="{00000000-0005-0000-0000-00002F220000}"/>
    <cellStyle name="Normal 51 2 2 2 2 2 3" xfId="12482" xr:uid="{00000000-0005-0000-0000-000030220000}"/>
    <cellStyle name="Normal 51 2 2 2 2 3" xfId="6633" xr:uid="{00000000-0005-0000-0000-000031220000}"/>
    <cellStyle name="Normal 51 2 2 2 2 3 2" xfId="15674" xr:uid="{00000000-0005-0000-0000-000032220000}"/>
    <cellStyle name="Normal 51 2 2 2 2 4" xfId="11161" xr:uid="{00000000-0005-0000-0000-000033220000}"/>
    <cellStyle name="Normal 51 2 2 2 3" xfId="3438" xr:uid="{00000000-0005-0000-0000-000034220000}"/>
    <cellStyle name="Normal 51 2 2 2 3 2" xfId="7953" xr:uid="{00000000-0005-0000-0000-000035220000}"/>
    <cellStyle name="Normal 51 2 2 2 3 2 2" xfId="16994" xr:uid="{00000000-0005-0000-0000-000036220000}"/>
    <cellStyle name="Normal 51 2 2 2 3 3" xfId="12481" xr:uid="{00000000-0005-0000-0000-000037220000}"/>
    <cellStyle name="Normal 51 2 2 2 4" xfId="5505" xr:uid="{00000000-0005-0000-0000-000038220000}"/>
    <cellStyle name="Normal 51 2 2 2 4 2" xfId="14546" xr:uid="{00000000-0005-0000-0000-000039220000}"/>
    <cellStyle name="Normal 51 2 2 2 5" xfId="10033" xr:uid="{00000000-0005-0000-0000-00003A220000}"/>
    <cellStyle name="Normal 51 2 2 3" xfId="1546" xr:uid="{00000000-0005-0000-0000-00003B220000}"/>
    <cellStyle name="Normal 51 2 2 3 2" xfId="3440" xr:uid="{00000000-0005-0000-0000-00003C220000}"/>
    <cellStyle name="Normal 51 2 2 3 2 2" xfId="7955" xr:uid="{00000000-0005-0000-0000-00003D220000}"/>
    <cellStyle name="Normal 51 2 2 3 2 2 2" xfId="16996" xr:uid="{00000000-0005-0000-0000-00003E220000}"/>
    <cellStyle name="Normal 51 2 2 3 2 3" xfId="12483" xr:uid="{00000000-0005-0000-0000-00003F220000}"/>
    <cellStyle name="Normal 51 2 2 3 3" xfId="6069" xr:uid="{00000000-0005-0000-0000-000040220000}"/>
    <cellStyle name="Normal 51 2 2 3 3 2" xfId="15110" xr:uid="{00000000-0005-0000-0000-000041220000}"/>
    <cellStyle name="Normal 51 2 2 3 4" xfId="10597" xr:uid="{00000000-0005-0000-0000-000042220000}"/>
    <cellStyle name="Normal 51 2 2 4" xfId="3437" xr:uid="{00000000-0005-0000-0000-000043220000}"/>
    <cellStyle name="Normal 51 2 2 4 2" xfId="7952" xr:uid="{00000000-0005-0000-0000-000044220000}"/>
    <cellStyle name="Normal 51 2 2 4 2 2" xfId="16993" xr:uid="{00000000-0005-0000-0000-000045220000}"/>
    <cellStyle name="Normal 51 2 2 4 3" xfId="12480" xr:uid="{00000000-0005-0000-0000-000046220000}"/>
    <cellStyle name="Normal 51 2 2 5" xfId="4941" xr:uid="{00000000-0005-0000-0000-000047220000}"/>
    <cellStyle name="Normal 51 2 2 5 2" xfId="13982" xr:uid="{00000000-0005-0000-0000-000048220000}"/>
    <cellStyle name="Normal 51 2 2 6" xfId="9469" xr:uid="{00000000-0005-0000-0000-000049220000}"/>
    <cellStyle name="Normal 51 2 3" xfId="564" xr:uid="{00000000-0005-0000-0000-00004A220000}"/>
    <cellStyle name="Normal 51 2 3 2" xfId="1128" xr:uid="{00000000-0005-0000-0000-00004B220000}"/>
    <cellStyle name="Normal 51 2 3 2 2" xfId="2298" xr:uid="{00000000-0005-0000-0000-00004C220000}"/>
    <cellStyle name="Normal 51 2 3 2 2 2" xfId="3443" xr:uid="{00000000-0005-0000-0000-00004D220000}"/>
    <cellStyle name="Normal 51 2 3 2 2 2 2" xfId="7958" xr:uid="{00000000-0005-0000-0000-00004E220000}"/>
    <cellStyle name="Normal 51 2 3 2 2 2 2 2" xfId="16999" xr:uid="{00000000-0005-0000-0000-00004F220000}"/>
    <cellStyle name="Normal 51 2 3 2 2 2 3" xfId="12486" xr:uid="{00000000-0005-0000-0000-000050220000}"/>
    <cellStyle name="Normal 51 2 3 2 2 3" xfId="6821" xr:uid="{00000000-0005-0000-0000-000051220000}"/>
    <cellStyle name="Normal 51 2 3 2 2 3 2" xfId="15862" xr:uid="{00000000-0005-0000-0000-000052220000}"/>
    <cellStyle name="Normal 51 2 3 2 2 4" xfId="11349" xr:uid="{00000000-0005-0000-0000-000053220000}"/>
    <cellStyle name="Normal 51 2 3 2 3" xfId="3442" xr:uid="{00000000-0005-0000-0000-000054220000}"/>
    <cellStyle name="Normal 51 2 3 2 3 2" xfId="7957" xr:uid="{00000000-0005-0000-0000-000055220000}"/>
    <cellStyle name="Normal 51 2 3 2 3 2 2" xfId="16998" xr:uid="{00000000-0005-0000-0000-000056220000}"/>
    <cellStyle name="Normal 51 2 3 2 3 3" xfId="12485" xr:uid="{00000000-0005-0000-0000-000057220000}"/>
    <cellStyle name="Normal 51 2 3 2 4" xfId="5693" xr:uid="{00000000-0005-0000-0000-000058220000}"/>
    <cellStyle name="Normal 51 2 3 2 4 2" xfId="14734" xr:uid="{00000000-0005-0000-0000-000059220000}"/>
    <cellStyle name="Normal 51 2 3 2 5" xfId="10221" xr:uid="{00000000-0005-0000-0000-00005A220000}"/>
    <cellStyle name="Normal 51 2 3 3" xfId="1734" xr:uid="{00000000-0005-0000-0000-00005B220000}"/>
    <cellStyle name="Normal 51 2 3 3 2" xfId="3444" xr:uid="{00000000-0005-0000-0000-00005C220000}"/>
    <cellStyle name="Normal 51 2 3 3 2 2" xfId="7959" xr:uid="{00000000-0005-0000-0000-00005D220000}"/>
    <cellStyle name="Normal 51 2 3 3 2 2 2" xfId="17000" xr:uid="{00000000-0005-0000-0000-00005E220000}"/>
    <cellStyle name="Normal 51 2 3 3 2 3" xfId="12487" xr:uid="{00000000-0005-0000-0000-00005F220000}"/>
    <cellStyle name="Normal 51 2 3 3 3" xfId="6257" xr:uid="{00000000-0005-0000-0000-000060220000}"/>
    <cellStyle name="Normal 51 2 3 3 3 2" xfId="15298" xr:uid="{00000000-0005-0000-0000-000061220000}"/>
    <cellStyle name="Normal 51 2 3 3 4" xfId="10785" xr:uid="{00000000-0005-0000-0000-000062220000}"/>
    <cellStyle name="Normal 51 2 3 4" xfId="3441" xr:uid="{00000000-0005-0000-0000-000063220000}"/>
    <cellStyle name="Normal 51 2 3 4 2" xfId="7956" xr:uid="{00000000-0005-0000-0000-000064220000}"/>
    <cellStyle name="Normal 51 2 3 4 2 2" xfId="16997" xr:uid="{00000000-0005-0000-0000-000065220000}"/>
    <cellStyle name="Normal 51 2 3 4 3" xfId="12484" xr:uid="{00000000-0005-0000-0000-000066220000}"/>
    <cellStyle name="Normal 51 2 3 5" xfId="5129" xr:uid="{00000000-0005-0000-0000-000067220000}"/>
    <cellStyle name="Normal 51 2 3 5 2" xfId="14170" xr:uid="{00000000-0005-0000-0000-000068220000}"/>
    <cellStyle name="Normal 51 2 3 6" xfId="9657" xr:uid="{00000000-0005-0000-0000-000069220000}"/>
    <cellStyle name="Normal 51 2 4" xfId="752" xr:uid="{00000000-0005-0000-0000-00006A220000}"/>
    <cellStyle name="Normal 51 2 4 2" xfId="1922" xr:uid="{00000000-0005-0000-0000-00006B220000}"/>
    <cellStyle name="Normal 51 2 4 2 2" xfId="3446" xr:uid="{00000000-0005-0000-0000-00006C220000}"/>
    <cellStyle name="Normal 51 2 4 2 2 2" xfId="7961" xr:uid="{00000000-0005-0000-0000-00006D220000}"/>
    <cellStyle name="Normal 51 2 4 2 2 2 2" xfId="17002" xr:uid="{00000000-0005-0000-0000-00006E220000}"/>
    <cellStyle name="Normal 51 2 4 2 2 3" xfId="12489" xr:uid="{00000000-0005-0000-0000-00006F220000}"/>
    <cellStyle name="Normal 51 2 4 2 3" xfId="6445" xr:uid="{00000000-0005-0000-0000-000070220000}"/>
    <cellStyle name="Normal 51 2 4 2 3 2" xfId="15486" xr:uid="{00000000-0005-0000-0000-000071220000}"/>
    <cellStyle name="Normal 51 2 4 2 4" xfId="10973" xr:uid="{00000000-0005-0000-0000-000072220000}"/>
    <cellStyle name="Normal 51 2 4 3" xfId="3445" xr:uid="{00000000-0005-0000-0000-000073220000}"/>
    <cellStyle name="Normal 51 2 4 3 2" xfId="7960" xr:uid="{00000000-0005-0000-0000-000074220000}"/>
    <cellStyle name="Normal 51 2 4 3 2 2" xfId="17001" xr:uid="{00000000-0005-0000-0000-000075220000}"/>
    <cellStyle name="Normal 51 2 4 3 3" xfId="12488" xr:uid="{00000000-0005-0000-0000-000076220000}"/>
    <cellStyle name="Normal 51 2 4 4" xfId="5317" xr:uid="{00000000-0005-0000-0000-000077220000}"/>
    <cellStyle name="Normal 51 2 4 4 2" xfId="14358" xr:uid="{00000000-0005-0000-0000-000078220000}"/>
    <cellStyle name="Normal 51 2 4 5" xfId="9845" xr:uid="{00000000-0005-0000-0000-000079220000}"/>
    <cellStyle name="Normal 51 2 5" xfId="1358" xr:uid="{00000000-0005-0000-0000-00007A220000}"/>
    <cellStyle name="Normal 51 2 5 2" xfId="3447" xr:uid="{00000000-0005-0000-0000-00007B220000}"/>
    <cellStyle name="Normal 51 2 5 2 2" xfId="7962" xr:uid="{00000000-0005-0000-0000-00007C220000}"/>
    <cellStyle name="Normal 51 2 5 2 2 2" xfId="17003" xr:uid="{00000000-0005-0000-0000-00007D220000}"/>
    <cellStyle name="Normal 51 2 5 2 3" xfId="12490" xr:uid="{00000000-0005-0000-0000-00007E220000}"/>
    <cellStyle name="Normal 51 2 5 3" xfId="5881" xr:uid="{00000000-0005-0000-0000-00007F220000}"/>
    <cellStyle name="Normal 51 2 5 3 2" xfId="14922" xr:uid="{00000000-0005-0000-0000-000080220000}"/>
    <cellStyle name="Normal 51 2 5 4" xfId="10409" xr:uid="{00000000-0005-0000-0000-000081220000}"/>
    <cellStyle name="Normal 51 2 6" xfId="3436" xr:uid="{00000000-0005-0000-0000-000082220000}"/>
    <cellStyle name="Normal 51 2 6 2" xfId="7951" xr:uid="{00000000-0005-0000-0000-000083220000}"/>
    <cellStyle name="Normal 51 2 6 2 2" xfId="16992" xr:uid="{00000000-0005-0000-0000-000084220000}"/>
    <cellStyle name="Normal 51 2 6 3" xfId="12479" xr:uid="{00000000-0005-0000-0000-000085220000}"/>
    <cellStyle name="Normal 51 2 7" xfId="4753" xr:uid="{00000000-0005-0000-0000-000086220000}"/>
    <cellStyle name="Normal 51 2 7 2" xfId="13794" xr:uid="{00000000-0005-0000-0000-000087220000}"/>
    <cellStyle name="Normal 51 2 8" xfId="9281" xr:uid="{00000000-0005-0000-0000-000088220000}"/>
    <cellStyle name="Normal 51 3" xfId="282" xr:uid="{00000000-0005-0000-0000-000089220000}"/>
    <cellStyle name="Normal 51 3 2" xfId="846" xr:uid="{00000000-0005-0000-0000-00008A220000}"/>
    <cellStyle name="Normal 51 3 2 2" xfId="2016" xr:uid="{00000000-0005-0000-0000-00008B220000}"/>
    <cellStyle name="Normal 51 3 2 2 2" xfId="3450" xr:uid="{00000000-0005-0000-0000-00008C220000}"/>
    <cellStyle name="Normal 51 3 2 2 2 2" xfId="7965" xr:uid="{00000000-0005-0000-0000-00008D220000}"/>
    <cellStyle name="Normal 51 3 2 2 2 2 2" xfId="17006" xr:uid="{00000000-0005-0000-0000-00008E220000}"/>
    <cellStyle name="Normal 51 3 2 2 2 3" xfId="12493" xr:uid="{00000000-0005-0000-0000-00008F220000}"/>
    <cellStyle name="Normal 51 3 2 2 3" xfId="6539" xr:uid="{00000000-0005-0000-0000-000090220000}"/>
    <cellStyle name="Normal 51 3 2 2 3 2" xfId="15580" xr:uid="{00000000-0005-0000-0000-000091220000}"/>
    <cellStyle name="Normal 51 3 2 2 4" xfId="11067" xr:uid="{00000000-0005-0000-0000-000092220000}"/>
    <cellStyle name="Normal 51 3 2 3" xfId="3449" xr:uid="{00000000-0005-0000-0000-000093220000}"/>
    <cellStyle name="Normal 51 3 2 3 2" xfId="7964" xr:uid="{00000000-0005-0000-0000-000094220000}"/>
    <cellStyle name="Normal 51 3 2 3 2 2" xfId="17005" xr:uid="{00000000-0005-0000-0000-000095220000}"/>
    <cellStyle name="Normal 51 3 2 3 3" xfId="12492" xr:uid="{00000000-0005-0000-0000-000096220000}"/>
    <cellStyle name="Normal 51 3 2 4" xfId="5411" xr:uid="{00000000-0005-0000-0000-000097220000}"/>
    <cellStyle name="Normal 51 3 2 4 2" xfId="14452" xr:uid="{00000000-0005-0000-0000-000098220000}"/>
    <cellStyle name="Normal 51 3 2 5" xfId="9939" xr:uid="{00000000-0005-0000-0000-000099220000}"/>
    <cellStyle name="Normal 51 3 3" xfId="1452" xr:uid="{00000000-0005-0000-0000-00009A220000}"/>
    <cellStyle name="Normal 51 3 3 2" xfId="3451" xr:uid="{00000000-0005-0000-0000-00009B220000}"/>
    <cellStyle name="Normal 51 3 3 2 2" xfId="7966" xr:uid="{00000000-0005-0000-0000-00009C220000}"/>
    <cellStyle name="Normal 51 3 3 2 2 2" xfId="17007" xr:uid="{00000000-0005-0000-0000-00009D220000}"/>
    <cellStyle name="Normal 51 3 3 2 3" xfId="12494" xr:uid="{00000000-0005-0000-0000-00009E220000}"/>
    <cellStyle name="Normal 51 3 3 3" xfId="5975" xr:uid="{00000000-0005-0000-0000-00009F220000}"/>
    <cellStyle name="Normal 51 3 3 3 2" xfId="15016" xr:uid="{00000000-0005-0000-0000-0000A0220000}"/>
    <cellStyle name="Normal 51 3 3 4" xfId="10503" xr:uid="{00000000-0005-0000-0000-0000A1220000}"/>
    <cellStyle name="Normal 51 3 4" xfId="3448" xr:uid="{00000000-0005-0000-0000-0000A2220000}"/>
    <cellStyle name="Normal 51 3 4 2" xfId="7963" xr:uid="{00000000-0005-0000-0000-0000A3220000}"/>
    <cellStyle name="Normal 51 3 4 2 2" xfId="17004" xr:uid="{00000000-0005-0000-0000-0000A4220000}"/>
    <cellStyle name="Normal 51 3 4 3" xfId="12491" xr:uid="{00000000-0005-0000-0000-0000A5220000}"/>
    <cellStyle name="Normal 51 3 5" xfId="4847" xr:uid="{00000000-0005-0000-0000-0000A6220000}"/>
    <cellStyle name="Normal 51 3 5 2" xfId="13888" xr:uid="{00000000-0005-0000-0000-0000A7220000}"/>
    <cellStyle name="Normal 51 3 6" xfId="9375" xr:uid="{00000000-0005-0000-0000-0000A8220000}"/>
    <cellStyle name="Normal 51 4" xfId="470" xr:uid="{00000000-0005-0000-0000-0000A9220000}"/>
    <cellStyle name="Normal 51 4 2" xfId="1034" xr:uid="{00000000-0005-0000-0000-0000AA220000}"/>
    <cellStyle name="Normal 51 4 2 2" xfId="2204" xr:uid="{00000000-0005-0000-0000-0000AB220000}"/>
    <cellStyle name="Normal 51 4 2 2 2" xfId="3454" xr:uid="{00000000-0005-0000-0000-0000AC220000}"/>
    <cellStyle name="Normal 51 4 2 2 2 2" xfId="7969" xr:uid="{00000000-0005-0000-0000-0000AD220000}"/>
    <cellStyle name="Normal 51 4 2 2 2 2 2" xfId="17010" xr:uid="{00000000-0005-0000-0000-0000AE220000}"/>
    <cellStyle name="Normal 51 4 2 2 2 3" xfId="12497" xr:uid="{00000000-0005-0000-0000-0000AF220000}"/>
    <cellStyle name="Normal 51 4 2 2 3" xfId="6727" xr:uid="{00000000-0005-0000-0000-0000B0220000}"/>
    <cellStyle name="Normal 51 4 2 2 3 2" xfId="15768" xr:uid="{00000000-0005-0000-0000-0000B1220000}"/>
    <cellStyle name="Normal 51 4 2 2 4" xfId="11255" xr:uid="{00000000-0005-0000-0000-0000B2220000}"/>
    <cellStyle name="Normal 51 4 2 3" xfId="3453" xr:uid="{00000000-0005-0000-0000-0000B3220000}"/>
    <cellStyle name="Normal 51 4 2 3 2" xfId="7968" xr:uid="{00000000-0005-0000-0000-0000B4220000}"/>
    <cellStyle name="Normal 51 4 2 3 2 2" xfId="17009" xr:uid="{00000000-0005-0000-0000-0000B5220000}"/>
    <cellStyle name="Normal 51 4 2 3 3" xfId="12496" xr:uid="{00000000-0005-0000-0000-0000B6220000}"/>
    <cellStyle name="Normal 51 4 2 4" xfId="5599" xr:uid="{00000000-0005-0000-0000-0000B7220000}"/>
    <cellStyle name="Normal 51 4 2 4 2" xfId="14640" xr:uid="{00000000-0005-0000-0000-0000B8220000}"/>
    <cellStyle name="Normal 51 4 2 5" xfId="10127" xr:uid="{00000000-0005-0000-0000-0000B9220000}"/>
    <cellStyle name="Normal 51 4 3" xfId="1640" xr:uid="{00000000-0005-0000-0000-0000BA220000}"/>
    <cellStyle name="Normal 51 4 3 2" xfId="3455" xr:uid="{00000000-0005-0000-0000-0000BB220000}"/>
    <cellStyle name="Normal 51 4 3 2 2" xfId="7970" xr:uid="{00000000-0005-0000-0000-0000BC220000}"/>
    <cellStyle name="Normal 51 4 3 2 2 2" xfId="17011" xr:uid="{00000000-0005-0000-0000-0000BD220000}"/>
    <cellStyle name="Normal 51 4 3 2 3" xfId="12498" xr:uid="{00000000-0005-0000-0000-0000BE220000}"/>
    <cellStyle name="Normal 51 4 3 3" xfId="6163" xr:uid="{00000000-0005-0000-0000-0000BF220000}"/>
    <cellStyle name="Normal 51 4 3 3 2" xfId="15204" xr:uid="{00000000-0005-0000-0000-0000C0220000}"/>
    <cellStyle name="Normal 51 4 3 4" xfId="10691" xr:uid="{00000000-0005-0000-0000-0000C1220000}"/>
    <cellStyle name="Normal 51 4 4" xfId="3452" xr:uid="{00000000-0005-0000-0000-0000C2220000}"/>
    <cellStyle name="Normal 51 4 4 2" xfId="7967" xr:uid="{00000000-0005-0000-0000-0000C3220000}"/>
    <cellStyle name="Normal 51 4 4 2 2" xfId="17008" xr:uid="{00000000-0005-0000-0000-0000C4220000}"/>
    <cellStyle name="Normal 51 4 4 3" xfId="12495" xr:uid="{00000000-0005-0000-0000-0000C5220000}"/>
    <cellStyle name="Normal 51 4 5" xfId="5035" xr:uid="{00000000-0005-0000-0000-0000C6220000}"/>
    <cellStyle name="Normal 51 4 5 2" xfId="14076" xr:uid="{00000000-0005-0000-0000-0000C7220000}"/>
    <cellStyle name="Normal 51 4 6" xfId="9563" xr:uid="{00000000-0005-0000-0000-0000C8220000}"/>
    <cellStyle name="Normal 51 5" xfId="658" xr:uid="{00000000-0005-0000-0000-0000C9220000}"/>
    <cellStyle name="Normal 51 5 2" xfId="1828" xr:uid="{00000000-0005-0000-0000-0000CA220000}"/>
    <cellStyle name="Normal 51 5 2 2" xfId="3457" xr:uid="{00000000-0005-0000-0000-0000CB220000}"/>
    <cellStyle name="Normal 51 5 2 2 2" xfId="7972" xr:uid="{00000000-0005-0000-0000-0000CC220000}"/>
    <cellStyle name="Normal 51 5 2 2 2 2" xfId="17013" xr:uid="{00000000-0005-0000-0000-0000CD220000}"/>
    <cellStyle name="Normal 51 5 2 2 3" xfId="12500" xr:uid="{00000000-0005-0000-0000-0000CE220000}"/>
    <cellStyle name="Normal 51 5 2 3" xfId="6351" xr:uid="{00000000-0005-0000-0000-0000CF220000}"/>
    <cellStyle name="Normal 51 5 2 3 2" xfId="15392" xr:uid="{00000000-0005-0000-0000-0000D0220000}"/>
    <cellStyle name="Normal 51 5 2 4" xfId="10879" xr:uid="{00000000-0005-0000-0000-0000D1220000}"/>
    <cellStyle name="Normal 51 5 3" xfId="3456" xr:uid="{00000000-0005-0000-0000-0000D2220000}"/>
    <cellStyle name="Normal 51 5 3 2" xfId="7971" xr:uid="{00000000-0005-0000-0000-0000D3220000}"/>
    <cellStyle name="Normal 51 5 3 2 2" xfId="17012" xr:uid="{00000000-0005-0000-0000-0000D4220000}"/>
    <cellStyle name="Normal 51 5 3 3" xfId="12499" xr:uid="{00000000-0005-0000-0000-0000D5220000}"/>
    <cellStyle name="Normal 51 5 4" xfId="5223" xr:uid="{00000000-0005-0000-0000-0000D6220000}"/>
    <cellStyle name="Normal 51 5 4 2" xfId="14264" xr:uid="{00000000-0005-0000-0000-0000D7220000}"/>
    <cellStyle name="Normal 51 5 5" xfId="9751" xr:uid="{00000000-0005-0000-0000-0000D8220000}"/>
    <cellStyle name="Normal 51 6" xfId="1264" xr:uid="{00000000-0005-0000-0000-0000D9220000}"/>
    <cellStyle name="Normal 51 6 2" xfId="3458" xr:uid="{00000000-0005-0000-0000-0000DA220000}"/>
    <cellStyle name="Normal 51 6 2 2" xfId="7973" xr:uid="{00000000-0005-0000-0000-0000DB220000}"/>
    <cellStyle name="Normal 51 6 2 2 2" xfId="17014" xr:uid="{00000000-0005-0000-0000-0000DC220000}"/>
    <cellStyle name="Normal 51 6 2 3" xfId="12501" xr:uid="{00000000-0005-0000-0000-0000DD220000}"/>
    <cellStyle name="Normal 51 6 3" xfId="5787" xr:uid="{00000000-0005-0000-0000-0000DE220000}"/>
    <cellStyle name="Normal 51 6 3 2" xfId="14828" xr:uid="{00000000-0005-0000-0000-0000DF220000}"/>
    <cellStyle name="Normal 51 6 4" xfId="10315" xr:uid="{00000000-0005-0000-0000-0000E0220000}"/>
    <cellStyle name="Normal 51 7" xfId="3435" xr:uid="{00000000-0005-0000-0000-0000E1220000}"/>
    <cellStyle name="Normal 51 7 2" xfId="7950" xr:uid="{00000000-0005-0000-0000-0000E2220000}"/>
    <cellStyle name="Normal 51 7 2 2" xfId="16991" xr:uid="{00000000-0005-0000-0000-0000E3220000}"/>
    <cellStyle name="Normal 51 7 3" xfId="12478" xr:uid="{00000000-0005-0000-0000-0000E4220000}"/>
    <cellStyle name="Normal 51 8" xfId="4659" xr:uid="{00000000-0005-0000-0000-0000E5220000}"/>
    <cellStyle name="Normal 51 8 2" xfId="13700" xr:uid="{00000000-0005-0000-0000-0000E6220000}"/>
    <cellStyle name="Normal 51 9" xfId="9187" xr:uid="{00000000-0005-0000-0000-0000E7220000}"/>
    <cellStyle name="Normal 52" xfId="52" xr:uid="{00000000-0005-0000-0000-0000E8220000}"/>
    <cellStyle name="Normal 52 2" xfId="148" xr:uid="{00000000-0005-0000-0000-0000E9220000}"/>
    <cellStyle name="Normal 52 2 2" xfId="377" xr:uid="{00000000-0005-0000-0000-0000EA220000}"/>
    <cellStyle name="Normal 52 2 2 2" xfId="941" xr:uid="{00000000-0005-0000-0000-0000EB220000}"/>
    <cellStyle name="Normal 52 2 2 2 2" xfId="2111" xr:uid="{00000000-0005-0000-0000-0000EC220000}"/>
    <cellStyle name="Normal 52 2 2 2 2 2" xfId="3463" xr:uid="{00000000-0005-0000-0000-0000ED220000}"/>
    <cellStyle name="Normal 52 2 2 2 2 2 2" xfId="7978" xr:uid="{00000000-0005-0000-0000-0000EE220000}"/>
    <cellStyle name="Normal 52 2 2 2 2 2 2 2" xfId="17019" xr:uid="{00000000-0005-0000-0000-0000EF220000}"/>
    <cellStyle name="Normal 52 2 2 2 2 2 3" xfId="12506" xr:uid="{00000000-0005-0000-0000-0000F0220000}"/>
    <cellStyle name="Normal 52 2 2 2 2 3" xfId="6634" xr:uid="{00000000-0005-0000-0000-0000F1220000}"/>
    <cellStyle name="Normal 52 2 2 2 2 3 2" xfId="15675" xr:uid="{00000000-0005-0000-0000-0000F2220000}"/>
    <cellStyle name="Normal 52 2 2 2 2 4" xfId="11162" xr:uid="{00000000-0005-0000-0000-0000F3220000}"/>
    <cellStyle name="Normal 52 2 2 2 3" xfId="3462" xr:uid="{00000000-0005-0000-0000-0000F4220000}"/>
    <cellStyle name="Normal 52 2 2 2 3 2" xfId="7977" xr:uid="{00000000-0005-0000-0000-0000F5220000}"/>
    <cellStyle name="Normal 52 2 2 2 3 2 2" xfId="17018" xr:uid="{00000000-0005-0000-0000-0000F6220000}"/>
    <cellStyle name="Normal 52 2 2 2 3 3" xfId="12505" xr:uid="{00000000-0005-0000-0000-0000F7220000}"/>
    <cellStyle name="Normal 52 2 2 2 4" xfId="5506" xr:uid="{00000000-0005-0000-0000-0000F8220000}"/>
    <cellStyle name="Normal 52 2 2 2 4 2" xfId="14547" xr:uid="{00000000-0005-0000-0000-0000F9220000}"/>
    <cellStyle name="Normal 52 2 2 2 5" xfId="10034" xr:uid="{00000000-0005-0000-0000-0000FA220000}"/>
    <cellStyle name="Normal 52 2 2 3" xfId="1547" xr:uid="{00000000-0005-0000-0000-0000FB220000}"/>
    <cellStyle name="Normal 52 2 2 3 2" xfId="3464" xr:uid="{00000000-0005-0000-0000-0000FC220000}"/>
    <cellStyle name="Normal 52 2 2 3 2 2" xfId="7979" xr:uid="{00000000-0005-0000-0000-0000FD220000}"/>
    <cellStyle name="Normal 52 2 2 3 2 2 2" xfId="17020" xr:uid="{00000000-0005-0000-0000-0000FE220000}"/>
    <cellStyle name="Normal 52 2 2 3 2 3" xfId="12507" xr:uid="{00000000-0005-0000-0000-0000FF220000}"/>
    <cellStyle name="Normal 52 2 2 3 3" xfId="6070" xr:uid="{00000000-0005-0000-0000-000000230000}"/>
    <cellStyle name="Normal 52 2 2 3 3 2" xfId="15111" xr:uid="{00000000-0005-0000-0000-000001230000}"/>
    <cellStyle name="Normal 52 2 2 3 4" xfId="10598" xr:uid="{00000000-0005-0000-0000-000002230000}"/>
    <cellStyle name="Normal 52 2 2 4" xfId="3461" xr:uid="{00000000-0005-0000-0000-000003230000}"/>
    <cellStyle name="Normal 52 2 2 4 2" xfId="7976" xr:uid="{00000000-0005-0000-0000-000004230000}"/>
    <cellStyle name="Normal 52 2 2 4 2 2" xfId="17017" xr:uid="{00000000-0005-0000-0000-000005230000}"/>
    <cellStyle name="Normal 52 2 2 4 3" xfId="12504" xr:uid="{00000000-0005-0000-0000-000006230000}"/>
    <cellStyle name="Normal 52 2 2 5" xfId="4942" xr:uid="{00000000-0005-0000-0000-000007230000}"/>
    <cellStyle name="Normal 52 2 2 5 2" xfId="13983" xr:uid="{00000000-0005-0000-0000-000008230000}"/>
    <cellStyle name="Normal 52 2 2 6" xfId="9470" xr:uid="{00000000-0005-0000-0000-000009230000}"/>
    <cellStyle name="Normal 52 2 3" xfId="565" xr:uid="{00000000-0005-0000-0000-00000A230000}"/>
    <cellStyle name="Normal 52 2 3 2" xfId="1129" xr:uid="{00000000-0005-0000-0000-00000B230000}"/>
    <cellStyle name="Normal 52 2 3 2 2" xfId="2299" xr:uid="{00000000-0005-0000-0000-00000C230000}"/>
    <cellStyle name="Normal 52 2 3 2 2 2" xfId="3467" xr:uid="{00000000-0005-0000-0000-00000D230000}"/>
    <cellStyle name="Normal 52 2 3 2 2 2 2" xfId="7982" xr:uid="{00000000-0005-0000-0000-00000E230000}"/>
    <cellStyle name="Normal 52 2 3 2 2 2 2 2" xfId="17023" xr:uid="{00000000-0005-0000-0000-00000F230000}"/>
    <cellStyle name="Normal 52 2 3 2 2 2 3" xfId="12510" xr:uid="{00000000-0005-0000-0000-000010230000}"/>
    <cellStyle name="Normal 52 2 3 2 2 3" xfId="6822" xr:uid="{00000000-0005-0000-0000-000011230000}"/>
    <cellStyle name="Normal 52 2 3 2 2 3 2" xfId="15863" xr:uid="{00000000-0005-0000-0000-000012230000}"/>
    <cellStyle name="Normal 52 2 3 2 2 4" xfId="11350" xr:uid="{00000000-0005-0000-0000-000013230000}"/>
    <cellStyle name="Normal 52 2 3 2 3" xfId="3466" xr:uid="{00000000-0005-0000-0000-000014230000}"/>
    <cellStyle name="Normal 52 2 3 2 3 2" xfId="7981" xr:uid="{00000000-0005-0000-0000-000015230000}"/>
    <cellStyle name="Normal 52 2 3 2 3 2 2" xfId="17022" xr:uid="{00000000-0005-0000-0000-000016230000}"/>
    <cellStyle name="Normal 52 2 3 2 3 3" xfId="12509" xr:uid="{00000000-0005-0000-0000-000017230000}"/>
    <cellStyle name="Normal 52 2 3 2 4" xfId="5694" xr:uid="{00000000-0005-0000-0000-000018230000}"/>
    <cellStyle name="Normal 52 2 3 2 4 2" xfId="14735" xr:uid="{00000000-0005-0000-0000-000019230000}"/>
    <cellStyle name="Normal 52 2 3 2 5" xfId="10222" xr:uid="{00000000-0005-0000-0000-00001A230000}"/>
    <cellStyle name="Normal 52 2 3 3" xfId="1735" xr:uid="{00000000-0005-0000-0000-00001B230000}"/>
    <cellStyle name="Normal 52 2 3 3 2" xfId="3468" xr:uid="{00000000-0005-0000-0000-00001C230000}"/>
    <cellStyle name="Normal 52 2 3 3 2 2" xfId="7983" xr:uid="{00000000-0005-0000-0000-00001D230000}"/>
    <cellStyle name="Normal 52 2 3 3 2 2 2" xfId="17024" xr:uid="{00000000-0005-0000-0000-00001E230000}"/>
    <cellStyle name="Normal 52 2 3 3 2 3" xfId="12511" xr:uid="{00000000-0005-0000-0000-00001F230000}"/>
    <cellStyle name="Normal 52 2 3 3 3" xfId="6258" xr:uid="{00000000-0005-0000-0000-000020230000}"/>
    <cellStyle name="Normal 52 2 3 3 3 2" xfId="15299" xr:uid="{00000000-0005-0000-0000-000021230000}"/>
    <cellStyle name="Normal 52 2 3 3 4" xfId="10786" xr:uid="{00000000-0005-0000-0000-000022230000}"/>
    <cellStyle name="Normal 52 2 3 4" xfId="3465" xr:uid="{00000000-0005-0000-0000-000023230000}"/>
    <cellStyle name="Normal 52 2 3 4 2" xfId="7980" xr:uid="{00000000-0005-0000-0000-000024230000}"/>
    <cellStyle name="Normal 52 2 3 4 2 2" xfId="17021" xr:uid="{00000000-0005-0000-0000-000025230000}"/>
    <cellStyle name="Normal 52 2 3 4 3" xfId="12508" xr:uid="{00000000-0005-0000-0000-000026230000}"/>
    <cellStyle name="Normal 52 2 3 5" xfId="5130" xr:uid="{00000000-0005-0000-0000-000027230000}"/>
    <cellStyle name="Normal 52 2 3 5 2" xfId="14171" xr:uid="{00000000-0005-0000-0000-000028230000}"/>
    <cellStyle name="Normal 52 2 3 6" xfId="9658" xr:uid="{00000000-0005-0000-0000-000029230000}"/>
    <cellStyle name="Normal 52 2 4" xfId="753" xr:uid="{00000000-0005-0000-0000-00002A230000}"/>
    <cellStyle name="Normal 52 2 4 2" xfId="1923" xr:uid="{00000000-0005-0000-0000-00002B230000}"/>
    <cellStyle name="Normal 52 2 4 2 2" xfId="3470" xr:uid="{00000000-0005-0000-0000-00002C230000}"/>
    <cellStyle name="Normal 52 2 4 2 2 2" xfId="7985" xr:uid="{00000000-0005-0000-0000-00002D230000}"/>
    <cellStyle name="Normal 52 2 4 2 2 2 2" xfId="17026" xr:uid="{00000000-0005-0000-0000-00002E230000}"/>
    <cellStyle name="Normal 52 2 4 2 2 3" xfId="12513" xr:uid="{00000000-0005-0000-0000-00002F230000}"/>
    <cellStyle name="Normal 52 2 4 2 3" xfId="6446" xr:uid="{00000000-0005-0000-0000-000030230000}"/>
    <cellStyle name="Normal 52 2 4 2 3 2" xfId="15487" xr:uid="{00000000-0005-0000-0000-000031230000}"/>
    <cellStyle name="Normal 52 2 4 2 4" xfId="10974" xr:uid="{00000000-0005-0000-0000-000032230000}"/>
    <cellStyle name="Normal 52 2 4 3" xfId="3469" xr:uid="{00000000-0005-0000-0000-000033230000}"/>
    <cellStyle name="Normal 52 2 4 3 2" xfId="7984" xr:uid="{00000000-0005-0000-0000-000034230000}"/>
    <cellStyle name="Normal 52 2 4 3 2 2" xfId="17025" xr:uid="{00000000-0005-0000-0000-000035230000}"/>
    <cellStyle name="Normal 52 2 4 3 3" xfId="12512" xr:uid="{00000000-0005-0000-0000-000036230000}"/>
    <cellStyle name="Normal 52 2 4 4" xfId="5318" xr:uid="{00000000-0005-0000-0000-000037230000}"/>
    <cellStyle name="Normal 52 2 4 4 2" xfId="14359" xr:uid="{00000000-0005-0000-0000-000038230000}"/>
    <cellStyle name="Normal 52 2 4 5" xfId="9846" xr:uid="{00000000-0005-0000-0000-000039230000}"/>
    <cellStyle name="Normal 52 2 5" xfId="1359" xr:uid="{00000000-0005-0000-0000-00003A230000}"/>
    <cellStyle name="Normal 52 2 5 2" xfId="3471" xr:uid="{00000000-0005-0000-0000-00003B230000}"/>
    <cellStyle name="Normal 52 2 5 2 2" xfId="7986" xr:uid="{00000000-0005-0000-0000-00003C230000}"/>
    <cellStyle name="Normal 52 2 5 2 2 2" xfId="17027" xr:uid="{00000000-0005-0000-0000-00003D230000}"/>
    <cellStyle name="Normal 52 2 5 2 3" xfId="12514" xr:uid="{00000000-0005-0000-0000-00003E230000}"/>
    <cellStyle name="Normal 52 2 5 3" xfId="5882" xr:uid="{00000000-0005-0000-0000-00003F230000}"/>
    <cellStyle name="Normal 52 2 5 3 2" xfId="14923" xr:uid="{00000000-0005-0000-0000-000040230000}"/>
    <cellStyle name="Normal 52 2 5 4" xfId="10410" xr:uid="{00000000-0005-0000-0000-000041230000}"/>
    <cellStyle name="Normal 52 2 6" xfId="3460" xr:uid="{00000000-0005-0000-0000-000042230000}"/>
    <cellStyle name="Normal 52 2 6 2" xfId="7975" xr:uid="{00000000-0005-0000-0000-000043230000}"/>
    <cellStyle name="Normal 52 2 6 2 2" xfId="17016" xr:uid="{00000000-0005-0000-0000-000044230000}"/>
    <cellStyle name="Normal 52 2 6 3" xfId="12503" xr:uid="{00000000-0005-0000-0000-000045230000}"/>
    <cellStyle name="Normal 52 2 7" xfId="4754" xr:uid="{00000000-0005-0000-0000-000046230000}"/>
    <cellStyle name="Normal 52 2 7 2" xfId="13795" xr:uid="{00000000-0005-0000-0000-000047230000}"/>
    <cellStyle name="Normal 52 2 8" xfId="9282" xr:uid="{00000000-0005-0000-0000-000048230000}"/>
    <cellStyle name="Normal 52 3" xfId="283" xr:uid="{00000000-0005-0000-0000-000049230000}"/>
    <cellStyle name="Normal 52 3 2" xfId="847" xr:uid="{00000000-0005-0000-0000-00004A230000}"/>
    <cellStyle name="Normal 52 3 2 2" xfId="2017" xr:uid="{00000000-0005-0000-0000-00004B230000}"/>
    <cellStyle name="Normal 52 3 2 2 2" xfId="3474" xr:uid="{00000000-0005-0000-0000-00004C230000}"/>
    <cellStyle name="Normal 52 3 2 2 2 2" xfId="7989" xr:uid="{00000000-0005-0000-0000-00004D230000}"/>
    <cellStyle name="Normal 52 3 2 2 2 2 2" xfId="17030" xr:uid="{00000000-0005-0000-0000-00004E230000}"/>
    <cellStyle name="Normal 52 3 2 2 2 3" xfId="12517" xr:uid="{00000000-0005-0000-0000-00004F230000}"/>
    <cellStyle name="Normal 52 3 2 2 3" xfId="6540" xr:uid="{00000000-0005-0000-0000-000050230000}"/>
    <cellStyle name="Normal 52 3 2 2 3 2" xfId="15581" xr:uid="{00000000-0005-0000-0000-000051230000}"/>
    <cellStyle name="Normal 52 3 2 2 4" xfId="11068" xr:uid="{00000000-0005-0000-0000-000052230000}"/>
    <cellStyle name="Normal 52 3 2 3" xfId="3473" xr:uid="{00000000-0005-0000-0000-000053230000}"/>
    <cellStyle name="Normal 52 3 2 3 2" xfId="7988" xr:uid="{00000000-0005-0000-0000-000054230000}"/>
    <cellStyle name="Normal 52 3 2 3 2 2" xfId="17029" xr:uid="{00000000-0005-0000-0000-000055230000}"/>
    <cellStyle name="Normal 52 3 2 3 3" xfId="12516" xr:uid="{00000000-0005-0000-0000-000056230000}"/>
    <cellStyle name="Normal 52 3 2 4" xfId="5412" xr:uid="{00000000-0005-0000-0000-000057230000}"/>
    <cellStyle name="Normal 52 3 2 4 2" xfId="14453" xr:uid="{00000000-0005-0000-0000-000058230000}"/>
    <cellStyle name="Normal 52 3 2 5" xfId="9940" xr:uid="{00000000-0005-0000-0000-000059230000}"/>
    <cellStyle name="Normal 52 3 3" xfId="1453" xr:uid="{00000000-0005-0000-0000-00005A230000}"/>
    <cellStyle name="Normal 52 3 3 2" xfId="3475" xr:uid="{00000000-0005-0000-0000-00005B230000}"/>
    <cellStyle name="Normal 52 3 3 2 2" xfId="7990" xr:uid="{00000000-0005-0000-0000-00005C230000}"/>
    <cellStyle name="Normal 52 3 3 2 2 2" xfId="17031" xr:uid="{00000000-0005-0000-0000-00005D230000}"/>
    <cellStyle name="Normal 52 3 3 2 3" xfId="12518" xr:uid="{00000000-0005-0000-0000-00005E230000}"/>
    <cellStyle name="Normal 52 3 3 3" xfId="5976" xr:uid="{00000000-0005-0000-0000-00005F230000}"/>
    <cellStyle name="Normal 52 3 3 3 2" xfId="15017" xr:uid="{00000000-0005-0000-0000-000060230000}"/>
    <cellStyle name="Normal 52 3 3 4" xfId="10504" xr:uid="{00000000-0005-0000-0000-000061230000}"/>
    <cellStyle name="Normal 52 3 4" xfId="3472" xr:uid="{00000000-0005-0000-0000-000062230000}"/>
    <cellStyle name="Normal 52 3 4 2" xfId="7987" xr:uid="{00000000-0005-0000-0000-000063230000}"/>
    <cellStyle name="Normal 52 3 4 2 2" xfId="17028" xr:uid="{00000000-0005-0000-0000-000064230000}"/>
    <cellStyle name="Normal 52 3 4 3" xfId="12515" xr:uid="{00000000-0005-0000-0000-000065230000}"/>
    <cellStyle name="Normal 52 3 5" xfId="4848" xr:uid="{00000000-0005-0000-0000-000066230000}"/>
    <cellStyle name="Normal 52 3 5 2" xfId="13889" xr:uid="{00000000-0005-0000-0000-000067230000}"/>
    <cellStyle name="Normal 52 3 6" xfId="9376" xr:uid="{00000000-0005-0000-0000-000068230000}"/>
    <cellStyle name="Normal 52 4" xfId="471" xr:uid="{00000000-0005-0000-0000-000069230000}"/>
    <cellStyle name="Normal 52 4 2" xfId="1035" xr:uid="{00000000-0005-0000-0000-00006A230000}"/>
    <cellStyle name="Normal 52 4 2 2" xfId="2205" xr:uid="{00000000-0005-0000-0000-00006B230000}"/>
    <cellStyle name="Normal 52 4 2 2 2" xfId="3478" xr:uid="{00000000-0005-0000-0000-00006C230000}"/>
    <cellStyle name="Normal 52 4 2 2 2 2" xfId="7993" xr:uid="{00000000-0005-0000-0000-00006D230000}"/>
    <cellStyle name="Normal 52 4 2 2 2 2 2" xfId="17034" xr:uid="{00000000-0005-0000-0000-00006E230000}"/>
    <cellStyle name="Normal 52 4 2 2 2 3" xfId="12521" xr:uid="{00000000-0005-0000-0000-00006F230000}"/>
    <cellStyle name="Normal 52 4 2 2 3" xfId="6728" xr:uid="{00000000-0005-0000-0000-000070230000}"/>
    <cellStyle name="Normal 52 4 2 2 3 2" xfId="15769" xr:uid="{00000000-0005-0000-0000-000071230000}"/>
    <cellStyle name="Normal 52 4 2 2 4" xfId="11256" xr:uid="{00000000-0005-0000-0000-000072230000}"/>
    <cellStyle name="Normal 52 4 2 3" xfId="3477" xr:uid="{00000000-0005-0000-0000-000073230000}"/>
    <cellStyle name="Normal 52 4 2 3 2" xfId="7992" xr:uid="{00000000-0005-0000-0000-000074230000}"/>
    <cellStyle name="Normal 52 4 2 3 2 2" xfId="17033" xr:uid="{00000000-0005-0000-0000-000075230000}"/>
    <cellStyle name="Normal 52 4 2 3 3" xfId="12520" xr:uid="{00000000-0005-0000-0000-000076230000}"/>
    <cellStyle name="Normal 52 4 2 4" xfId="5600" xr:uid="{00000000-0005-0000-0000-000077230000}"/>
    <cellStyle name="Normal 52 4 2 4 2" xfId="14641" xr:uid="{00000000-0005-0000-0000-000078230000}"/>
    <cellStyle name="Normal 52 4 2 5" xfId="10128" xr:uid="{00000000-0005-0000-0000-000079230000}"/>
    <cellStyle name="Normal 52 4 3" xfId="1641" xr:uid="{00000000-0005-0000-0000-00007A230000}"/>
    <cellStyle name="Normal 52 4 3 2" xfId="3479" xr:uid="{00000000-0005-0000-0000-00007B230000}"/>
    <cellStyle name="Normal 52 4 3 2 2" xfId="7994" xr:uid="{00000000-0005-0000-0000-00007C230000}"/>
    <cellStyle name="Normal 52 4 3 2 2 2" xfId="17035" xr:uid="{00000000-0005-0000-0000-00007D230000}"/>
    <cellStyle name="Normal 52 4 3 2 3" xfId="12522" xr:uid="{00000000-0005-0000-0000-00007E230000}"/>
    <cellStyle name="Normal 52 4 3 3" xfId="6164" xr:uid="{00000000-0005-0000-0000-00007F230000}"/>
    <cellStyle name="Normal 52 4 3 3 2" xfId="15205" xr:uid="{00000000-0005-0000-0000-000080230000}"/>
    <cellStyle name="Normal 52 4 3 4" xfId="10692" xr:uid="{00000000-0005-0000-0000-000081230000}"/>
    <cellStyle name="Normal 52 4 4" xfId="3476" xr:uid="{00000000-0005-0000-0000-000082230000}"/>
    <cellStyle name="Normal 52 4 4 2" xfId="7991" xr:uid="{00000000-0005-0000-0000-000083230000}"/>
    <cellStyle name="Normal 52 4 4 2 2" xfId="17032" xr:uid="{00000000-0005-0000-0000-000084230000}"/>
    <cellStyle name="Normal 52 4 4 3" xfId="12519" xr:uid="{00000000-0005-0000-0000-000085230000}"/>
    <cellStyle name="Normal 52 4 5" xfId="5036" xr:uid="{00000000-0005-0000-0000-000086230000}"/>
    <cellStyle name="Normal 52 4 5 2" xfId="14077" xr:uid="{00000000-0005-0000-0000-000087230000}"/>
    <cellStyle name="Normal 52 4 6" xfId="9564" xr:uid="{00000000-0005-0000-0000-000088230000}"/>
    <cellStyle name="Normal 52 5" xfId="659" xr:uid="{00000000-0005-0000-0000-000089230000}"/>
    <cellStyle name="Normal 52 5 2" xfId="1829" xr:uid="{00000000-0005-0000-0000-00008A230000}"/>
    <cellStyle name="Normal 52 5 2 2" xfId="3481" xr:uid="{00000000-0005-0000-0000-00008B230000}"/>
    <cellStyle name="Normal 52 5 2 2 2" xfId="7996" xr:uid="{00000000-0005-0000-0000-00008C230000}"/>
    <cellStyle name="Normal 52 5 2 2 2 2" xfId="17037" xr:uid="{00000000-0005-0000-0000-00008D230000}"/>
    <cellStyle name="Normal 52 5 2 2 3" xfId="12524" xr:uid="{00000000-0005-0000-0000-00008E230000}"/>
    <cellStyle name="Normal 52 5 2 3" xfId="6352" xr:uid="{00000000-0005-0000-0000-00008F230000}"/>
    <cellStyle name="Normal 52 5 2 3 2" xfId="15393" xr:uid="{00000000-0005-0000-0000-000090230000}"/>
    <cellStyle name="Normal 52 5 2 4" xfId="10880" xr:uid="{00000000-0005-0000-0000-000091230000}"/>
    <cellStyle name="Normal 52 5 3" xfId="3480" xr:uid="{00000000-0005-0000-0000-000092230000}"/>
    <cellStyle name="Normal 52 5 3 2" xfId="7995" xr:uid="{00000000-0005-0000-0000-000093230000}"/>
    <cellStyle name="Normal 52 5 3 2 2" xfId="17036" xr:uid="{00000000-0005-0000-0000-000094230000}"/>
    <cellStyle name="Normal 52 5 3 3" xfId="12523" xr:uid="{00000000-0005-0000-0000-000095230000}"/>
    <cellStyle name="Normal 52 5 4" xfId="5224" xr:uid="{00000000-0005-0000-0000-000096230000}"/>
    <cellStyle name="Normal 52 5 4 2" xfId="14265" xr:uid="{00000000-0005-0000-0000-000097230000}"/>
    <cellStyle name="Normal 52 5 5" xfId="9752" xr:uid="{00000000-0005-0000-0000-000098230000}"/>
    <cellStyle name="Normal 52 6" xfId="1265" xr:uid="{00000000-0005-0000-0000-000099230000}"/>
    <cellStyle name="Normal 52 6 2" xfId="3482" xr:uid="{00000000-0005-0000-0000-00009A230000}"/>
    <cellStyle name="Normal 52 6 2 2" xfId="7997" xr:uid="{00000000-0005-0000-0000-00009B230000}"/>
    <cellStyle name="Normal 52 6 2 2 2" xfId="17038" xr:uid="{00000000-0005-0000-0000-00009C230000}"/>
    <cellStyle name="Normal 52 6 2 3" xfId="12525" xr:uid="{00000000-0005-0000-0000-00009D230000}"/>
    <cellStyle name="Normal 52 6 3" xfId="5788" xr:uid="{00000000-0005-0000-0000-00009E230000}"/>
    <cellStyle name="Normal 52 6 3 2" xfId="14829" xr:uid="{00000000-0005-0000-0000-00009F230000}"/>
    <cellStyle name="Normal 52 6 4" xfId="10316" xr:uid="{00000000-0005-0000-0000-0000A0230000}"/>
    <cellStyle name="Normal 52 7" xfId="3459" xr:uid="{00000000-0005-0000-0000-0000A1230000}"/>
    <cellStyle name="Normal 52 7 2" xfId="7974" xr:uid="{00000000-0005-0000-0000-0000A2230000}"/>
    <cellStyle name="Normal 52 7 2 2" xfId="17015" xr:uid="{00000000-0005-0000-0000-0000A3230000}"/>
    <cellStyle name="Normal 52 7 3" xfId="12502" xr:uid="{00000000-0005-0000-0000-0000A4230000}"/>
    <cellStyle name="Normal 52 8" xfId="4660" xr:uid="{00000000-0005-0000-0000-0000A5230000}"/>
    <cellStyle name="Normal 52 8 2" xfId="13701" xr:uid="{00000000-0005-0000-0000-0000A6230000}"/>
    <cellStyle name="Normal 52 9" xfId="9188" xr:uid="{00000000-0005-0000-0000-0000A7230000}"/>
    <cellStyle name="Normal 53" xfId="53" xr:uid="{00000000-0005-0000-0000-0000A8230000}"/>
    <cellStyle name="Normal 53 2" xfId="149" xr:uid="{00000000-0005-0000-0000-0000A9230000}"/>
    <cellStyle name="Normal 53 2 2" xfId="378" xr:uid="{00000000-0005-0000-0000-0000AA230000}"/>
    <cellStyle name="Normal 53 2 2 2" xfId="942" xr:uid="{00000000-0005-0000-0000-0000AB230000}"/>
    <cellStyle name="Normal 53 2 2 2 2" xfId="2112" xr:uid="{00000000-0005-0000-0000-0000AC230000}"/>
    <cellStyle name="Normal 53 2 2 2 2 2" xfId="3487" xr:uid="{00000000-0005-0000-0000-0000AD230000}"/>
    <cellStyle name="Normal 53 2 2 2 2 2 2" xfId="8002" xr:uid="{00000000-0005-0000-0000-0000AE230000}"/>
    <cellStyle name="Normal 53 2 2 2 2 2 2 2" xfId="17043" xr:uid="{00000000-0005-0000-0000-0000AF230000}"/>
    <cellStyle name="Normal 53 2 2 2 2 2 3" xfId="12530" xr:uid="{00000000-0005-0000-0000-0000B0230000}"/>
    <cellStyle name="Normal 53 2 2 2 2 3" xfId="6635" xr:uid="{00000000-0005-0000-0000-0000B1230000}"/>
    <cellStyle name="Normal 53 2 2 2 2 3 2" xfId="15676" xr:uid="{00000000-0005-0000-0000-0000B2230000}"/>
    <cellStyle name="Normal 53 2 2 2 2 4" xfId="11163" xr:uid="{00000000-0005-0000-0000-0000B3230000}"/>
    <cellStyle name="Normal 53 2 2 2 3" xfId="3486" xr:uid="{00000000-0005-0000-0000-0000B4230000}"/>
    <cellStyle name="Normal 53 2 2 2 3 2" xfId="8001" xr:uid="{00000000-0005-0000-0000-0000B5230000}"/>
    <cellStyle name="Normal 53 2 2 2 3 2 2" xfId="17042" xr:uid="{00000000-0005-0000-0000-0000B6230000}"/>
    <cellStyle name="Normal 53 2 2 2 3 3" xfId="12529" xr:uid="{00000000-0005-0000-0000-0000B7230000}"/>
    <cellStyle name="Normal 53 2 2 2 4" xfId="5507" xr:uid="{00000000-0005-0000-0000-0000B8230000}"/>
    <cellStyle name="Normal 53 2 2 2 4 2" xfId="14548" xr:uid="{00000000-0005-0000-0000-0000B9230000}"/>
    <cellStyle name="Normal 53 2 2 2 5" xfId="10035" xr:uid="{00000000-0005-0000-0000-0000BA230000}"/>
    <cellStyle name="Normal 53 2 2 3" xfId="1548" xr:uid="{00000000-0005-0000-0000-0000BB230000}"/>
    <cellStyle name="Normal 53 2 2 3 2" xfId="3488" xr:uid="{00000000-0005-0000-0000-0000BC230000}"/>
    <cellStyle name="Normal 53 2 2 3 2 2" xfId="8003" xr:uid="{00000000-0005-0000-0000-0000BD230000}"/>
    <cellStyle name="Normal 53 2 2 3 2 2 2" xfId="17044" xr:uid="{00000000-0005-0000-0000-0000BE230000}"/>
    <cellStyle name="Normal 53 2 2 3 2 3" xfId="12531" xr:uid="{00000000-0005-0000-0000-0000BF230000}"/>
    <cellStyle name="Normal 53 2 2 3 3" xfId="6071" xr:uid="{00000000-0005-0000-0000-0000C0230000}"/>
    <cellStyle name="Normal 53 2 2 3 3 2" xfId="15112" xr:uid="{00000000-0005-0000-0000-0000C1230000}"/>
    <cellStyle name="Normal 53 2 2 3 4" xfId="10599" xr:uid="{00000000-0005-0000-0000-0000C2230000}"/>
    <cellStyle name="Normal 53 2 2 4" xfId="3485" xr:uid="{00000000-0005-0000-0000-0000C3230000}"/>
    <cellStyle name="Normal 53 2 2 4 2" xfId="8000" xr:uid="{00000000-0005-0000-0000-0000C4230000}"/>
    <cellStyle name="Normal 53 2 2 4 2 2" xfId="17041" xr:uid="{00000000-0005-0000-0000-0000C5230000}"/>
    <cellStyle name="Normal 53 2 2 4 3" xfId="12528" xr:uid="{00000000-0005-0000-0000-0000C6230000}"/>
    <cellStyle name="Normal 53 2 2 5" xfId="4943" xr:uid="{00000000-0005-0000-0000-0000C7230000}"/>
    <cellStyle name="Normal 53 2 2 5 2" xfId="13984" xr:uid="{00000000-0005-0000-0000-0000C8230000}"/>
    <cellStyle name="Normal 53 2 2 6" xfId="9471" xr:uid="{00000000-0005-0000-0000-0000C9230000}"/>
    <cellStyle name="Normal 53 2 3" xfId="566" xr:uid="{00000000-0005-0000-0000-0000CA230000}"/>
    <cellStyle name="Normal 53 2 3 2" xfId="1130" xr:uid="{00000000-0005-0000-0000-0000CB230000}"/>
    <cellStyle name="Normal 53 2 3 2 2" xfId="2300" xr:uid="{00000000-0005-0000-0000-0000CC230000}"/>
    <cellStyle name="Normal 53 2 3 2 2 2" xfId="3491" xr:uid="{00000000-0005-0000-0000-0000CD230000}"/>
    <cellStyle name="Normal 53 2 3 2 2 2 2" xfId="8006" xr:uid="{00000000-0005-0000-0000-0000CE230000}"/>
    <cellStyle name="Normal 53 2 3 2 2 2 2 2" xfId="17047" xr:uid="{00000000-0005-0000-0000-0000CF230000}"/>
    <cellStyle name="Normal 53 2 3 2 2 2 3" xfId="12534" xr:uid="{00000000-0005-0000-0000-0000D0230000}"/>
    <cellStyle name="Normal 53 2 3 2 2 3" xfId="6823" xr:uid="{00000000-0005-0000-0000-0000D1230000}"/>
    <cellStyle name="Normal 53 2 3 2 2 3 2" xfId="15864" xr:uid="{00000000-0005-0000-0000-0000D2230000}"/>
    <cellStyle name="Normal 53 2 3 2 2 4" xfId="11351" xr:uid="{00000000-0005-0000-0000-0000D3230000}"/>
    <cellStyle name="Normal 53 2 3 2 3" xfId="3490" xr:uid="{00000000-0005-0000-0000-0000D4230000}"/>
    <cellStyle name="Normal 53 2 3 2 3 2" xfId="8005" xr:uid="{00000000-0005-0000-0000-0000D5230000}"/>
    <cellStyle name="Normal 53 2 3 2 3 2 2" xfId="17046" xr:uid="{00000000-0005-0000-0000-0000D6230000}"/>
    <cellStyle name="Normal 53 2 3 2 3 3" xfId="12533" xr:uid="{00000000-0005-0000-0000-0000D7230000}"/>
    <cellStyle name="Normal 53 2 3 2 4" xfId="5695" xr:uid="{00000000-0005-0000-0000-0000D8230000}"/>
    <cellStyle name="Normal 53 2 3 2 4 2" xfId="14736" xr:uid="{00000000-0005-0000-0000-0000D9230000}"/>
    <cellStyle name="Normal 53 2 3 2 5" xfId="10223" xr:uid="{00000000-0005-0000-0000-0000DA230000}"/>
    <cellStyle name="Normal 53 2 3 3" xfId="1736" xr:uid="{00000000-0005-0000-0000-0000DB230000}"/>
    <cellStyle name="Normal 53 2 3 3 2" xfId="3492" xr:uid="{00000000-0005-0000-0000-0000DC230000}"/>
    <cellStyle name="Normal 53 2 3 3 2 2" xfId="8007" xr:uid="{00000000-0005-0000-0000-0000DD230000}"/>
    <cellStyle name="Normal 53 2 3 3 2 2 2" xfId="17048" xr:uid="{00000000-0005-0000-0000-0000DE230000}"/>
    <cellStyle name="Normal 53 2 3 3 2 3" xfId="12535" xr:uid="{00000000-0005-0000-0000-0000DF230000}"/>
    <cellStyle name="Normal 53 2 3 3 3" xfId="6259" xr:uid="{00000000-0005-0000-0000-0000E0230000}"/>
    <cellStyle name="Normal 53 2 3 3 3 2" xfId="15300" xr:uid="{00000000-0005-0000-0000-0000E1230000}"/>
    <cellStyle name="Normal 53 2 3 3 4" xfId="10787" xr:uid="{00000000-0005-0000-0000-0000E2230000}"/>
    <cellStyle name="Normal 53 2 3 4" xfId="3489" xr:uid="{00000000-0005-0000-0000-0000E3230000}"/>
    <cellStyle name="Normal 53 2 3 4 2" xfId="8004" xr:uid="{00000000-0005-0000-0000-0000E4230000}"/>
    <cellStyle name="Normal 53 2 3 4 2 2" xfId="17045" xr:uid="{00000000-0005-0000-0000-0000E5230000}"/>
    <cellStyle name="Normal 53 2 3 4 3" xfId="12532" xr:uid="{00000000-0005-0000-0000-0000E6230000}"/>
    <cellStyle name="Normal 53 2 3 5" xfId="5131" xr:uid="{00000000-0005-0000-0000-0000E7230000}"/>
    <cellStyle name="Normal 53 2 3 5 2" xfId="14172" xr:uid="{00000000-0005-0000-0000-0000E8230000}"/>
    <cellStyle name="Normal 53 2 3 6" xfId="9659" xr:uid="{00000000-0005-0000-0000-0000E9230000}"/>
    <cellStyle name="Normal 53 2 4" xfId="754" xr:uid="{00000000-0005-0000-0000-0000EA230000}"/>
    <cellStyle name="Normal 53 2 4 2" xfId="1924" xr:uid="{00000000-0005-0000-0000-0000EB230000}"/>
    <cellStyle name="Normal 53 2 4 2 2" xfId="3494" xr:uid="{00000000-0005-0000-0000-0000EC230000}"/>
    <cellStyle name="Normal 53 2 4 2 2 2" xfId="8009" xr:uid="{00000000-0005-0000-0000-0000ED230000}"/>
    <cellStyle name="Normal 53 2 4 2 2 2 2" xfId="17050" xr:uid="{00000000-0005-0000-0000-0000EE230000}"/>
    <cellStyle name="Normal 53 2 4 2 2 3" xfId="12537" xr:uid="{00000000-0005-0000-0000-0000EF230000}"/>
    <cellStyle name="Normal 53 2 4 2 3" xfId="6447" xr:uid="{00000000-0005-0000-0000-0000F0230000}"/>
    <cellStyle name="Normal 53 2 4 2 3 2" xfId="15488" xr:uid="{00000000-0005-0000-0000-0000F1230000}"/>
    <cellStyle name="Normal 53 2 4 2 4" xfId="10975" xr:uid="{00000000-0005-0000-0000-0000F2230000}"/>
    <cellStyle name="Normal 53 2 4 3" xfId="3493" xr:uid="{00000000-0005-0000-0000-0000F3230000}"/>
    <cellStyle name="Normal 53 2 4 3 2" xfId="8008" xr:uid="{00000000-0005-0000-0000-0000F4230000}"/>
    <cellStyle name="Normal 53 2 4 3 2 2" xfId="17049" xr:uid="{00000000-0005-0000-0000-0000F5230000}"/>
    <cellStyle name="Normal 53 2 4 3 3" xfId="12536" xr:uid="{00000000-0005-0000-0000-0000F6230000}"/>
    <cellStyle name="Normal 53 2 4 4" xfId="5319" xr:uid="{00000000-0005-0000-0000-0000F7230000}"/>
    <cellStyle name="Normal 53 2 4 4 2" xfId="14360" xr:uid="{00000000-0005-0000-0000-0000F8230000}"/>
    <cellStyle name="Normal 53 2 4 5" xfId="9847" xr:uid="{00000000-0005-0000-0000-0000F9230000}"/>
    <cellStyle name="Normal 53 2 5" xfId="1360" xr:uid="{00000000-0005-0000-0000-0000FA230000}"/>
    <cellStyle name="Normal 53 2 5 2" xfId="3495" xr:uid="{00000000-0005-0000-0000-0000FB230000}"/>
    <cellStyle name="Normal 53 2 5 2 2" xfId="8010" xr:uid="{00000000-0005-0000-0000-0000FC230000}"/>
    <cellStyle name="Normal 53 2 5 2 2 2" xfId="17051" xr:uid="{00000000-0005-0000-0000-0000FD230000}"/>
    <cellStyle name="Normal 53 2 5 2 3" xfId="12538" xr:uid="{00000000-0005-0000-0000-0000FE230000}"/>
    <cellStyle name="Normal 53 2 5 3" xfId="5883" xr:uid="{00000000-0005-0000-0000-0000FF230000}"/>
    <cellStyle name="Normal 53 2 5 3 2" xfId="14924" xr:uid="{00000000-0005-0000-0000-000000240000}"/>
    <cellStyle name="Normal 53 2 5 4" xfId="10411" xr:uid="{00000000-0005-0000-0000-000001240000}"/>
    <cellStyle name="Normal 53 2 6" xfId="3484" xr:uid="{00000000-0005-0000-0000-000002240000}"/>
    <cellStyle name="Normal 53 2 6 2" xfId="7999" xr:uid="{00000000-0005-0000-0000-000003240000}"/>
    <cellStyle name="Normal 53 2 6 2 2" xfId="17040" xr:uid="{00000000-0005-0000-0000-000004240000}"/>
    <cellStyle name="Normal 53 2 6 3" xfId="12527" xr:uid="{00000000-0005-0000-0000-000005240000}"/>
    <cellStyle name="Normal 53 2 7" xfId="4755" xr:uid="{00000000-0005-0000-0000-000006240000}"/>
    <cellStyle name="Normal 53 2 7 2" xfId="13796" xr:uid="{00000000-0005-0000-0000-000007240000}"/>
    <cellStyle name="Normal 53 2 8" xfId="9283" xr:uid="{00000000-0005-0000-0000-000008240000}"/>
    <cellStyle name="Normal 53 3" xfId="284" xr:uid="{00000000-0005-0000-0000-000009240000}"/>
    <cellStyle name="Normal 53 3 2" xfId="848" xr:uid="{00000000-0005-0000-0000-00000A240000}"/>
    <cellStyle name="Normal 53 3 2 2" xfId="2018" xr:uid="{00000000-0005-0000-0000-00000B240000}"/>
    <cellStyle name="Normal 53 3 2 2 2" xfId="3498" xr:uid="{00000000-0005-0000-0000-00000C240000}"/>
    <cellStyle name="Normal 53 3 2 2 2 2" xfId="8013" xr:uid="{00000000-0005-0000-0000-00000D240000}"/>
    <cellStyle name="Normal 53 3 2 2 2 2 2" xfId="17054" xr:uid="{00000000-0005-0000-0000-00000E240000}"/>
    <cellStyle name="Normal 53 3 2 2 2 3" xfId="12541" xr:uid="{00000000-0005-0000-0000-00000F240000}"/>
    <cellStyle name="Normal 53 3 2 2 3" xfId="6541" xr:uid="{00000000-0005-0000-0000-000010240000}"/>
    <cellStyle name="Normal 53 3 2 2 3 2" xfId="15582" xr:uid="{00000000-0005-0000-0000-000011240000}"/>
    <cellStyle name="Normal 53 3 2 2 4" xfId="11069" xr:uid="{00000000-0005-0000-0000-000012240000}"/>
    <cellStyle name="Normal 53 3 2 3" xfId="3497" xr:uid="{00000000-0005-0000-0000-000013240000}"/>
    <cellStyle name="Normal 53 3 2 3 2" xfId="8012" xr:uid="{00000000-0005-0000-0000-000014240000}"/>
    <cellStyle name="Normal 53 3 2 3 2 2" xfId="17053" xr:uid="{00000000-0005-0000-0000-000015240000}"/>
    <cellStyle name="Normal 53 3 2 3 3" xfId="12540" xr:uid="{00000000-0005-0000-0000-000016240000}"/>
    <cellStyle name="Normal 53 3 2 4" xfId="5413" xr:uid="{00000000-0005-0000-0000-000017240000}"/>
    <cellStyle name="Normal 53 3 2 4 2" xfId="14454" xr:uid="{00000000-0005-0000-0000-000018240000}"/>
    <cellStyle name="Normal 53 3 2 5" xfId="9941" xr:uid="{00000000-0005-0000-0000-000019240000}"/>
    <cellStyle name="Normal 53 3 3" xfId="1454" xr:uid="{00000000-0005-0000-0000-00001A240000}"/>
    <cellStyle name="Normal 53 3 3 2" xfId="3499" xr:uid="{00000000-0005-0000-0000-00001B240000}"/>
    <cellStyle name="Normal 53 3 3 2 2" xfId="8014" xr:uid="{00000000-0005-0000-0000-00001C240000}"/>
    <cellStyle name="Normal 53 3 3 2 2 2" xfId="17055" xr:uid="{00000000-0005-0000-0000-00001D240000}"/>
    <cellStyle name="Normal 53 3 3 2 3" xfId="12542" xr:uid="{00000000-0005-0000-0000-00001E240000}"/>
    <cellStyle name="Normal 53 3 3 3" xfId="5977" xr:uid="{00000000-0005-0000-0000-00001F240000}"/>
    <cellStyle name="Normal 53 3 3 3 2" xfId="15018" xr:uid="{00000000-0005-0000-0000-000020240000}"/>
    <cellStyle name="Normal 53 3 3 4" xfId="10505" xr:uid="{00000000-0005-0000-0000-000021240000}"/>
    <cellStyle name="Normal 53 3 4" xfId="3496" xr:uid="{00000000-0005-0000-0000-000022240000}"/>
    <cellStyle name="Normal 53 3 4 2" xfId="8011" xr:uid="{00000000-0005-0000-0000-000023240000}"/>
    <cellStyle name="Normal 53 3 4 2 2" xfId="17052" xr:uid="{00000000-0005-0000-0000-000024240000}"/>
    <cellStyle name="Normal 53 3 4 3" xfId="12539" xr:uid="{00000000-0005-0000-0000-000025240000}"/>
    <cellStyle name="Normal 53 3 5" xfId="4849" xr:uid="{00000000-0005-0000-0000-000026240000}"/>
    <cellStyle name="Normal 53 3 5 2" xfId="13890" xr:uid="{00000000-0005-0000-0000-000027240000}"/>
    <cellStyle name="Normal 53 3 6" xfId="9377" xr:uid="{00000000-0005-0000-0000-000028240000}"/>
    <cellStyle name="Normal 53 4" xfId="472" xr:uid="{00000000-0005-0000-0000-000029240000}"/>
    <cellStyle name="Normal 53 4 2" xfId="1036" xr:uid="{00000000-0005-0000-0000-00002A240000}"/>
    <cellStyle name="Normal 53 4 2 2" xfId="2206" xr:uid="{00000000-0005-0000-0000-00002B240000}"/>
    <cellStyle name="Normal 53 4 2 2 2" xfId="3502" xr:uid="{00000000-0005-0000-0000-00002C240000}"/>
    <cellStyle name="Normal 53 4 2 2 2 2" xfId="8017" xr:uid="{00000000-0005-0000-0000-00002D240000}"/>
    <cellStyle name="Normal 53 4 2 2 2 2 2" xfId="17058" xr:uid="{00000000-0005-0000-0000-00002E240000}"/>
    <cellStyle name="Normal 53 4 2 2 2 3" xfId="12545" xr:uid="{00000000-0005-0000-0000-00002F240000}"/>
    <cellStyle name="Normal 53 4 2 2 3" xfId="6729" xr:uid="{00000000-0005-0000-0000-000030240000}"/>
    <cellStyle name="Normal 53 4 2 2 3 2" xfId="15770" xr:uid="{00000000-0005-0000-0000-000031240000}"/>
    <cellStyle name="Normal 53 4 2 2 4" xfId="11257" xr:uid="{00000000-0005-0000-0000-000032240000}"/>
    <cellStyle name="Normal 53 4 2 3" xfId="3501" xr:uid="{00000000-0005-0000-0000-000033240000}"/>
    <cellStyle name="Normal 53 4 2 3 2" xfId="8016" xr:uid="{00000000-0005-0000-0000-000034240000}"/>
    <cellStyle name="Normal 53 4 2 3 2 2" xfId="17057" xr:uid="{00000000-0005-0000-0000-000035240000}"/>
    <cellStyle name="Normal 53 4 2 3 3" xfId="12544" xr:uid="{00000000-0005-0000-0000-000036240000}"/>
    <cellStyle name="Normal 53 4 2 4" xfId="5601" xr:uid="{00000000-0005-0000-0000-000037240000}"/>
    <cellStyle name="Normal 53 4 2 4 2" xfId="14642" xr:uid="{00000000-0005-0000-0000-000038240000}"/>
    <cellStyle name="Normal 53 4 2 5" xfId="10129" xr:uid="{00000000-0005-0000-0000-000039240000}"/>
    <cellStyle name="Normal 53 4 3" xfId="1642" xr:uid="{00000000-0005-0000-0000-00003A240000}"/>
    <cellStyle name="Normal 53 4 3 2" xfId="3503" xr:uid="{00000000-0005-0000-0000-00003B240000}"/>
    <cellStyle name="Normal 53 4 3 2 2" xfId="8018" xr:uid="{00000000-0005-0000-0000-00003C240000}"/>
    <cellStyle name="Normal 53 4 3 2 2 2" xfId="17059" xr:uid="{00000000-0005-0000-0000-00003D240000}"/>
    <cellStyle name="Normal 53 4 3 2 3" xfId="12546" xr:uid="{00000000-0005-0000-0000-00003E240000}"/>
    <cellStyle name="Normal 53 4 3 3" xfId="6165" xr:uid="{00000000-0005-0000-0000-00003F240000}"/>
    <cellStyle name="Normal 53 4 3 3 2" xfId="15206" xr:uid="{00000000-0005-0000-0000-000040240000}"/>
    <cellStyle name="Normal 53 4 3 4" xfId="10693" xr:uid="{00000000-0005-0000-0000-000041240000}"/>
    <cellStyle name="Normal 53 4 4" xfId="3500" xr:uid="{00000000-0005-0000-0000-000042240000}"/>
    <cellStyle name="Normal 53 4 4 2" xfId="8015" xr:uid="{00000000-0005-0000-0000-000043240000}"/>
    <cellStyle name="Normal 53 4 4 2 2" xfId="17056" xr:uid="{00000000-0005-0000-0000-000044240000}"/>
    <cellStyle name="Normal 53 4 4 3" xfId="12543" xr:uid="{00000000-0005-0000-0000-000045240000}"/>
    <cellStyle name="Normal 53 4 5" xfId="5037" xr:uid="{00000000-0005-0000-0000-000046240000}"/>
    <cellStyle name="Normal 53 4 5 2" xfId="14078" xr:uid="{00000000-0005-0000-0000-000047240000}"/>
    <cellStyle name="Normal 53 4 6" xfId="9565" xr:uid="{00000000-0005-0000-0000-000048240000}"/>
    <cellStyle name="Normal 53 5" xfId="660" xr:uid="{00000000-0005-0000-0000-000049240000}"/>
    <cellStyle name="Normal 53 5 2" xfId="1830" xr:uid="{00000000-0005-0000-0000-00004A240000}"/>
    <cellStyle name="Normal 53 5 2 2" xfId="3505" xr:uid="{00000000-0005-0000-0000-00004B240000}"/>
    <cellStyle name="Normal 53 5 2 2 2" xfId="8020" xr:uid="{00000000-0005-0000-0000-00004C240000}"/>
    <cellStyle name="Normal 53 5 2 2 2 2" xfId="17061" xr:uid="{00000000-0005-0000-0000-00004D240000}"/>
    <cellStyle name="Normal 53 5 2 2 3" xfId="12548" xr:uid="{00000000-0005-0000-0000-00004E240000}"/>
    <cellStyle name="Normal 53 5 2 3" xfId="6353" xr:uid="{00000000-0005-0000-0000-00004F240000}"/>
    <cellStyle name="Normal 53 5 2 3 2" xfId="15394" xr:uid="{00000000-0005-0000-0000-000050240000}"/>
    <cellStyle name="Normal 53 5 2 4" xfId="10881" xr:uid="{00000000-0005-0000-0000-000051240000}"/>
    <cellStyle name="Normal 53 5 3" xfId="3504" xr:uid="{00000000-0005-0000-0000-000052240000}"/>
    <cellStyle name="Normal 53 5 3 2" xfId="8019" xr:uid="{00000000-0005-0000-0000-000053240000}"/>
    <cellStyle name="Normal 53 5 3 2 2" xfId="17060" xr:uid="{00000000-0005-0000-0000-000054240000}"/>
    <cellStyle name="Normal 53 5 3 3" xfId="12547" xr:uid="{00000000-0005-0000-0000-000055240000}"/>
    <cellStyle name="Normal 53 5 4" xfId="5225" xr:uid="{00000000-0005-0000-0000-000056240000}"/>
    <cellStyle name="Normal 53 5 4 2" xfId="14266" xr:uid="{00000000-0005-0000-0000-000057240000}"/>
    <cellStyle name="Normal 53 5 5" xfId="9753" xr:uid="{00000000-0005-0000-0000-000058240000}"/>
    <cellStyle name="Normal 53 6" xfId="1266" xr:uid="{00000000-0005-0000-0000-000059240000}"/>
    <cellStyle name="Normal 53 6 2" xfId="3506" xr:uid="{00000000-0005-0000-0000-00005A240000}"/>
    <cellStyle name="Normal 53 6 2 2" xfId="8021" xr:uid="{00000000-0005-0000-0000-00005B240000}"/>
    <cellStyle name="Normal 53 6 2 2 2" xfId="17062" xr:uid="{00000000-0005-0000-0000-00005C240000}"/>
    <cellStyle name="Normal 53 6 2 3" xfId="12549" xr:uid="{00000000-0005-0000-0000-00005D240000}"/>
    <cellStyle name="Normal 53 6 3" xfId="5789" xr:uid="{00000000-0005-0000-0000-00005E240000}"/>
    <cellStyle name="Normal 53 6 3 2" xfId="14830" xr:uid="{00000000-0005-0000-0000-00005F240000}"/>
    <cellStyle name="Normal 53 6 4" xfId="10317" xr:uid="{00000000-0005-0000-0000-000060240000}"/>
    <cellStyle name="Normal 53 7" xfId="3483" xr:uid="{00000000-0005-0000-0000-000061240000}"/>
    <cellStyle name="Normal 53 7 2" xfId="7998" xr:uid="{00000000-0005-0000-0000-000062240000}"/>
    <cellStyle name="Normal 53 7 2 2" xfId="17039" xr:uid="{00000000-0005-0000-0000-000063240000}"/>
    <cellStyle name="Normal 53 7 3" xfId="12526" xr:uid="{00000000-0005-0000-0000-000064240000}"/>
    <cellStyle name="Normal 53 8" xfId="4661" xr:uid="{00000000-0005-0000-0000-000065240000}"/>
    <cellStyle name="Normal 53 8 2" xfId="13702" xr:uid="{00000000-0005-0000-0000-000066240000}"/>
    <cellStyle name="Normal 53 9" xfId="9189" xr:uid="{00000000-0005-0000-0000-000067240000}"/>
    <cellStyle name="Normal 54" xfId="54" xr:uid="{00000000-0005-0000-0000-000068240000}"/>
    <cellStyle name="Normal 54 2" xfId="150" xr:uid="{00000000-0005-0000-0000-000069240000}"/>
    <cellStyle name="Normal 54 2 2" xfId="379" xr:uid="{00000000-0005-0000-0000-00006A240000}"/>
    <cellStyle name="Normal 54 2 2 2" xfId="943" xr:uid="{00000000-0005-0000-0000-00006B240000}"/>
    <cellStyle name="Normal 54 2 2 2 2" xfId="2113" xr:uid="{00000000-0005-0000-0000-00006C240000}"/>
    <cellStyle name="Normal 54 2 2 2 2 2" xfId="3511" xr:uid="{00000000-0005-0000-0000-00006D240000}"/>
    <cellStyle name="Normal 54 2 2 2 2 2 2" xfId="8026" xr:uid="{00000000-0005-0000-0000-00006E240000}"/>
    <cellStyle name="Normal 54 2 2 2 2 2 2 2" xfId="17067" xr:uid="{00000000-0005-0000-0000-00006F240000}"/>
    <cellStyle name="Normal 54 2 2 2 2 2 3" xfId="12554" xr:uid="{00000000-0005-0000-0000-000070240000}"/>
    <cellStyle name="Normal 54 2 2 2 2 3" xfId="6636" xr:uid="{00000000-0005-0000-0000-000071240000}"/>
    <cellStyle name="Normal 54 2 2 2 2 3 2" xfId="15677" xr:uid="{00000000-0005-0000-0000-000072240000}"/>
    <cellStyle name="Normal 54 2 2 2 2 4" xfId="11164" xr:uid="{00000000-0005-0000-0000-000073240000}"/>
    <cellStyle name="Normal 54 2 2 2 3" xfId="3510" xr:uid="{00000000-0005-0000-0000-000074240000}"/>
    <cellStyle name="Normal 54 2 2 2 3 2" xfId="8025" xr:uid="{00000000-0005-0000-0000-000075240000}"/>
    <cellStyle name="Normal 54 2 2 2 3 2 2" xfId="17066" xr:uid="{00000000-0005-0000-0000-000076240000}"/>
    <cellStyle name="Normal 54 2 2 2 3 3" xfId="12553" xr:uid="{00000000-0005-0000-0000-000077240000}"/>
    <cellStyle name="Normal 54 2 2 2 4" xfId="5508" xr:uid="{00000000-0005-0000-0000-000078240000}"/>
    <cellStyle name="Normal 54 2 2 2 4 2" xfId="14549" xr:uid="{00000000-0005-0000-0000-000079240000}"/>
    <cellStyle name="Normal 54 2 2 2 5" xfId="10036" xr:uid="{00000000-0005-0000-0000-00007A240000}"/>
    <cellStyle name="Normal 54 2 2 3" xfId="1549" xr:uid="{00000000-0005-0000-0000-00007B240000}"/>
    <cellStyle name="Normal 54 2 2 3 2" xfId="3512" xr:uid="{00000000-0005-0000-0000-00007C240000}"/>
    <cellStyle name="Normal 54 2 2 3 2 2" xfId="8027" xr:uid="{00000000-0005-0000-0000-00007D240000}"/>
    <cellStyle name="Normal 54 2 2 3 2 2 2" xfId="17068" xr:uid="{00000000-0005-0000-0000-00007E240000}"/>
    <cellStyle name="Normal 54 2 2 3 2 3" xfId="12555" xr:uid="{00000000-0005-0000-0000-00007F240000}"/>
    <cellStyle name="Normal 54 2 2 3 3" xfId="6072" xr:uid="{00000000-0005-0000-0000-000080240000}"/>
    <cellStyle name="Normal 54 2 2 3 3 2" xfId="15113" xr:uid="{00000000-0005-0000-0000-000081240000}"/>
    <cellStyle name="Normal 54 2 2 3 4" xfId="10600" xr:uid="{00000000-0005-0000-0000-000082240000}"/>
    <cellStyle name="Normal 54 2 2 4" xfId="3509" xr:uid="{00000000-0005-0000-0000-000083240000}"/>
    <cellStyle name="Normal 54 2 2 4 2" xfId="8024" xr:uid="{00000000-0005-0000-0000-000084240000}"/>
    <cellStyle name="Normal 54 2 2 4 2 2" xfId="17065" xr:uid="{00000000-0005-0000-0000-000085240000}"/>
    <cellStyle name="Normal 54 2 2 4 3" xfId="12552" xr:uid="{00000000-0005-0000-0000-000086240000}"/>
    <cellStyle name="Normal 54 2 2 5" xfId="4944" xr:uid="{00000000-0005-0000-0000-000087240000}"/>
    <cellStyle name="Normal 54 2 2 5 2" xfId="13985" xr:uid="{00000000-0005-0000-0000-000088240000}"/>
    <cellStyle name="Normal 54 2 2 6" xfId="9472" xr:uid="{00000000-0005-0000-0000-000089240000}"/>
    <cellStyle name="Normal 54 2 3" xfId="567" xr:uid="{00000000-0005-0000-0000-00008A240000}"/>
    <cellStyle name="Normal 54 2 3 2" xfId="1131" xr:uid="{00000000-0005-0000-0000-00008B240000}"/>
    <cellStyle name="Normal 54 2 3 2 2" xfId="2301" xr:uid="{00000000-0005-0000-0000-00008C240000}"/>
    <cellStyle name="Normal 54 2 3 2 2 2" xfId="3515" xr:uid="{00000000-0005-0000-0000-00008D240000}"/>
    <cellStyle name="Normal 54 2 3 2 2 2 2" xfId="8030" xr:uid="{00000000-0005-0000-0000-00008E240000}"/>
    <cellStyle name="Normal 54 2 3 2 2 2 2 2" xfId="17071" xr:uid="{00000000-0005-0000-0000-00008F240000}"/>
    <cellStyle name="Normal 54 2 3 2 2 2 3" xfId="12558" xr:uid="{00000000-0005-0000-0000-000090240000}"/>
    <cellStyle name="Normal 54 2 3 2 2 3" xfId="6824" xr:uid="{00000000-0005-0000-0000-000091240000}"/>
    <cellStyle name="Normal 54 2 3 2 2 3 2" xfId="15865" xr:uid="{00000000-0005-0000-0000-000092240000}"/>
    <cellStyle name="Normal 54 2 3 2 2 4" xfId="11352" xr:uid="{00000000-0005-0000-0000-000093240000}"/>
    <cellStyle name="Normal 54 2 3 2 3" xfId="3514" xr:uid="{00000000-0005-0000-0000-000094240000}"/>
    <cellStyle name="Normal 54 2 3 2 3 2" xfId="8029" xr:uid="{00000000-0005-0000-0000-000095240000}"/>
    <cellStyle name="Normal 54 2 3 2 3 2 2" xfId="17070" xr:uid="{00000000-0005-0000-0000-000096240000}"/>
    <cellStyle name="Normal 54 2 3 2 3 3" xfId="12557" xr:uid="{00000000-0005-0000-0000-000097240000}"/>
    <cellStyle name="Normal 54 2 3 2 4" xfId="5696" xr:uid="{00000000-0005-0000-0000-000098240000}"/>
    <cellStyle name="Normal 54 2 3 2 4 2" xfId="14737" xr:uid="{00000000-0005-0000-0000-000099240000}"/>
    <cellStyle name="Normal 54 2 3 2 5" xfId="10224" xr:uid="{00000000-0005-0000-0000-00009A240000}"/>
    <cellStyle name="Normal 54 2 3 3" xfId="1737" xr:uid="{00000000-0005-0000-0000-00009B240000}"/>
    <cellStyle name="Normal 54 2 3 3 2" xfId="3516" xr:uid="{00000000-0005-0000-0000-00009C240000}"/>
    <cellStyle name="Normal 54 2 3 3 2 2" xfId="8031" xr:uid="{00000000-0005-0000-0000-00009D240000}"/>
    <cellStyle name="Normal 54 2 3 3 2 2 2" xfId="17072" xr:uid="{00000000-0005-0000-0000-00009E240000}"/>
    <cellStyle name="Normal 54 2 3 3 2 3" xfId="12559" xr:uid="{00000000-0005-0000-0000-00009F240000}"/>
    <cellStyle name="Normal 54 2 3 3 3" xfId="6260" xr:uid="{00000000-0005-0000-0000-0000A0240000}"/>
    <cellStyle name="Normal 54 2 3 3 3 2" xfId="15301" xr:uid="{00000000-0005-0000-0000-0000A1240000}"/>
    <cellStyle name="Normal 54 2 3 3 4" xfId="10788" xr:uid="{00000000-0005-0000-0000-0000A2240000}"/>
    <cellStyle name="Normal 54 2 3 4" xfId="3513" xr:uid="{00000000-0005-0000-0000-0000A3240000}"/>
    <cellStyle name="Normal 54 2 3 4 2" xfId="8028" xr:uid="{00000000-0005-0000-0000-0000A4240000}"/>
    <cellStyle name="Normal 54 2 3 4 2 2" xfId="17069" xr:uid="{00000000-0005-0000-0000-0000A5240000}"/>
    <cellStyle name="Normal 54 2 3 4 3" xfId="12556" xr:uid="{00000000-0005-0000-0000-0000A6240000}"/>
    <cellStyle name="Normal 54 2 3 5" xfId="5132" xr:uid="{00000000-0005-0000-0000-0000A7240000}"/>
    <cellStyle name="Normal 54 2 3 5 2" xfId="14173" xr:uid="{00000000-0005-0000-0000-0000A8240000}"/>
    <cellStyle name="Normal 54 2 3 6" xfId="9660" xr:uid="{00000000-0005-0000-0000-0000A9240000}"/>
    <cellStyle name="Normal 54 2 4" xfId="755" xr:uid="{00000000-0005-0000-0000-0000AA240000}"/>
    <cellStyle name="Normal 54 2 4 2" xfId="1925" xr:uid="{00000000-0005-0000-0000-0000AB240000}"/>
    <cellStyle name="Normal 54 2 4 2 2" xfId="3518" xr:uid="{00000000-0005-0000-0000-0000AC240000}"/>
    <cellStyle name="Normal 54 2 4 2 2 2" xfId="8033" xr:uid="{00000000-0005-0000-0000-0000AD240000}"/>
    <cellStyle name="Normal 54 2 4 2 2 2 2" xfId="17074" xr:uid="{00000000-0005-0000-0000-0000AE240000}"/>
    <cellStyle name="Normal 54 2 4 2 2 3" xfId="12561" xr:uid="{00000000-0005-0000-0000-0000AF240000}"/>
    <cellStyle name="Normal 54 2 4 2 3" xfId="6448" xr:uid="{00000000-0005-0000-0000-0000B0240000}"/>
    <cellStyle name="Normal 54 2 4 2 3 2" xfId="15489" xr:uid="{00000000-0005-0000-0000-0000B1240000}"/>
    <cellStyle name="Normal 54 2 4 2 4" xfId="10976" xr:uid="{00000000-0005-0000-0000-0000B2240000}"/>
    <cellStyle name="Normal 54 2 4 3" xfId="3517" xr:uid="{00000000-0005-0000-0000-0000B3240000}"/>
    <cellStyle name="Normal 54 2 4 3 2" xfId="8032" xr:uid="{00000000-0005-0000-0000-0000B4240000}"/>
    <cellStyle name="Normal 54 2 4 3 2 2" xfId="17073" xr:uid="{00000000-0005-0000-0000-0000B5240000}"/>
    <cellStyle name="Normal 54 2 4 3 3" xfId="12560" xr:uid="{00000000-0005-0000-0000-0000B6240000}"/>
    <cellStyle name="Normal 54 2 4 4" xfId="5320" xr:uid="{00000000-0005-0000-0000-0000B7240000}"/>
    <cellStyle name="Normal 54 2 4 4 2" xfId="14361" xr:uid="{00000000-0005-0000-0000-0000B8240000}"/>
    <cellStyle name="Normal 54 2 4 5" xfId="9848" xr:uid="{00000000-0005-0000-0000-0000B9240000}"/>
    <cellStyle name="Normal 54 2 5" xfId="1361" xr:uid="{00000000-0005-0000-0000-0000BA240000}"/>
    <cellStyle name="Normal 54 2 5 2" xfId="3519" xr:uid="{00000000-0005-0000-0000-0000BB240000}"/>
    <cellStyle name="Normal 54 2 5 2 2" xfId="8034" xr:uid="{00000000-0005-0000-0000-0000BC240000}"/>
    <cellStyle name="Normal 54 2 5 2 2 2" xfId="17075" xr:uid="{00000000-0005-0000-0000-0000BD240000}"/>
    <cellStyle name="Normal 54 2 5 2 3" xfId="12562" xr:uid="{00000000-0005-0000-0000-0000BE240000}"/>
    <cellStyle name="Normal 54 2 5 3" xfId="5884" xr:uid="{00000000-0005-0000-0000-0000BF240000}"/>
    <cellStyle name="Normal 54 2 5 3 2" xfId="14925" xr:uid="{00000000-0005-0000-0000-0000C0240000}"/>
    <cellStyle name="Normal 54 2 5 4" xfId="10412" xr:uid="{00000000-0005-0000-0000-0000C1240000}"/>
    <cellStyle name="Normal 54 2 6" xfId="3508" xr:uid="{00000000-0005-0000-0000-0000C2240000}"/>
    <cellStyle name="Normal 54 2 6 2" xfId="8023" xr:uid="{00000000-0005-0000-0000-0000C3240000}"/>
    <cellStyle name="Normal 54 2 6 2 2" xfId="17064" xr:uid="{00000000-0005-0000-0000-0000C4240000}"/>
    <cellStyle name="Normal 54 2 6 3" xfId="12551" xr:uid="{00000000-0005-0000-0000-0000C5240000}"/>
    <cellStyle name="Normal 54 2 7" xfId="4756" xr:uid="{00000000-0005-0000-0000-0000C6240000}"/>
    <cellStyle name="Normal 54 2 7 2" xfId="13797" xr:uid="{00000000-0005-0000-0000-0000C7240000}"/>
    <cellStyle name="Normal 54 2 8" xfId="9284" xr:uid="{00000000-0005-0000-0000-0000C8240000}"/>
    <cellStyle name="Normal 54 3" xfId="285" xr:uid="{00000000-0005-0000-0000-0000C9240000}"/>
    <cellStyle name="Normal 54 3 2" xfId="849" xr:uid="{00000000-0005-0000-0000-0000CA240000}"/>
    <cellStyle name="Normal 54 3 2 2" xfId="2019" xr:uid="{00000000-0005-0000-0000-0000CB240000}"/>
    <cellStyle name="Normal 54 3 2 2 2" xfId="3522" xr:uid="{00000000-0005-0000-0000-0000CC240000}"/>
    <cellStyle name="Normal 54 3 2 2 2 2" xfId="8037" xr:uid="{00000000-0005-0000-0000-0000CD240000}"/>
    <cellStyle name="Normal 54 3 2 2 2 2 2" xfId="17078" xr:uid="{00000000-0005-0000-0000-0000CE240000}"/>
    <cellStyle name="Normal 54 3 2 2 2 3" xfId="12565" xr:uid="{00000000-0005-0000-0000-0000CF240000}"/>
    <cellStyle name="Normal 54 3 2 2 3" xfId="6542" xr:uid="{00000000-0005-0000-0000-0000D0240000}"/>
    <cellStyle name="Normal 54 3 2 2 3 2" xfId="15583" xr:uid="{00000000-0005-0000-0000-0000D1240000}"/>
    <cellStyle name="Normal 54 3 2 2 4" xfId="11070" xr:uid="{00000000-0005-0000-0000-0000D2240000}"/>
    <cellStyle name="Normal 54 3 2 3" xfId="3521" xr:uid="{00000000-0005-0000-0000-0000D3240000}"/>
    <cellStyle name="Normal 54 3 2 3 2" xfId="8036" xr:uid="{00000000-0005-0000-0000-0000D4240000}"/>
    <cellStyle name="Normal 54 3 2 3 2 2" xfId="17077" xr:uid="{00000000-0005-0000-0000-0000D5240000}"/>
    <cellStyle name="Normal 54 3 2 3 3" xfId="12564" xr:uid="{00000000-0005-0000-0000-0000D6240000}"/>
    <cellStyle name="Normal 54 3 2 4" xfId="5414" xr:uid="{00000000-0005-0000-0000-0000D7240000}"/>
    <cellStyle name="Normal 54 3 2 4 2" xfId="14455" xr:uid="{00000000-0005-0000-0000-0000D8240000}"/>
    <cellStyle name="Normal 54 3 2 5" xfId="9942" xr:uid="{00000000-0005-0000-0000-0000D9240000}"/>
    <cellStyle name="Normal 54 3 3" xfId="1455" xr:uid="{00000000-0005-0000-0000-0000DA240000}"/>
    <cellStyle name="Normal 54 3 3 2" xfId="3523" xr:uid="{00000000-0005-0000-0000-0000DB240000}"/>
    <cellStyle name="Normal 54 3 3 2 2" xfId="8038" xr:uid="{00000000-0005-0000-0000-0000DC240000}"/>
    <cellStyle name="Normal 54 3 3 2 2 2" xfId="17079" xr:uid="{00000000-0005-0000-0000-0000DD240000}"/>
    <cellStyle name="Normal 54 3 3 2 3" xfId="12566" xr:uid="{00000000-0005-0000-0000-0000DE240000}"/>
    <cellStyle name="Normal 54 3 3 3" xfId="5978" xr:uid="{00000000-0005-0000-0000-0000DF240000}"/>
    <cellStyle name="Normal 54 3 3 3 2" xfId="15019" xr:uid="{00000000-0005-0000-0000-0000E0240000}"/>
    <cellStyle name="Normal 54 3 3 4" xfId="10506" xr:uid="{00000000-0005-0000-0000-0000E1240000}"/>
    <cellStyle name="Normal 54 3 4" xfId="3520" xr:uid="{00000000-0005-0000-0000-0000E2240000}"/>
    <cellStyle name="Normal 54 3 4 2" xfId="8035" xr:uid="{00000000-0005-0000-0000-0000E3240000}"/>
    <cellStyle name="Normal 54 3 4 2 2" xfId="17076" xr:uid="{00000000-0005-0000-0000-0000E4240000}"/>
    <cellStyle name="Normal 54 3 4 3" xfId="12563" xr:uid="{00000000-0005-0000-0000-0000E5240000}"/>
    <cellStyle name="Normal 54 3 5" xfId="4850" xr:uid="{00000000-0005-0000-0000-0000E6240000}"/>
    <cellStyle name="Normal 54 3 5 2" xfId="13891" xr:uid="{00000000-0005-0000-0000-0000E7240000}"/>
    <cellStyle name="Normal 54 3 6" xfId="9378" xr:uid="{00000000-0005-0000-0000-0000E8240000}"/>
    <cellStyle name="Normal 54 4" xfId="473" xr:uid="{00000000-0005-0000-0000-0000E9240000}"/>
    <cellStyle name="Normal 54 4 2" xfId="1037" xr:uid="{00000000-0005-0000-0000-0000EA240000}"/>
    <cellStyle name="Normal 54 4 2 2" xfId="2207" xr:uid="{00000000-0005-0000-0000-0000EB240000}"/>
    <cellStyle name="Normal 54 4 2 2 2" xfId="3526" xr:uid="{00000000-0005-0000-0000-0000EC240000}"/>
    <cellStyle name="Normal 54 4 2 2 2 2" xfId="8041" xr:uid="{00000000-0005-0000-0000-0000ED240000}"/>
    <cellStyle name="Normal 54 4 2 2 2 2 2" xfId="17082" xr:uid="{00000000-0005-0000-0000-0000EE240000}"/>
    <cellStyle name="Normal 54 4 2 2 2 3" xfId="12569" xr:uid="{00000000-0005-0000-0000-0000EF240000}"/>
    <cellStyle name="Normal 54 4 2 2 3" xfId="6730" xr:uid="{00000000-0005-0000-0000-0000F0240000}"/>
    <cellStyle name="Normal 54 4 2 2 3 2" xfId="15771" xr:uid="{00000000-0005-0000-0000-0000F1240000}"/>
    <cellStyle name="Normal 54 4 2 2 4" xfId="11258" xr:uid="{00000000-0005-0000-0000-0000F2240000}"/>
    <cellStyle name="Normal 54 4 2 3" xfId="3525" xr:uid="{00000000-0005-0000-0000-0000F3240000}"/>
    <cellStyle name="Normal 54 4 2 3 2" xfId="8040" xr:uid="{00000000-0005-0000-0000-0000F4240000}"/>
    <cellStyle name="Normal 54 4 2 3 2 2" xfId="17081" xr:uid="{00000000-0005-0000-0000-0000F5240000}"/>
    <cellStyle name="Normal 54 4 2 3 3" xfId="12568" xr:uid="{00000000-0005-0000-0000-0000F6240000}"/>
    <cellStyle name="Normal 54 4 2 4" xfId="5602" xr:uid="{00000000-0005-0000-0000-0000F7240000}"/>
    <cellStyle name="Normal 54 4 2 4 2" xfId="14643" xr:uid="{00000000-0005-0000-0000-0000F8240000}"/>
    <cellStyle name="Normal 54 4 2 5" xfId="10130" xr:uid="{00000000-0005-0000-0000-0000F9240000}"/>
    <cellStyle name="Normal 54 4 3" xfId="1643" xr:uid="{00000000-0005-0000-0000-0000FA240000}"/>
    <cellStyle name="Normal 54 4 3 2" xfId="3527" xr:uid="{00000000-0005-0000-0000-0000FB240000}"/>
    <cellStyle name="Normal 54 4 3 2 2" xfId="8042" xr:uid="{00000000-0005-0000-0000-0000FC240000}"/>
    <cellStyle name="Normal 54 4 3 2 2 2" xfId="17083" xr:uid="{00000000-0005-0000-0000-0000FD240000}"/>
    <cellStyle name="Normal 54 4 3 2 3" xfId="12570" xr:uid="{00000000-0005-0000-0000-0000FE240000}"/>
    <cellStyle name="Normal 54 4 3 3" xfId="6166" xr:uid="{00000000-0005-0000-0000-0000FF240000}"/>
    <cellStyle name="Normal 54 4 3 3 2" xfId="15207" xr:uid="{00000000-0005-0000-0000-000000250000}"/>
    <cellStyle name="Normal 54 4 3 4" xfId="10694" xr:uid="{00000000-0005-0000-0000-000001250000}"/>
    <cellStyle name="Normal 54 4 4" xfId="3524" xr:uid="{00000000-0005-0000-0000-000002250000}"/>
    <cellStyle name="Normal 54 4 4 2" xfId="8039" xr:uid="{00000000-0005-0000-0000-000003250000}"/>
    <cellStyle name="Normal 54 4 4 2 2" xfId="17080" xr:uid="{00000000-0005-0000-0000-000004250000}"/>
    <cellStyle name="Normal 54 4 4 3" xfId="12567" xr:uid="{00000000-0005-0000-0000-000005250000}"/>
    <cellStyle name="Normal 54 4 5" xfId="5038" xr:uid="{00000000-0005-0000-0000-000006250000}"/>
    <cellStyle name="Normal 54 4 5 2" xfId="14079" xr:uid="{00000000-0005-0000-0000-000007250000}"/>
    <cellStyle name="Normal 54 4 6" xfId="9566" xr:uid="{00000000-0005-0000-0000-000008250000}"/>
    <cellStyle name="Normal 54 5" xfId="661" xr:uid="{00000000-0005-0000-0000-000009250000}"/>
    <cellStyle name="Normal 54 5 2" xfId="1831" xr:uid="{00000000-0005-0000-0000-00000A250000}"/>
    <cellStyle name="Normal 54 5 2 2" xfId="3529" xr:uid="{00000000-0005-0000-0000-00000B250000}"/>
    <cellStyle name="Normal 54 5 2 2 2" xfId="8044" xr:uid="{00000000-0005-0000-0000-00000C250000}"/>
    <cellStyle name="Normal 54 5 2 2 2 2" xfId="17085" xr:uid="{00000000-0005-0000-0000-00000D250000}"/>
    <cellStyle name="Normal 54 5 2 2 3" xfId="12572" xr:uid="{00000000-0005-0000-0000-00000E250000}"/>
    <cellStyle name="Normal 54 5 2 3" xfId="6354" xr:uid="{00000000-0005-0000-0000-00000F250000}"/>
    <cellStyle name="Normal 54 5 2 3 2" xfId="15395" xr:uid="{00000000-0005-0000-0000-000010250000}"/>
    <cellStyle name="Normal 54 5 2 4" xfId="10882" xr:uid="{00000000-0005-0000-0000-000011250000}"/>
    <cellStyle name="Normal 54 5 3" xfId="3528" xr:uid="{00000000-0005-0000-0000-000012250000}"/>
    <cellStyle name="Normal 54 5 3 2" xfId="8043" xr:uid="{00000000-0005-0000-0000-000013250000}"/>
    <cellStyle name="Normal 54 5 3 2 2" xfId="17084" xr:uid="{00000000-0005-0000-0000-000014250000}"/>
    <cellStyle name="Normal 54 5 3 3" xfId="12571" xr:uid="{00000000-0005-0000-0000-000015250000}"/>
    <cellStyle name="Normal 54 5 4" xfId="5226" xr:uid="{00000000-0005-0000-0000-000016250000}"/>
    <cellStyle name="Normal 54 5 4 2" xfId="14267" xr:uid="{00000000-0005-0000-0000-000017250000}"/>
    <cellStyle name="Normal 54 5 5" xfId="9754" xr:uid="{00000000-0005-0000-0000-000018250000}"/>
    <cellStyle name="Normal 54 6" xfId="1267" xr:uid="{00000000-0005-0000-0000-000019250000}"/>
    <cellStyle name="Normal 54 6 2" xfId="3530" xr:uid="{00000000-0005-0000-0000-00001A250000}"/>
    <cellStyle name="Normal 54 6 2 2" xfId="8045" xr:uid="{00000000-0005-0000-0000-00001B250000}"/>
    <cellStyle name="Normal 54 6 2 2 2" xfId="17086" xr:uid="{00000000-0005-0000-0000-00001C250000}"/>
    <cellStyle name="Normal 54 6 2 3" xfId="12573" xr:uid="{00000000-0005-0000-0000-00001D250000}"/>
    <cellStyle name="Normal 54 6 3" xfId="5790" xr:uid="{00000000-0005-0000-0000-00001E250000}"/>
    <cellStyle name="Normal 54 6 3 2" xfId="14831" xr:uid="{00000000-0005-0000-0000-00001F250000}"/>
    <cellStyle name="Normal 54 6 4" xfId="10318" xr:uid="{00000000-0005-0000-0000-000020250000}"/>
    <cellStyle name="Normal 54 7" xfId="3507" xr:uid="{00000000-0005-0000-0000-000021250000}"/>
    <cellStyle name="Normal 54 7 2" xfId="8022" xr:uid="{00000000-0005-0000-0000-000022250000}"/>
    <cellStyle name="Normal 54 7 2 2" xfId="17063" xr:uid="{00000000-0005-0000-0000-000023250000}"/>
    <cellStyle name="Normal 54 7 3" xfId="12550" xr:uid="{00000000-0005-0000-0000-000024250000}"/>
    <cellStyle name="Normal 54 8" xfId="4662" xr:uid="{00000000-0005-0000-0000-000025250000}"/>
    <cellStyle name="Normal 54 8 2" xfId="13703" xr:uid="{00000000-0005-0000-0000-000026250000}"/>
    <cellStyle name="Normal 54 9" xfId="9190" xr:uid="{00000000-0005-0000-0000-000027250000}"/>
    <cellStyle name="Normal 55" xfId="55" xr:uid="{00000000-0005-0000-0000-000028250000}"/>
    <cellStyle name="Normal 55 2" xfId="151" xr:uid="{00000000-0005-0000-0000-000029250000}"/>
    <cellStyle name="Normal 55 2 2" xfId="380" xr:uid="{00000000-0005-0000-0000-00002A250000}"/>
    <cellStyle name="Normal 55 2 2 2" xfId="944" xr:uid="{00000000-0005-0000-0000-00002B250000}"/>
    <cellStyle name="Normal 55 2 2 2 2" xfId="2114" xr:uid="{00000000-0005-0000-0000-00002C250000}"/>
    <cellStyle name="Normal 55 2 2 2 2 2" xfId="3535" xr:uid="{00000000-0005-0000-0000-00002D250000}"/>
    <cellStyle name="Normal 55 2 2 2 2 2 2" xfId="8050" xr:uid="{00000000-0005-0000-0000-00002E250000}"/>
    <cellStyle name="Normal 55 2 2 2 2 2 2 2" xfId="17091" xr:uid="{00000000-0005-0000-0000-00002F250000}"/>
    <cellStyle name="Normal 55 2 2 2 2 2 3" xfId="12578" xr:uid="{00000000-0005-0000-0000-000030250000}"/>
    <cellStyle name="Normal 55 2 2 2 2 3" xfId="6637" xr:uid="{00000000-0005-0000-0000-000031250000}"/>
    <cellStyle name="Normal 55 2 2 2 2 3 2" xfId="15678" xr:uid="{00000000-0005-0000-0000-000032250000}"/>
    <cellStyle name="Normal 55 2 2 2 2 4" xfId="11165" xr:uid="{00000000-0005-0000-0000-000033250000}"/>
    <cellStyle name="Normal 55 2 2 2 3" xfId="3534" xr:uid="{00000000-0005-0000-0000-000034250000}"/>
    <cellStyle name="Normal 55 2 2 2 3 2" xfId="8049" xr:uid="{00000000-0005-0000-0000-000035250000}"/>
    <cellStyle name="Normal 55 2 2 2 3 2 2" xfId="17090" xr:uid="{00000000-0005-0000-0000-000036250000}"/>
    <cellStyle name="Normal 55 2 2 2 3 3" xfId="12577" xr:uid="{00000000-0005-0000-0000-000037250000}"/>
    <cellStyle name="Normal 55 2 2 2 4" xfId="5509" xr:uid="{00000000-0005-0000-0000-000038250000}"/>
    <cellStyle name="Normal 55 2 2 2 4 2" xfId="14550" xr:uid="{00000000-0005-0000-0000-000039250000}"/>
    <cellStyle name="Normal 55 2 2 2 5" xfId="10037" xr:uid="{00000000-0005-0000-0000-00003A250000}"/>
    <cellStyle name="Normal 55 2 2 3" xfId="1550" xr:uid="{00000000-0005-0000-0000-00003B250000}"/>
    <cellStyle name="Normal 55 2 2 3 2" xfId="3536" xr:uid="{00000000-0005-0000-0000-00003C250000}"/>
    <cellStyle name="Normal 55 2 2 3 2 2" xfId="8051" xr:uid="{00000000-0005-0000-0000-00003D250000}"/>
    <cellStyle name="Normal 55 2 2 3 2 2 2" xfId="17092" xr:uid="{00000000-0005-0000-0000-00003E250000}"/>
    <cellStyle name="Normal 55 2 2 3 2 3" xfId="12579" xr:uid="{00000000-0005-0000-0000-00003F250000}"/>
    <cellStyle name="Normal 55 2 2 3 3" xfId="6073" xr:uid="{00000000-0005-0000-0000-000040250000}"/>
    <cellStyle name="Normal 55 2 2 3 3 2" xfId="15114" xr:uid="{00000000-0005-0000-0000-000041250000}"/>
    <cellStyle name="Normal 55 2 2 3 4" xfId="10601" xr:uid="{00000000-0005-0000-0000-000042250000}"/>
    <cellStyle name="Normal 55 2 2 4" xfId="3533" xr:uid="{00000000-0005-0000-0000-000043250000}"/>
    <cellStyle name="Normal 55 2 2 4 2" xfId="8048" xr:uid="{00000000-0005-0000-0000-000044250000}"/>
    <cellStyle name="Normal 55 2 2 4 2 2" xfId="17089" xr:uid="{00000000-0005-0000-0000-000045250000}"/>
    <cellStyle name="Normal 55 2 2 4 3" xfId="12576" xr:uid="{00000000-0005-0000-0000-000046250000}"/>
    <cellStyle name="Normal 55 2 2 5" xfId="4945" xr:uid="{00000000-0005-0000-0000-000047250000}"/>
    <cellStyle name="Normal 55 2 2 5 2" xfId="13986" xr:uid="{00000000-0005-0000-0000-000048250000}"/>
    <cellStyle name="Normal 55 2 2 6" xfId="9473" xr:uid="{00000000-0005-0000-0000-000049250000}"/>
    <cellStyle name="Normal 55 2 3" xfId="568" xr:uid="{00000000-0005-0000-0000-00004A250000}"/>
    <cellStyle name="Normal 55 2 3 2" xfId="1132" xr:uid="{00000000-0005-0000-0000-00004B250000}"/>
    <cellStyle name="Normal 55 2 3 2 2" xfId="2302" xr:uid="{00000000-0005-0000-0000-00004C250000}"/>
    <cellStyle name="Normal 55 2 3 2 2 2" xfId="3539" xr:uid="{00000000-0005-0000-0000-00004D250000}"/>
    <cellStyle name="Normal 55 2 3 2 2 2 2" xfId="8054" xr:uid="{00000000-0005-0000-0000-00004E250000}"/>
    <cellStyle name="Normal 55 2 3 2 2 2 2 2" xfId="17095" xr:uid="{00000000-0005-0000-0000-00004F250000}"/>
    <cellStyle name="Normal 55 2 3 2 2 2 3" xfId="12582" xr:uid="{00000000-0005-0000-0000-000050250000}"/>
    <cellStyle name="Normal 55 2 3 2 2 3" xfId="6825" xr:uid="{00000000-0005-0000-0000-000051250000}"/>
    <cellStyle name="Normal 55 2 3 2 2 3 2" xfId="15866" xr:uid="{00000000-0005-0000-0000-000052250000}"/>
    <cellStyle name="Normal 55 2 3 2 2 4" xfId="11353" xr:uid="{00000000-0005-0000-0000-000053250000}"/>
    <cellStyle name="Normal 55 2 3 2 3" xfId="3538" xr:uid="{00000000-0005-0000-0000-000054250000}"/>
    <cellStyle name="Normal 55 2 3 2 3 2" xfId="8053" xr:uid="{00000000-0005-0000-0000-000055250000}"/>
    <cellStyle name="Normal 55 2 3 2 3 2 2" xfId="17094" xr:uid="{00000000-0005-0000-0000-000056250000}"/>
    <cellStyle name="Normal 55 2 3 2 3 3" xfId="12581" xr:uid="{00000000-0005-0000-0000-000057250000}"/>
    <cellStyle name="Normal 55 2 3 2 4" xfId="5697" xr:uid="{00000000-0005-0000-0000-000058250000}"/>
    <cellStyle name="Normal 55 2 3 2 4 2" xfId="14738" xr:uid="{00000000-0005-0000-0000-000059250000}"/>
    <cellStyle name="Normal 55 2 3 2 5" xfId="10225" xr:uid="{00000000-0005-0000-0000-00005A250000}"/>
    <cellStyle name="Normal 55 2 3 3" xfId="1738" xr:uid="{00000000-0005-0000-0000-00005B250000}"/>
    <cellStyle name="Normal 55 2 3 3 2" xfId="3540" xr:uid="{00000000-0005-0000-0000-00005C250000}"/>
    <cellStyle name="Normal 55 2 3 3 2 2" xfId="8055" xr:uid="{00000000-0005-0000-0000-00005D250000}"/>
    <cellStyle name="Normal 55 2 3 3 2 2 2" xfId="17096" xr:uid="{00000000-0005-0000-0000-00005E250000}"/>
    <cellStyle name="Normal 55 2 3 3 2 3" xfId="12583" xr:uid="{00000000-0005-0000-0000-00005F250000}"/>
    <cellStyle name="Normal 55 2 3 3 3" xfId="6261" xr:uid="{00000000-0005-0000-0000-000060250000}"/>
    <cellStyle name="Normal 55 2 3 3 3 2" xfId="15302" xr:uid="{00000000-0005-0000-0000-000061250000}"/>
    <cellStyle name="Normal 55 2 3 3 4" xfId="10789" xr:uid="{00000000-0005-0000-0000-000062250000}"/>
    <cellStyle name="Normal 55 2 3 4" xfId="3537" xr:uid="{00000000-0005-0000-0000-000063250000}"/>
    <cellStyle name="Normal 55 2 3 4 2" xfId="8052" xr:uid="{00000000-0005-0000-0000-000064250000}"/>
    <cellStyle name="Normal 55 2 3 4 2 2" xfId="17093" xr:uid="{00000000-0005-0000-0000-000065250000}"/>
    <cellStyle name="Normal 55 2 3 4 3" xfId="12580" xr:uid="{00000000-0005-0000-0000-000066250000}"/>
    <cellStyle name="Normal 55 2 3 5" xfId="5133" xr:uid="{00000000-0005-0000-0000-000067250000}"/>
    <cellStyle name="Normal 55 2 3 5 2" xfId="14174" xr:uid="{00000000-0005-0000-0000-000068250000}"/>
    <cellStyle name="Normal 55 2 3 6" xfId="9661" xr:uid="{00000000-0005-0000-0000-000069250000}"/>
    <cellStyle name="Normal 55 2 4" xfId="756" xr:uid="{00000000-0005-0000-0000-00006A250000}"/>
    <cellStyle name="Normal 55 2 4 2" xfId="1926" xr:uid="{00000000-0005-0000-0000-00006B250000}"/>
    <cellStyle name="Normal 55 2 4 2 2" xfId="3542" xr:uid="{00000000-0005-0000-0000-00006C250000}"/>
    <cellStyle name="Normal 55 2 4 2 2 2" xfId="8057" xr:uid="{00000000-0005-0000-0000-00006D250000}"/>
    <cellStyle name="Normal 55 2 4 2 2 2 2" xfId="17098" xr:uid="{00000000-0005-0000-0000-00006E250000}"/>
    <cellStyle name="Normal 55 2 4 2 2 3" xfId="12585" xr:uid="{00000000-0005-0000-0000-00006F250000}"/>
    <cellStyle name="Normal 55 2 4 2 3" xfId="6449" xr:uid="{00000000-0005-0000-0000-000070250000}"/>
    <cellStyle name="Normal 55 2 4 2 3 2" xfId="15490" xr:uid="{00000000-0005-0000-0000-000071250000}"/>
    <cellStyle name="Normal 55 2 4 2 4" xfId="10977" xr:uid="{00000000-0005-0000-0000-000072250000}"/>
    <cellStyle name="Normal 55 2 4 3" xfId="3541" xr:uid="{00000000-0005-0000-0000-000073250000}"/>
    <cellStyle name="Normal 55 2 4 3 2" xfId="8056" xr:uid="{00000000-0005-0000-0000-000074250000}"/>
    <cellStyle name="Normal 55 2 4 3 2 2" xfId="17097" xr:uid="{00000000-0005-0000-0000-000075250000}"/>
    <cellStyle name="Normal 55 2 4 3 3" xfId="12584" xr:uid="{00000000-0005-0000-0000-000076250000}"/>
    <cellStyle name="Normal 55 2 4 4" xfId="5321" xr:uid="{00000000-0005-0000-0000-000077250000}"/>
    <cellStyle name="Normal 55 2 4 4 2" xfId="14362" xr:uid="{00000000-0005-0000-0000-000078250000}"/>
    <cellStyle name="Normal 55 2 4 5" xfId="9849" xr:uid="{00000000-0005-0000-0000-000079250000}"/>
    <cellStyle name="Normal 55 2 5" xfId="1362" xr:uid="{00000000-0005-0000-0000-00007A250000}"/>
    <cellStyle name="Normal 55 2 5 2" xfId="3543" xr:uid="{00000000-0005-0000-0000-00007B250000}"/>
    <cellStyle name="Normal 55 2 5 2 2" xfId="8058" xr:uid="{00000000-0005-0000-0000-00007C250000}"/>
    <cellStyle name="Normal 55 2 5 2 2 2" xfId="17099" xr:uid="{00000000-0005-0000-0000-00007D250000}"/>
    <cellStyle name="Normal 55 2 5 2 3" xfId="12586" xr:uid="{00000000-0005-0000-0000-00007E250000}"/>
    <cellStyle name="Normal 55 2 5 3" xfId="5885" xr:uid="{00000000-0005-0000-0000-00007F250000}"/>
    <cellStyle name="Normal 55 2 5 3 2" xfId="14926" xr:uid="{00000000-0005-0000-0000-000080250000}"/>
    <cellStyle name="Normal 55 2 5 4" xfId="10413" xr:uid="{00000000-0005-0000-0000-000081250000}"/>
    <cellStyle name="Normal 55 2 6" xfId="3532" xr:uid="{00000000-0005-0000-0000-000082250000}"/>
    <cellStyle name="Normal 55 2 6 2" xfId="8047" xr:uid="{00000000-0005-0000-0000-000083250000}"/>
    <cellStyle name="Normal 55 2 6 2 2" xfId="17088" xr:uid="{00000000-0005-0000-0000-000084250000}"/>
    <cellStyle name="Normal 55 2 6 3" xfId="12575" xr:uid="{00000000-0005-0000-0000-000085250000}"/>
    <cellStyle name="Normal 55 2 7" xfId="4757" xr:uid="{00000000-0005-0000-0000-000086250000}"/>
    <cellStyle name="Normal 55 2 7 2" xfId="13798" xr:uid="{00000000-0005-0000-0000-000087250000}"/>
    <cellStyle name="Normal 55 2 8" xfId="9285" xr:uid="{00000000-0005-0000-0000-000088250000}"/>
    <cellStyle name="Normal 55 3" xfId="286" xr:uid="{00000000-0005-0000-0000-000089250000}"/>
    <cellStyle name="Normal 55 3 2" xfId="850" xr:uid="{00000000-0005-0000-0000-00008A250000}"/>
    <cellStyle name="Normal 55 3 2 2" xfId="2020" xr:uid="{00000000-0005-0000-0000-00008B250000}"/>
    <cellStyle name="Normal 55 3 2 2 2" xfId="3546" xr:uid="{00000000-0005-0000-0000-00008C250000}"/>
    <cellStyle name="Normal 55 3 2 2 2 2" xfId="8061" xr:uid="{00000000-0005-0000-0000-00008D250000}"/>
    <cellStyle name="Normal 55 3 2 2 2 2 2" xfId="17102" xr:uid="{00000000-0005-0000-0000-00008E250000}"/>
    <cellStyle name="Normal 55 3 2 2 2 3" xfId="12589" xr:uid="{00000000-0005-0000-0000-00008F250000}"/>
    <cellStyle name="Normal 55 3 2 2 3" xfId="6543" xr:uid="{00000000-0005-0000-0000-000090250000}"/>
    <cellStyle name="Normal 55 3 2 2 3 2" xfId="15584" xr:uid="{00000000-0005-0000-0000-000091250000}"/>
    <cellStyle name="Normal 55 3 2 2 4" xfId="11071" xr:uid="{00000000-0005-0000-0000-000092250000}"/>
    <cellStyle name="Normal 55 3 2 3" xfId="3545" xr:uid="{00000000-0005-0000-0000-000093250000}"/>
    <cellStyle name="Normal 55 3 2 3 2" xfId="8060" xr:uid="{00000000-0005-0000-0000-000094250000}"/>
    <cellStyle name="Normal 55 3 2 3 2 2" xfId="17101" xr:uid="{00000000-0005-0000-0000-000095250000}"/>
    <cellStyle name="Normal 55 3 2 3 3" xfId="12588" xr:uid="{00000000-0005-0000-0000-000096250000}"/>
    <cellStyle name="Normal 55 3 2 4" xfId="5415" xr:uid="{00000000-0005-0000-0000-000097250000}"/>
    <cellStyle name="Normal 55 3 2 4 2" xfId="14456" xr:uid="{00000000-0005-0000-0000-000098250000}"/>
    <cellStyle name="Normal 55 3 2 5" xfId="9943" xr:uid="{00000000-0005-0000-0000-000099250000}"/>
    <cellStyle name="Normal 55 3 3" xfId="1456" xr:uid="{00000000-0005-0000-0000-00009A250000}"/>
    <cellStyle name="Normal 55 3 3 2" xfId="3547" xr:uid="{00000000-0005-0000-0000-00009B250000}"/>
    <cellStyle name="Normal 55 3 3 2 2" xfId="8062" xr:uid="{00000000-0005-0000-0000-00009C250000}"/>
    <cellStyle name="Normal 55 3 3 2 2 2" xfId="17103" xr:uid="{00000000-0005-0000-0000-00009D250000}"/>
    <cellStyle name="Normal 55 3 3 2 3" xfId="12590" xr:uid="{00000000-0005-0000-0000-00009E250000}"/>
    <cellStyle name="Normal 55 3 3 3" xfId="5979" xr:uid="{00000000-0005-0000-0000-00009F250000}"/>
    <cellStyle name="Normal 55 3 3 3 2" xfId="15020" xr:uid="{00000000-0005-0000-0000-0000A0250000}"/>
    <cellStyle name="Normal 55 3 3 4" xfId="10507" xr:uid="{00000000-0005-0000-0000-0000A1250000}"/>
    <cellStyle name="Normal 55 3 4" xfId="3544" xr:uid="{00000000-0005-0000-0000-0000A2250000}"/>
    <cellStyle name="Normal 55 3 4 2" xfId="8059" xr:uid="{00000000-0005-0000-0000-0000A3250000}"/>
    <cellStyle name="Normal 55 3 4 2 2" xfId="17100" xr:uid="{00000000-0005-0000-0000-0000A4250000}"/>
    <cellStyle name="Normal 55 3 4 3" xfId="12587" xr:uid="{00000000-0005-0000-0000-0000A5250000}"/>
    <cellStyle name="Normal 55 3 5" xfId="4851" xr:uid="{00000000-0005-0000-0000-0000A6250000}"/>
    <cellStyle name="Normal 55 3 5 2" xfId="13892" xr:uid="{00000000-0005-0000-0000-0000A7250000}"/>
    <cellStyle name="Normal 55 3 6" xfId="9379" xr:uid="{00000000-0005-0000-0000-0000A8250000}"/>
    <cellStyle name="Normal 55 4" xfId="474" xr:uid="{00000000-0005-0000-0000-0000A9250000}"/>
    <cellStyle name="Normal 55 4 2" xfId="1038" xr:uid="{00000000-0005-0000-0000-0000AA250000}"/>
    <cellStyle name="Normal 55 4 2 2" xfId="2208" xr:uid="{00000000-0005-0000-0000-0000AB250000}"/>
    <cellStyle name="Normal 55 4 2 2 2" xfId="3550" xr:uid="{00000000-0005-0000-0000-0000AC250000}"/>
    <cellStyle name="Normal 55 4 2 2 2 2" xfId="8065" xr:uid="{00000000-0005-0000-0000-0000AD250000}"/>
    <cellStyle name="Normal 55 4 2 2 2 2 2" xfId="17106" xr:uid="{00000000-0005-0000-0000-0000AE250000}"/>
    <cellStyle name="Normal 55 4 2 2 2 3" xfId="12593" xr:uid="{00000000-0005-0000-0000-0000AF250000}"/>
    <cellStyle name="Normal 55 4 2 2 3" xfId="6731" xr:uid="{00000000-0005-0000-0000-0000B0250000}"/>
    <cellStyle name="Normal 55 4 2 2 3 2" xfId="15772" xr:uid="{00000000-0005-0000-0000-0000B1250000}"/>
    <cellStyle name="Normal 55 4 2 2 4" xfId="11259" xr:uid="{00000000-0005-0000-0000-0000B2250000}"/>
    <cellStyle name="Normal 55 4 2 3" xfId="3549" xr:uid="{00000000-0005-0000-0000-0000B3250000}"/>
    <cellStyle name="Normal 55 4 2 3 2" xfId="8064" xr:uid="{00000000-0005-0000-0000-0000B4250000}"/>
    <cellStyle name="Normal 55 4 2 3 2 2" xfId="17105" xr:uid="{00000000-0005-0000-0000-0000B5250000}"/>
    <cellStyle name="Normal 55 4 2 3 3" xfId="12592" xr:uid="{00000000-0005-0000-0000-0000B6250000}"/>
    <cellStyle name="Normal 55 4 2 4" xfId="5603" xr:uid="{00000000-0005-0000-0000-0000B7250000}"/>
    <cellStyle name="Normal 55 4 2 4 2" xfId="14644" xr:uid="{00000000-0005-0000-0000-0000B8250000}"/>
    <cellStyle name="Normal 55 4 2 5" xfId="10131" xr:uid="{00000000-0005-0000-0000-0000B9250000}"/>
    <cellStyle name="Normal 55 4 3" xfId="1644" xr:uid="{00000000-0005-0000-0000-0000BA250000}"/>
    <cellStyle name="Normal 55 4 3 2" xfId="3551" xr:uid="{00000000-0005-0000-0000-0000BB250000}"/>
    <cellStyle name="Normal 55 4 3 2 2" xfId="8066" xr:uid="{00000000-0005-0000-0000-0000BC250000}"/>
    <cellStyle name="Normal 55 4 3 2 2 2" xfId="17107" xr:uid="{00000000-0005-0000-0000-0000BD250000}"/>
    <cellStyle name="Normal 55 4 3 2 3" xfId="12594" xr:uid="{00000000-0005-0000-0000-0000BE250000}"/>
    <cellStyle name="Normal 55 4 3 3" xfId="6167" xr:uid="{00000000-0005-0000-0000-0000BF250000}"/>
    <cellStyle name="Normal 55 4 3 3 2" xfId="15208" xr:uid="{00000000-0005-0000-0000-0000C0250000}"/>
    <cellStyle name="Normal 55 4 3 4" xfId="10695" xr:uid="{00000000-0005-0000-0000-0000C1250000}"/>
    <cellStyle name="Normal 55 4 4" xfId="3548" xr:uid="{00000000-0005-0000-0000-0000C2250000}"/>
    <cellStyle name="Normal 55 4 4 2" xfId="8063" xr:uid="{00000000-0005-0000-0000-0000C3250000}"/>
    <cellStyle name="Normal 55 4 4 2 2" xfId="17104" xr:uid="{00000000-0005-0000-0000-0000C4250000}"/>
    <cellStyle name="Normal 55 4 4 3" xfId="12591" xr:uid="{00000000-0005-0000-0000-0000C5250000}"/>
    <cellStyle name="Normal 55 4 5" xfId="5039" xr:uid="{00000000-0005-0000-0000-0000C6250000}"/>
    <cellStyle name="Normal 55 4 5 2" xfId="14080" xr:uid="{00000000-0005-0000-0000-0000C7250000}"/>
    <cellStyle name="Normal 55 4 6" xfId="9567" xr:uid="{00000000-0005-0000-0000-0000C8250000}"/>
    <cellStyle name="Normal 55 5" xfId="662" xr:uid="{00000000-0005-0000-0000-0000C9250000}"/>
    <cellStyle name="Normal 55 5 2" xfId="1832" xr:uid="{00000000-0005-0000-0000-0000CA250000}"/>
    <cellStyle name="Normal 55 5 2 2" xfId="3553" xr:uid="{00000000-0005-0000-0000-0000CB250000}"/>
    <cellStyle name="Normal 55 5 2 2 2" xfId="8068" xr:uid="{00000000-0005-0000-0000-0000CC250000}"/>
    <cellStyle name="Normal 55 5 2 2 2 2" xfId="17109" xr:uid="{00000000-0005-0000-0000-0000CD250000}"/>
    <cellStyle name="Normal 55 5 2 2 3" xfId="12596" xr:uid="{00000000-0005-0000-0000-0000CE250000}"/>
    <cellStyle name="Normal 55 5 2 3" xfId="6355" xr:uid="{00000000-0005-0000-0000-0000CF250000}"/>
    <cellStyle name="Normal 55 5 2 3 2" xfId="15396" xr:uid="{00000000-0005-0000-0000-0000D0250000}"/>
    <cellStyle name="Normal 55 5 2 4" xfId="10883" xr:uid="{00000000-0005-0000-0000-0000D1250000}"/>
    <cellStyle name="Normal 55 5 3" xfId="3552" xr:uid="{00000000-0005-0000-0000-0000D2250000}"/>
    <cellStyle name="Normal 55 5 3 2" xfId="8067" xr:uid="{00000000-0005-0000-0000-0000D3250000}"/>
    <cellStyle name="Normal 55 5 3 2 2" xfId="17108" xr:uid="{00000000-0005-0000-0000-0000D4250000}"/>
    <cellStyle name="Normal 55 5 3 3" xfId="12595" xr:uid="{00000000-0005-0000-0000-0000D5250000}"/>
    <cellStyle name="Normal 55 5 4" xfId="5227" xr:uid="{00000000-0005-0000-0000-0000D6250000}"/>
    <cellStyle name="Normal 55 5 4 2" xfId="14268" xr:uid="{00000000-0005-0000-0000-0000D7250000}"/>
    <cellStyle name="Normal 55 5 5" xfId="9755" xr:uid="{00000000-0005-0000-0000-0000D8250000}"/>
    <cellStyle name="Normal 55 6" xfId="1268" xr:uid="{00000000-0005-0000-0000-0000D9250000}"/>
    <cellStyle name="Normal 55 6 2" xfId="3554" xr:uid="{00000000-0005-0000-0000-0000DA250000}"/>
    <cellStyle name="Normal 55 6 2 2" xfId="8069" xr:uid="{00000000-0005-0000-0000-0000DB250000}"/>
    <cellStyle name="Normal 55 6 2 2 2" xfId="17110" xr:uid="{00000000-0005-0000-0000-0000DC250000}"/>
    <cellStyle name="Normal 55 6 2 3" xfId="12597" xr:uid="{00000000-0005-0000-0000-0000DD250000}"/>
    <cellStyle name="Normal 55 6 3" xfId="5791" xr:uid="{00000000-0005-0000-0000-0000DE250000}"/>
    <cellStyle name="Normal 55 6 3 2" xfId="14832" xr:uid="{00000000-0005-0000-0000-0000DF250000}"/>
    <cellStyle name="Normal 55 6 4" xfId="10319" xr:uid="{00000000-0005-0000-0000-0000E0250000}"/>
    <cellStyle name="Normal 55 7" xfId="3531" xr:uid="{00000000-0005-0000-0000-0000E1250000}"/>
    <cellStyle name="Normal 55 7 2" xfId="8046" xr:uid="{00000000-0005-0000-0000-0000E2250000}"/>
    <cellStyle name="Normal 55 7 2 2" xfId="17087" xr:uid="{00000000-0005-0000-0000-0000E3250000}"/>
    <cellStyle name="Normal 55 7 3" xfId="12574" xr:uid="{00000000-0005-0000-0000-0000E4250000}"/>
    <cellStyle name="Normal 55 8" xfId="4663" xr:uid="{00000000-0005-0000-0000-0000E5250000}"/>
    <cellStyle name="Normal 55 8 2" xfId="13704" xr:uid="{00000000-0005-0000-0000-0000E6250000}"/>
    <cellStyle name="Normal 55 9" xfId="9191" xr:uid="{00000000-0005-0000-0000-0000E7250000}"/>
    <cellStyle name="Normal 56" xfId="56" xr:uid="{00000000-0005-0000-0000-0000E8250000}"/>
    <cellStyle name="Normal 56 2" xfId="152" xr:uid="{00000000-0005-0000-0000-0000E9250000}"/>
    <cellStyle name="Normal 56 2 2" xfId="381" xr:uid="{00000000-0005-0000-0000-0000EA250000}"/>
    <cellStyle name="Normal 56 2 2 2" xfId="945" xr:uid="{00000000-0005-0000-0000-0000EB250000}"/>
    <cellStyle name="Normal 56 2 2 2 2" xfId="2115" xr:uid="{00000000-0005-0000-0000-0000EC250000}"/>
    <cellStyle name="Normal 56 2 2 2 2 2" xfId="3559" xr:uid="{00000000-0005-0000-0000-0000ED250000}"/>
    <cellStyle name="Normal 56 2 2 2 2 2 2" xfId="8074" xr:uid="{00000000-0005-0000-0000-0000EE250000}"/>
    <cellStyle name="Normal 56 2 2 2 2 2 2 2" xfId="17115" xr:uid="{00000000-0005-0000-0000-0000EF250000}"/>
    <cellStyle name="Normal 56 2 2 2 2 2 3" xfId="12602" xr:uid="{00000000-0005-0000-0000-0000F0250000}"/>
    <cellStyle name="Normal 56 2 2 2 2 3" xfId="6638" xr:uid="{00000000-0005-0000-0000-0000F1250000}"/>
    <cellStyle name="Normal 56 2 2 2 2 3 2" xfId="15679" xr:uid="{00000000-0005-0000-0000-0000F2250000}"/>
    <cellStyle name="Normal 56 2 2 2 2 4" xfId="11166" xr:uid="{00000000-0005-0000-0000-0000F3250000}"/>
    <cellStyle name="Normal 56 2 2 2 3" xfId="3558" xr:uid="{00000000-0005-0000-0000-0000F4250000}"/>
    <cellStyle name="Normal 56 2 2 2 3 2" xfId="8073" xr:uid="{00000000-0005-0000-0000-0000F5250000}"/>
    <cellStyle name="Normal 56 2 2 2 3 2 2" xfId="17114" xr:uid="{00000000-0005-0000-0000-0000F6250000}"/>
    <cellStyle name="Normal 56 2 2 2 3 3" xfId="12601" xr:uid="{00000000-0005-0000-0000-0000F7250000}"/>
    <cellStyle name="Normal 56 2 2 2 4" xfId="5510" xr:uid="{00000000-0005-0000-0000-0000F8250000}"/>
    <cellStyle name="Normal 56 2 2 2 4 2" xfId="14551" xr:uid="{00000000-0005-0000-0000-0000F9250000}"/>
    <cellStyle name="Normal 56 2 2 2 5" xfId="10038" xr:uid="{00000000-0005-0000-0000-0000FA250000}"/>
    <cellStyle name="Normal 56 2 2 3" xfId="1551" xr:uid="{00000000-0005-0000-0000-0000FB250000}"/>
    <cellStyle name="Normal 56 2 2 3 2" xfId="3560" xr:uid="{00000000-0005-0000-0000-0000FC250000}"/>
    <cellStyle name="Normal 56 2 2 3 2 2" xfId="8075" xr:uid="{00000000-0005-0000-0000-0000FD250000}"/>
    <cellStyle name="Normal 56 2 2 3 2 2 2" xfId="17116" xr:uid="{00000000-0005-0000-0000-0000FE250000}"/>
    <cellStyle name="Normal 56 2 2 3 2 3" xfId="12603" xr:uid="{00000000-0005-0000-0000-0000FF250000}"/>
    <cellStyle name="Normal 56 2 2 3 3" xfId="6074" xr:uid="{00000000-0005-0000-0000-000000260000}"/>
    <cellStyle name="Normal 56 2 2 3 3 2" xfId="15115" xr:uid="{00000000-0005-0000-0000-000001260000}"/>
    <cellStyle name="Normal 56 2 2 3 4" xfId="10602" xr:uid="{00000000-0005-0000-0000-000002260000}"/>
    <cellStyle name="Normal 56 2 2 4" xfId="3557" xr:uid="{00000000-0005-0000-0000-000003260000}"/>
    <cellStyle name="Normal 56 2 2 4 2" xfId="8072" xr:uid="{00000000-0005-0000-0000-000004260000}"/>
    <cellStyle name="Normal 56 2 2 4 2 2" xfId="17113" xr:uid="{00000000-0005-0000-0000-000005260000}"/>
    <cellStyle name="Normal 56 2 2 4 3" xfId="12600" xr:uid="{00000000-0005-0000-0000-000006260000}"/>
    <cellStyle name="Normal 56 2 2 5" xfId="4946" xr:uid="{00000000-0005-0000-0000-000007260000}"/>
    <cellStyle name="Normal 56 2 2 5 2" xfId="13987" xr:uid="{00000000-0005-0000-0000-000008260000}"/>
    <cellStyle name="Normal 56 2 2 6" xfId="9474" xr:uid="{00000000-0005-0000-0000-000009260000}"/>
    <cellStyle name="Normal 56 2 3" xfId="569" xr:uid="{00000000-0005-0000-0000-00000A260000}"/>
    <cellStyle name="Normal 56 2 3 2" xfId="1133" xr:uid="{00000000-0005-0000-0000-00000B260000}"/>
    <cellStyle name="Normal 56 2 3 2 2" xfId="2303" xr:uid="{00000000-0005-0000-0000-00000C260000}"/>
    <cellStyle name="Normal 56 2 3 2 2 2" xfId="3563" xr:uid="{00000000-0005-0000-0000-00000D260000}"/>
    <cellStyle name="Normal 56 2 3 2 2 2 2" xfId="8078" xr:uid="{00000000-0005-0000-0000-00000E260000}"/>
    <cellStyle name="Normal 56 2 3 2 2 2 2 2" xfId="17119" xr:uid="{00000000-0005-0000-0000-00000F260000}"/>
    <cellStyle name="Normal 56 2 3 2 2 2 3" xfId="12606" xr:uid="{00000000-0005-0000-0000-000010260000}"/>
    <cellStyle name="Normal 56 2 3 2 2 3" xfId="6826" xr:uid="{00000000-0005-0000-0000-000011260000}"/>
    <cellStyle name="Normal 56 2 3 2 2 3 2" xfId="15867" xr:uid="{00000000-0005-0000-0000-000012260000}"/>
    <cellStyle name="Normal 56 2 3 2 2 4" xfId="11354" xr:uid="{00000000-0005-0000-0000-000013260000}"/>
    <cellStyle name="Normal 56 2 3 2 3" xfId="3562" xr:uid="{00000000-0005-0000-0000-000014260000}"/>
    <cellStyle name="Normal 56 2 3 2 3 2" xfId="8077" xr:uid="{00000000-0005-0000-0000-000015260000}"/>
    <cellStyle name="Normal 56 2 3 2 3 2 2" xfId="17118" xr:uid="{00000000-0005-0000-0000-000016260000}"/>
    <cellStyle name="Normal 56 2 3 2 3 3" xfId="12605" xr:uid="{00000000-0005-0000-0000-000017260000}"/>
    <cellStyle name="Normal 56 2 3 2 4" xfId="5698" xr:uid="{00000000-0005-0000-0000-000018260000}"/>
    <cellStyle name="Normal 56 2 3 2 4 2" xfId="14739" xr:uid="{00000000-0005-0000-0000-000019260000}"/>
    <cellStyle name="Normal 56 2 3 2 5" xfId="10226" xr:uid="{00000000-0005-0000-0000-00001A260000}"/>
    <cellStyle name="Normal 56 2 3 3" xfId="1739" xr:uid="{00000000-0005-0000-0000-00001B260000}"/>
    <cellStyle name="Normal 56 2 3 3 2" xfId="3564" xr:uid="{00000000-0005-0000-0000-00001C260000}"/>
    <cellStyle name="Normal 56 2 3 3 2 2" xfId="8079" xr:uid="{00000000-0005-0000-0000-00001D260000}"/>
    <cellStyle name="Normal 56 2 3 3 2 2 2" xfId="17120" xr:uid="{00000000-0005-0000-0000-00001E260000}"/>
    <cellStyle name="Normal 56 2 3 3 2 3" xfId="12607" xr:uid="{00000000-0005-0000-0000-00001F260000}"/>
    <cellStyle name="Normal 56 2 3 3 3" xfId="6262" xr:uid="{00000000-0005-0000-0000-000020260000}"/>
    <cellStyle name="Normal 56 2 3 3 3 2" xfId="15303" xr:uid="{00000000-0005-0000-0000-000021260000}"/>
    <cellStyle name="Normal 56 2 3 3 4" xfId="10790" xr:uid="{00000000-0005-0000-0000-000022260000}"/>
    <cellStyle name="Normal 56 2 3 4" xfId="3561" xr:uid="{00000000-0005-0000-0000-000023260000}"/>
    <cellStyle name="Normal 56 2 3 4 2" xfId="8076" xr:uid="{00000000-0005-0000-0000-000024260000}"/>
    <cellStyle name="Normal 56 2 3 4 2 2" xfId="17117" xr:uid="{00000000-0005-0000-0000-000025260000}"/>
    <cellStyle name="Normal 56 2 3 4 3" xfId="12604" xr:uid="{00000000-0005-0000-0000-000026260000}"/>
    <cellStyle name="Normal 56 2 3 5" xfId="5134" xr:uid="{00000000-0005-0000-0000-000027260000}"/>
    <cellStyle name="Normal 56 2 3 5 2" xfId="14175" xr:uid="{00000000-0005-0000-0000-000028260000}"/>
    <cellStyle name="Normal 56 2 3 6" xfId="9662" xr:uid="{00000000-0005-0000-0000-000029260000}"/>
    <cellStyle name="Normal 56 2 4" xfId="757" xr:uid="{00000000-0005-0000-0000-00002A260000}"/>
    <cellStyle name="Normal 56 2 4 2" xfId="1927" xr:uid="{00000000-0005-0000-0000-00002B260000}"/>
    <cellStyle name="Normal 56 2 4 2 2" xfId="3566" xr:uid="{00000000-0005-0000-0000-00002C260000}"/>
    <cellStyle name="Normal 56 2 4 2 2 2" xfId="8081" xr:uid="{00000000-0005-0000-0000-00002D260000}"/>
    <cellStyle name="Normal 56 2 4 2 2 2 2" xfId="17122" xr:uid="{00000000-0005-0000-0000-00002E260000}"/>
    <cellStyle name="Normal 56 2 4 2 2 3" xfId="12609" xr:uid="{00000000-0005-0000-0000-00002F260000}"/>
    <cellStyle name="Normal 56 2 4 2 3" xfId="6450" xr:uid="{00000000-0005-0000-0000-000030260000}"/>
    <cellStyle name="Normal 56 2 4 2 3 2" xfId="15491" xr:uid="{00000000-0005-0000-0000-000031260000}"/>
    <cellStyle name="Normal 56 2 4 2 4" xfId="10978" xr:uid="{00000000-0005-0000-0000-000032260000}"/>
    <cellStyle name="Normal 56 2 4 3" xfId="3565" xr:uid="{00000000-0005-0000-0000-000033260000}"/>
    <cellStyle name="Normal 56 2 4 3 2" xfId="8080" xr:uid="{00000000-0005-0000-0000-000034260000}"/>
    <cellStyle name="Normal 56 2 4 3 2 2" xfId="17121" xr:uid="{00000000-0005-0000-0000-000035260000}"/>
    <cellStyle name="Normal 56 2 4 3 3" xfId="12608" xr:uid="{00000000-0005-0000-0000-000036260000}"/>
    <cellStyle name="Normal 56 2 4 4" xfId="5322" xr:uid="{00000000-0005-0000-0000-000037260000}"/>
    <cellStyle name="Normal 56 2 4 4 2" xfId="14363" xr:uid="{00000000-0005-0000-0000-000038260000}"/>
    <cellStyle name="Normal 56 2 4 5" xfId="9850" xr:uid="{00000000-0005-0000-0000-000039260000}"/>
    <cellStyle name="Normal 56 2 5" xfId="1363" xr:uid="{00000000-0005-0000-0000-00003A260000}"/>
    <cellStyle name="Normal 56 2 5 2" xfId="3567" xr:uid="{00000000-0005-0000-0000-00003B260000}"/>
    <cellStyle name="Normal 56 2 5 2 2" xfId="8082" xr:uid="{00000000-0005-0000-0000-00003C260000}"/>
    <cellStyle name="Normal 56 2 5 2 2 2" xfId="17123" xr:uid="{00000000-0005-0000-0000-00003D260000}"/>
    <cellStyle name="Normal 56 2 5 2 3" xfId="12610" xr:uid="{00000000-0005-0000-0000-00003E260000}"/>
    <cellStyle name="Normal 56 2 5 3" xfId="5886" xr:uid="{00000000-0005-0000-0000-00003F260000}"/>
    <cellStyle name="Normal 56 2 5 3 2" xfId="14927" xr:uid="{00000000-0005-0000-0000-000040260000}"/>
    <cellStyle name="Normal 56 2 5 4" xfId="10414" xr:uid="{00000000-0005-0000-0000-000041260000}"/>
    <cellStyle name="Normal 56 2 6" xfId="3556" xr:uid="{00000000-0005-0000-0000-000042260000}"/>
    <cellStyle name="Normal 56 2 6 2" xfId="8071" xr:uid="{00000000-0005-0000-0000-000043260000}"/>
    <cellStyle name="Normal 56 2 6 2 2" xfId="17112" xr:uid="{00000000-0005-0000-0000-000044260000}"/>
    <cellStyle name="Normal 56 2 6 3" xfId="12599" xr:uid="{00000000-0005-0000-0000-000045260000}"/>
    <cellStyle name="Normal 56 2 7" xfId="4758" xr:uid="{00000000-0005-0000-0000-000046260000}"/>
    <cellStyle name="Normal 56 2 7 2" xfId="13799" xr:uid="{00000000-0005-0000-0000-000047260000}"/>
    <cellStyle name="Normal 56 2 8" xfId="9286" xr:uid="{00000000-0005-0000-0000-000048260000}"/>
    <cellStyle name="Normal 56 3" xfId="287" xr:uid="{00000000-0005-0000-0000-000049260000}"/>
    <cellStyle name="Normal 56 3 2" xfId="851" xr:uid="{00000000-0005-0000-0000-00004A260000}"/>
    <cellStyle name="Normal 56 3 2 2" xfId="2021" xr:uid="{00000000-0005-0000-0000-00004B260000}"/>
    <cellStyle name="Normal 56 3 2 2 2" xfId="3570" xr:uid="{00000000-0005-0000-0000-00004C260000}"/>
    <cellStyle name="Normal 56 3 2 2 2 2" xfId="8085" xr:uid="{00000000-0005-0000-0000-00004D260000}"/>
    <cellStyle name="Normal 56 3 2 2 2 2 2" xfId="17126" xr:uid="{00000000-0005-0000-0000-00004E260000}"/>
    <cellStyle name="Normal 56 3 2 2 2 3" xfId="12613" xr:uid="{00000000-0005-0000-0000-00004F260000}"/>
    <cellStyle name="Normal 56 3 2 2 3" xfId="6544" xr:uid="{00000000-0005-0000-0000-000050260000}"/>
    <cellStyle name="Normal 56 3 2 2 3 2" xfId="15585" xr:uid="{00000000-0005-0000-0000-000051260000}"/>
    <cellStyle name="Normal 56 3 2 2 4" xfId="11072" xr:uid="{00000000-0005-0000-0000-000052260000}"/>
    <cellStyle name="Normal 56 3 2 3" xfId="3569" xr:uid="{00000000-0005-0000-0000-000053260000}"/>
    <cellStyle name="Normal 56 3 2 3 2" xfId="8084" xr:uid="{00000000-0005-0000-0000-000054260000}"/>
    <cellStyle name="Normal 56 3 2 3 2 2" xfId="17125" xr:uid="{00000000-0005-0000-0000-000055260000}"/>
    <cellStyle name="Normal 56 3 2 3 3" xfId="12612" xr:uid="{00000000-0005-0000-0000-000056260000}"/>
    <cellStyle name="Normal 56 3 2 4" xfId="5416" xr:uid="{00000000-0005-0000-0000-000057260000}"/>
    <cellStyle name="Normal 56 3 2 4 2" xfId="14457" xr:uid="{00000000-0005-0000-0000-000058260000}"/>
    <cellStyle name="Normal 56 3 2 5" xfId="9944" xr:uid="{00000000-0005-0000-0000-000059260000}"/>
    <cellStyle name="Normal 56 3 3" xfId="1457" xr:uid="{00000000-0005-0000-0000-00005A260000}"/>
    <cellStyle name="Normal 56 3 3 2" xfId="3571" xr:uid="{00000000-0005-0000-0000-00005B260000}"/>
    <cellStyle name="Normal 56 3 3 2 2" xfId="8086" xr:uid="{00000000-0005-0000-0000-00005C260000}"/>
    <cellStyle name="Normal 56 3 3 2 2 2" xfId="17127" xr:uid="{00000000-0005-0000-0000-00005D260000}"/>
    <cellStyle name="Normal 56 3 3 2 3" xfId="12614" xr:uid="{00000000-0005-0000-0000-00005E260000}"/>
    <cellStyle name="Normal 56 3 3 3" xfId="5980" xr:uid="{00000000-0005-0000-0000-00005F260000}"/>
    <cellStyle name="Normal 56 3 3 3 2" xfId="15021" xr:uid="{00000000-0005-0000-0000-000060260000}"/>
    <cellStyle name="Normal 56 3 3 4" xfId="10508" xr:uid="{00000000-0005-0000-0000-000061260000}"/>
    <cellStyle name="Normal 56 3 4" xfId="3568" xr:uid="{00000000-0005-0000-0000-000062260000}"/>
    <cellStyle name="Normal 56 3 4 2" xfId="8083" xr:uid="{00000000-0005-0000-0000-000063260000}"/>
    <cellStyle name="Normal 56 3 4 2 2" xfId="17124" xr:uid="{00000000-0005-0000-0000-000064260000}"/>
    <cellStyle name="Normal 56 3 4 3" xfId="12611" xr:uid="{00000000-0005-0000-0000-000065260000}"/>
    <cellStyle name="Normal 56 3 5" xfId="4852" xr:uid="{00000000-0005-0000-0000-000066260000}"/>
    <cellStyle name="Normal 56 3 5 2" xfId="13893" xr:uid="{00000000-0005-0000-0000-000067260000}"/>
    <cellStyle name="Normal 56 3 6" xfId="9380" xr:uid="{00000000-0005-0000-0000-000068260000}"/>
    <cellStyle name="Normal 56 4" xfId="475" xr:uid="{00000000-0005-0000-0000-000069260000}"/>
    <cellStyle name="Normal 56 4 2" xfId="1039" xr:uid="{00000000-0005-0000-0000-00006A260000}"/>
    <cellStyle name="Normal 56 4 2 2" xfId="2209" xr:uid="{00000000-0005-0000-0000-00006B260000}"/>
    <cellStyle name="Normal 56 4 2 2 2" xfId="3574" xr:uid="{00000000-0005-0000-0000-00006C260000}"/>
    <cellStyle name="Normal 56 4 2 2 2 2" xfId="8089" xr:uid="{00000000-0005-0000-0000-00006D260000}"/>
    <cellStyle name="Normal 56 4 2 2 2 2 2" xfId="17130" xr:uid="{00000000-0005-0000-0000-00006E260000}"/>
    <cellStyle name="Normal 56 4 2 2 2 3" xfId="12617" xr:uid="{00000000-0005-0000-0000-00006F260000}"/>
    <cellStyle name="Normal 56 4 2 2 3" xfId="6732" xr:uid="{00000000-0005-0000-0000-000070260000}"/>
    <cellStyle name="Normal 56 4 2 2 3 2" xfId="15773" xr:uid="{00000000-0005-0000-0000-000071260000}"/>
    <cellStyle name="Normal 56 4 2 2 4" xfId="11260" xr:uid="{00000000-0005-0000-0000-000072260000}"/>
    <cellStyle name="Normal 56 4 2 3" xfId="3573" xr:uid="{00000000-0005-0000-0000-000073260000}"/>
    <cellStyle name="Normal 56 4 2 3 2" xfId="8088" xr:uid="{00000000-0005-0000-0000-000074260000}"/>
    <cellStyle name="Normal 56 4 2 3 2 2" xfId="17129" xr:uid="{00000000-0005-0000-0000-000075260000}"/>
    <cellStyle name="Normal 56 4 2 3 3" xfId="12616" xr:uid="{00000000-0005-0000-0000-000076260000}"/>
    <cellStyle name="Normal 56 4 2 4" xfId="5604" xr:uid="{00000000-0005-0000-0000-000077260000}"/>
    <cellStyle name="Normal 56 4 2 4 2" xfId="14645" xr:uid="{00000000-0005-0000-0000-000078260000}"/>
    <cellStyle name="Normal 56 4 2 5" xfId="10132" xr:uid="{00000000-0005-0000-0000-000079260000}"/>
    <cellStyle name="Normal 56 4 3" xfId="1645" xr:uid="{00000000-0005-0000-0000-00007A260000}"/>
    <cellStyle name="Normal 56 4 3 2" xfId="3575" xr:uid="{00000000-0005-0000-0000-00007B260000}"/>
    <cellStyle name="Normal 56 4 3 2 2" xfId="8090" xr:uid="{00000000-0005-0000-0000-00007C260000}"/>
    <cellStyle name="Normal 56 4 3 2 2 2" xfId="17131" xr:uid="{00000000-0005-0000-0000-00007D260000}"/>
    <cellStyle name="Normal 56 4 3 2 3" xfId="12618" xr:uid="{00000000-0005-0000-0000-00007E260000}"/>
    <cellStyle name="Normal 56 4 3 3" xfId="6168" xr:uid="{00000000-0005-0000-0000-00007F260000}"/>
    <cellStyle name="Normal 56 4 3 3 2" xfId="15209" xr:uid="{00000000-0005-0000-0000-000080260000}"/>
    <cellStyle name="Normal 56 4 3 4" xfId="10696" xr:uid="{00000000-0005-0000-0000-000081260000}"/>
    <cellStyle name="Normal 56 4 4" xfId="3572" xr:uid="{00000000-0005-0000-0000-000082260000}"/>
    <cellStyle name="Normal 56 4 4 2" xfId="8087" xr:uid="{00000000-0005-0000-0000-000083260000}"/>
    <cellStyle name="Normal 56 4 4 2 2" xfId="17128" xr:uid="{00000000-0005-0000-0000-000084260000}"/>
    <cellStyle name="Normal 56 4 4 3" xfId="12615" xr:uid="{00000000-0005-0000-0000-000085260000}"/>
    <cellStyle name="Normal 56 4 5" xfId="5040" xr:uid="{00000000-0005-0000-0000-000086260000}"/>
    <cellStyle name="Normal 56 4 5 2" xfId="14081" xr:uid="{00000000-0005-0000-0000-000087260000}"/>
    <cellStyle name="Normal 56 4 6" xfId="9568" xr:uid="{00000000-0005-0000-0000-000088260000}"/>
    <cellStyle name="Normal 56 5" xfId="663" xr:uid="{00000000-0005-0000-0000-000089260000}"/>
    <cellStyle name="Normal 56 5 2" xfId="1833" xr:uid="{00000000-0005-0000-0000-00008A260000}"/>
    <cellStyle name="Normal 56 5 2 2" xfId="3577" xr:uid="{00000000-0005-0000-0000-00008B260000}"/>
    <cellStyle name="Normal 56 5 2 2 2" xfId="8092" xr:uid="{00000000-0005-0000-0000-00008C260000}"/>
    <cellStyle name="Normal 56 5 2 2 2 2" xfId="17133" xr:uid="{00000000-0005-0000-0000-00008D260000}"/>
    <cellStyle name="Normal 56 5 2 2 3" xfId="12620" xr:uid="{00000000-0005-0000-0000-00008E260000}"/>
    <cellStyle name="Normal 56 5 2 3" xfId="6356" xr:uid="{00000000-0005-0000-0000-00008F260000}"/>
    <cellStyle name="Normal 56 5 2 3 2" xfId="15397" xr:uid="{00000000-0005-0000-0000-000090260000}"/>
    <cellStyle name="Normal 56 5 2 4" xfId="10884" xr:uid="{00000000-0005-0000-0000-000091260000}"/>
    <cellStyle name="Normal 56 5 3" xfId="3576" xr:uid="{00000000-0005-0000-0000-000092260000}"/>
    <cellStyle name="Normal 56 5 3 2" xfId="8091" xr:uid="{00000000-0005-0000-0000-000093260000}"/>
    <cellStyle name="Normal 56 5 3 2 2" xfId="17132" xr:uid="{00000000-0005-0000-0000-000094260000}"/>
    <cellStyle name="Normal 56 5 3 3" xfId="12619" xr:uid="{00000000-0005-0000-0000-000095260000}"/>
    <cellStyle name="Normal 56 5 4" xfId="5228" xr:uid="{00000000-0005-0000-0000-000096260000}"/>
    <cellStyle name="Normal 56 5 4 2" xfId="14269" xr:uid="{00000000-0005-0000-0000-000097260000}"/>
    <cellStyle name="Normal 56 5 5" xfId="9756" xr:uid="{00000000-0005-0000-0000-000098260000}"/>
    <cellStyle name="Normal 56 6" xfId="1269" xr:uid="{00000000-0005-0000-0000-000099260000}"/>
    <cellStyle name="Normal 56 6 2" xfId="3578" xr:uid="{00000000-0005-0000-0000-00009A260000}"/>
    <cellStyle name="Normal 56 6 2 2" xfId="8093" xr:uid="{00000000-0005-0000-0000-00009B260000}"/>
    <cellStyle name="Normal 56 6 2 2 2" xfId="17134" xr:uid="{00000000-0005-0000-0000-00009C260000}"/>
    <cellStyle name="Normal 56 6 2 3" xfId="12621" xr:uid="{00000000-0005-0000-0000-00009D260000}"/>
    <cellStyle name="Normal 56 6 3" xfId="5792" xr:uid="{00000000-0005-0000-0000-00009E260000}"/>
    <cellStyle name="Normal 56 6 3 2" xfId="14833" xr:uid="{00000000-0005-0000-0000-00009F260000}"/>
    <cellStyle name="Normal 56 6 4" xfId="10320" xr:uid="{00000000-0005-0000-0000-0000A0260000}"/>
    <cellStyle name="Normal 56 7" xfId="3555" xr:uid="{00000000-0005-0000-0000-0000A1260000}"/>
    <cellStyle name="Normal 56 7 2" xfId="8070" xr:uid="{00000000-0005-0000-0000-0000A2260000}"/>
    <cellStyle name="Normal 56 7 2 2" xfId="17111" xr:uid="{00000000-0005-0000-0000-0000A3260000}"/>
    <cellStyle name="Normal 56 7 3" xfId="12598" xr:uid="{00000000-0005-0000-0000-0000A4260000}"/>
    <cellStyle name="Normal 56 8" xfId="4664" xr:uid="{00000000-0005-0000-0000-0000A5260000}"/>
    <cellStyle name="Normal 56 8 2" xfId="13705" xr:uid="{00000000-0005-0000-0000-0000A6260000}"/>
    <cellStyle name="Normal 56 9" xfId="9192" xr:uid="{00000000-0005-0000-0000-0000A7260000}"/>
    <cellStyle name="Normal 57" xfId="57" xr:uid="{00000000-0005-0000-0000-0000A8260000}"/>
    <cellStyle name="Normal 57 2" xfId="153" xr:uid="{00000000-0005-0000-0000-0000A9260000}"/>
    <cellStyle name="Normal 57 2 2" xfId="382" xr:uid="{00000000-0005-0000-0000-0000AA260000}"/>
    <cellStyle name="Normal 57 2 2 2" xfId="946" xr:uid="{00000000-0005-0000-0000-0000AB260000}"/>
    <cellStyle name="Normal 57 2 2 2 2" xfId="2116" xr:uid="{00000000-0005-0000-0000-0000AC260000}"/>
    <cellStyle name="Normal 57 2 2 2 2 2" xfId="3583" xr:uid="{00000000-0005-0000-0000-0000AD260000}"/>
    <cellStyle name="Normal 57 2 2 2 2 2 2" xfId="8098" xr:uid="{00000000-0005-0000-0000-0000AE260000}"/>
    <cellStyle name="Normal 57 2 2 2 2 2 2 2" xfId="17139" xr:uid="{00000000-0005-0000-0000-0000AF260000}"/>
    <cellStyle name="Normal 57 2 2 2 2 2 3" xfId="12626" xr:uid="{00000000-0005-0000-0000-0000B0260000}"/>
    <cellStyle name="Normal 57 2 2 2 2 3" xfId="6639" xr:uid="{00000000-0005-0000-0000-0000B1260000}"/>
    <cellStyle name="Normal 57 2 2 2 2 3 2" xfId="15680" xr:uid="{00000000-0005-0000-0000-0000B2260000}"/>
    <cellStyle name="Normal 57 2 2 2 2 4" xfId="11167" xr:uid="{00000000-0005-0000-0000-0000B3260000}"/>
    <cellStyle name="Normal 57 2 2 2 3" xfId="3582" xr:uid="{00000000-0005-0000-0000-0000B4260000}"/>
    <cellStyle name="Normal 57 2 2 2 3 2" xfId="8097" xr:uid="{00000000-0005-0000-0000-0000B5260000}"/>
    <cellStyle name="Normal 57 2 2 2 3 2 2" xfId="17138" xr:uid="{00000000-0005-0000-0000-0000B6260000}"/>
    <cellStyle name="Normal 57 2 2 2 3 3" xfId="12625" xr:uid="{00000000-0005-0000-0000-0000B7260000}"/>
    <cellStyle name="Normal 57 2 2 2 4" xfId="5511" xr:uid="{00000000-0005-0000-0000-0000B8260000}"/>
    <cellStyle name="Normal 57 2 2 2 4 2" xfId="14552" xr:uid="{00000000-0005-0000-0000-0000B9260000}"/>
    <cellStyle name="Normal 57 2 2 2 5" xfId="10039" xr:uid="{00000000-0005-0000-0000-0000BA260000}"/>
    <cellStyle name="Normal 57 2 2 3" xfId="1552" xr:uid="{00000000-0005-0000-0000-0000BB260000}"/>
    <cellStyle name="Normal 57 2 2 3 2" xfId="3584" xr:uid="{00000000-0005-0000-0000-0000BC260000}"/>
    <cellStyle name="Normal 57 2 2 3 2 2" xfId="8099" xr:uid="{00000000-0005-0000-0000-0000BD260000}"/>
    <cellStyle name="Normal 57 2 2 3 2 2 2" xfId="17140" xr:uid="{00000000-0005-0000-0000-0000BE260000}"/>
    <cellStyle name="Normal 57 2 2 3 2 3" xfId="12627" xr:uid="{00000000-0005-0000-0000-0000BF260000}"/>
    <cellStyle name="Normal 57 2 2 3 3" xfId="6075" xr:uid="{00000000-0005-0000-0000-0000C0260000}"/>
    <cellStyle name="Normal 57 2 2 3 3 2" xfId="15116" xr:uid="{00000000-0005-0000-0000-0000C1260000}"/>
    <cellStyle name="Normal 57 2 2 3 4" xfId="10603" xr:uid="{00000000-0005-0000-0000-0000C2260000}"/>
    <cellStyle name="Normal 57 2 2 4" xfId="3581" xr:uid="{00000000-0005-0000-0000-0000C3260000}"/>
    <cellStyle name="Normal 57 2 2 4 2" xfId="8096" xr:uid="{00000000-0005-0000-0000-0000C4260000}"/>
    <cellStyle name="Normal 57 2 2 4 2 2" xfId="17137" xr:uid="{00000000-0005-0000-0000-0000C5260000}"/>
    <cellStyle name="Normal 57 2 2 4 3" xfId="12624" xr:uid="{00000000-0005-0000-0000-0000C6260000}"/>
    <cellStyle name="Normal 57 2 2 5" xfId="4947" xr:uid="{00000000-0005-0000-0000-0000C7260000}"/>
    <cellStyle name="Normal 57 2 2 5 2" xfId="13988" xr:uid="{00000000-0005-0000-0000-0000C8260000}"/>
    <cellStyle name="Normal 57 2 2 6" xfId="9475" xr:uid="{00000000-0005-0000-0000-0000C9260000}"/>
    <cellStyle name="Normal 57 2 3" xfId="570" xr:uid="{00000000-0005-0000-0000-0000CA260000}"/>
    <cellStyle name="Normal 57 2 3 2" xfId="1134" xr:uid="{00000000-0005-0000-0000-0000CB260000}"/>
    <cellStyle name="Normal 57 2 3 2 2" xfId="2304" xr:uid="{00000000-0005-0000-0000-0000CC260000}"/>
    <cellStyle name="Normal 57 2 3 2 2 2" xfId="3587" xr:uid="{00000000-0005-0000-0000-0000CD260000}"/>
    <cellStyle name="Normal 57 2 3 2 2 2 2" xfId="8102" xr:uid="{00000000-0005-0000-0000-0000CE260000}"/>
    <cellStyle name="Normal 57 2 3 2 2 2 2 2" xfId="17143" xr:uid="{00000000-0005-0000-0000-0000CF260000}"/>
    <cellStyle name="Normal 57 2 3 2 2 2 3" xfId="12630" xr:uid="{00000000-0005-0000-0000-0000D0260000}"/>
    <cellStyle name="Normal 57 2 3 2 2 3" xfId="6827" xr:uid="{00000000-0005-0000-0000-0000D1260000}"/>
    <cellStyle name="Normal 57 2 3 2 2 3 2" xfId="15868" xr:uid="{00000000-0005-0000-0000-0000D2260000}"/>
    <cellStyle name="Normal 57 2 3 2 2 4" xfId="11355" xr:uid="{00000000-0005-0000-0000-0000D3260000}"/>
    <cellStyle name="Normal 57 2 3 2 3" xfId="3586" xr:uid="{00000000-0005-0000-0000-0000D4260000}"/>
    <cellStyle name="Normal 57 2 3 2 3 2" xfId="8101" xr:uid="{00000000-0005-0000-0000-0000D5260000}"/>
    <cellStyle name="Normal 57 2 3 2 3 2 2" xfId="17142" xr:uid="{00000000-0005-0000-0000-0000D6260000}"/>
    <cellStyle name="Normal 57 2 3 2 3 3" xfId="12629" xr:uid="{00000000-0005-0000-0000-0000D7260000}"/>
    <cellStyle name="Normal 57 2 3 2 4" xfId="5699" xr:uid="{00000000-0005-0000-0000-0000D8260000}"/>
    <cellStyle name="Normal 57 2 3 2 4 2" xfId="14740" xr:uid="{00000000-0005-0000-0000-0000D9260000}"/>
    <cellStyle name="Normal 57 2 3 2 5" xfId="10227" xr:uid="{00000000-0005-0000-0000-0000DA260000}"/>
    <cellStyle name="Normal 57 2 3 3" xfId="1740" xr:uid="{00000000-0005-0000-0000-0000DB260000}"/>
    <cellStyle name="Normal 57 2 3 3 2" xfId="3588" xr:uid="{00000000-0005-0000-0000-0000DC260000}"/>
    <cellStyle name="Normal 57 2 3 3 2 2" xfId="8103" xr:uid="{00000000-0005-0000-0000-0000DD260000}"/>
    <cellStyle name="Normal 57 2 3 3 2 2 2" xfId="17144" xr:uid="{00000000-0005-0000-0000-0000DE260000}"/>
    <cellStyle name="Normal 57 2 3 3 2 3" xfId="12631" xr:uid="{00000000-0005-0000-0000-0000DF260000}"/>
    <cellStyle name="Normal 57 2 3 3 3" xfId="6263" xr:uid="{00000000-0005-0000-0000-0000E0260000}"/>
    <cellStyle name="Normal 57 2 3 3 3 2" xfId="15304" xr:uid="{00000000-0005-0000-0000-0000E1260000}"/>
    <cellStyle name="Normal 57 2 3 3 4" xfId="10791" xr:uid="{00000000-0005-0000-0000-0000E2260000}"/>
    <cellStyle name="Normal 57 2 3 4" xfId="3585" xr:uid="{00000000-0005-0000-0000-0000E3260000}"/>
    <cellStyle name="Normal 57 2 3 4 2" xfId="8100" xr:uid="{00000000-0005-0000-0000-0000E4260000}"/>
    <cellStyle name="Normal 57 2 3 4 2 2" xfId="17141" xr:uid="{00000000-0005-0000-0000-0000E5260000}"/>
    <cellStyle name="Normal 57 2 3 4 3" xfId="12628" xr:uid="{00000000-0005-0000-0000-0000E6260000}"/>
    <cellStyle name="Normal 57 2 3 5" xfId="5135" xr:uid="{00000000-0005-0000-0000-0000E7260000}"/>
    <cellStyle name="Normal 57 2 3 5 2" xfId="14176" xr:uid="{00000000-0005-0000-0000-0000E8260000}"/>
    <cellStyle name="Normal 57 2 3 6" xfId="9663" xr:uid="{00000000-0005-0000-0000-0000E9260000}"/>
    <cellStyle name="Normal 57 2 4" xfId="758" xr:uid="{00000000-0005-0000-0000-0000EA260000}"/>
    <cellStyle name="Normal 57 2 4 2" xfId="1928" xr:uid="{00000000-0005-0000-0000-0000EB260000}"/>
    <cellStyle name="Normal 57 2 4 2 2" xfId="3590" xr:uid="{00000000-0005-0000-0000-0000EC260000}"/>
    <cellStyle name="Normal 57 2 4 2 2 2" xfId="8105" xr:uid="{00000000-0005-0000-0000-0000ED260000}"/>
    <cellStyle name="Normal 57 2 4 2 2 2 2" xfId="17146" xr:uid="{00000000-0005-0000-0000-0000EE260000}"/>
    <cellStyle name="Normal 57 2 4 2 2 3" xfId="12633" xr:uid="{00000000-0005-0000-0000-0000EF260000}"/>
    <cellStyle name="Normal 57 2 4 2 3" xfId="6451" xr:uid="{00000000-0005-0000-0000-0000F0260000}"/>
    <cellStyle name="Normal 57 2 4 2 3 2" xfId="15492" xr:uid="{00000000-0005-0000-0000-0000F1260000}"/>
    <cellStyle name="Normal 57 2 4 2 4" xfId="10979" xr:uid="{00000000-0005-0000-0000-0000F2260000}"/>
    <cellStyle name="Normal 57 2 4 3" xfId="3589" xr:uid="{00000000-0005-0000-0000-0000F3260000}"/>
    <cellStyle name="Normal 57 2 4 3 2" xfId="8104" xr:uid="{00000000-0005-0000-0000-0000F4260000}"/>
    <cellStyle name="Normal 57 2 4 3 2 2" xfId="17145" xr:uid="{00000000-0005-0000-0000-0000F5260000}"/>
    <cellStyle name="Normal 57 2 4 3 3" xfId="12632" xr:uid="{00000000-0005-0000-0000-0000F6260000}"/>
    <cellStyle name="Normal 57 2 4 4" xfId="5323" xr:uid="{00000000-0005-0000-0000-0000F7260000}"/>
    <cellStyle name="Normal 57 2 4 4 2" xfId="14364" xr:uid="{00000000-0005-0000-0000-0000F8260000}"/>
    <cellStyle name="Normal 57 2 4 5" xfId="9851" xr:uid="{00000000-0005-0000-0000-0000F9260000}"/>
    <cellStyle name="Normal 57 2 5" xfId="1364" xr:uid="{00000000-0005-0000-0000-0000FA260000}"/>
    <cellStyle name="Normal 57 2 5 2" xfId="3591" xr:uid="{00000000-0005-0000-0000-0000FB260000}"/>
    <cellStyle name="Normal 57 2 5 2 2" xfId="8106" xr:uid="{00000000-0005-0000-0000-0000FC260000}"/>
    <cellStyle name="Normal 57 2 5 2 2 2" xfId="17147" xr:uid="{00000000-0005-0000-0000-0000FD260000}"/>
    <cellStyle name="Normal 57 2 5 2 3" xfId="12634" xr:uid="{00000000-0005-0000-0000-0000FE260000}"/>
    <cellStyle name="Normal 57 2 5 3" xfId="5887" xr:uid="{00000000-0005-0000-0000-0000FF260000}"/>
    <cellStyle name="Normal 57 2 5 3 2" xfId="14928" xr:uid="{00000000-0005-0000-0000-000000270000}"/>
    <cellStyle name="Normal 57 2 5 4" xfId="10415" xr:uid="{00000000-0005-0000-0000-000001270000}"/>
    <cellStyle name="Normal 57 2 6" xfId="3580" xr:uid="{00000000-0005-0000-0000-000002270000}"/>
    <cellStyle name="Normal 57 2 6 2" xfId="8095" xr:uid="{00000000-0005-0000-0000-000003270000}"/>
    <cellStyle name="Normal 57 2 6 2 2" xfId="17136" xr:uid="{00000000-0005-0000-0000-000004270000}"/>
    <cellStyle name="Normal 57 2 6 3" xfId="12623" xr:uid="{00000000-0005-0000-0000-000005270000}"/>
    <cellStyle name="Normal 57 2 7" xfId="4759" xr:uid="{00000000-0005-0000-0000-000006270000}"/>
    <cellStyle name="Normal 57 2 7 2" xfId="13800" xr:uid="{00000000-0005-0000-0000-000007270000}"/>
    <cellStyle name="Normal 57 2 8" xfId="9287" xr:uid="{00000000-0005-0000-0000-000008270000}"/>
    <cellStyle name="Normal 57 3" xfId="288" xr:uid="{00000000-0005-0000-0000-000009270000}"/>
    <cellStyle name="Normal 57 3 2" xfId="852" xr:uid="{00000000-0005-0000-0000-00000A270000}"/>
    <cellStyle name="Normal 57 3 2 2" xfId="2022" xr:uid="{00000000-0005-0000-0000-00000B270000}"/>
    <cellStyle name="Normal 57 3 2 2 2" xfId="3594" xr:uid="{00000000-0005-0000-0000-00000C270000}"/>
    <cellStyle name="Normal 57 3 2 2 2 2" xfId="8109" xr:uid="{00000000-0005-0000-0000-00000D270000}"/>
    <cellStyle name="Normal 57 3 2 2 2 2 2" xfId="17150" xr:uid="{00000000-0005-0000-0000-00000E270000}"/>
    <cellStyle name="Normal 57 3 2 2 2 3" xfId="12637" xr:uid="{00000000-0005-0000-0000-00000F270000}"/>
    <cellStyle name="Normal 57 3 2 2 3" xfId="6545" xr:uid="{00000000-0005-0000-0000-000010270000}"/>
    <cellStyle name="Normal 57 3 2 2 3 2" xfId="15586" xr:uid="{00000000-0005-0000-0000-000011270000}"/>
    <cellStyle name="Normal 57 3 2 2 4" xfId="11073" xr:uid="{00000000-0005-0000-0000-000012270000}"/>
    <cellStyle name="Normal 57 3 2 3" xfId="3593" xr:uid="{00000000-0005-0000-0000-000013270000}"/>
    <cellStyle name="Normal 57 3 2 3 2" xfId="8108" xr:uid="{00000000-0005-0000-0000-000014270000}"/>
    <cellStyle name="Normal 57 3 2 3 2 2" xfId="17149" xr:uid="{00000000-0005-0000-0000-000015270000}"/>
    <cellStyle name="Normal 57 3 2 3 3" xfId="12636" xr:uid="{00000000-0005-0000-0000-000016270000}"/>
    <cellStyle name="Normal 57 3 2 4" xfId="5417" xr:uid="{00000000-0005-0000-0000-000017270000}"/>
    <cellStyle name="Normal 57 3 2 4 2" xfId="14458" xr:uid="{00000000-0005-0000-0000-000018270000}"/>
    <cellStyle name="Normal 57 3 2 5" xfId="9945" xr:uid="{00000000-0005-0000-0000-000019270000}"/>
    <cellStyle name="Normal 57 3 3" xfId="1458" xr:uid="{00000000-0005-0000-0000-00001A270000}"/>
    <cellStyle name="Normal 57 3 3 2" xfId="3595" xr:uid="{00000000-0005-0000-0000-00001B270000}"/>
    <cellStyle name="Normal 57 3 3 2 2" xfId="8110" xr:uid="{00000000-0005-0000-0000-00001C270000}"/>
    <cellStyle name="Normal 57 3 3 2 2 2" xfId="17151" xr:uid="{00000000-0005-0000-0000-00001D270000}"/>
    <cellStyle name="Normal 57 3 3 2 3" xfId="12638" xr:uid="{00000000-0005-0000-0000-00001E270000}"/>
    <cellStyle name="Normal 57 3 3 3" xfId="5981" xr:uid="{00000000-0005-0000-0000-00001F270000}"/>
    <cellStyle name="Normal 57 3 3 3 2" xfId="15022" xr:uid="{00000000-0005-0000-0000-000020270000}"/>
    <cellStyle name="Normal 57 3 3 4" xfId="10509" xr:uid="{00000000-0005-0000-0000-000021270000}"/>
    <cellStyle name="Normal 57 3 4" xfId="3592" xr:uid="{00000000-0005-0000-0000-000022270000}"/>
    <cellStyle name="Normal 57 3 4 2" xfId="8107" xr:uid="{00000000-0005-0000-0000-000023270000}"/>
    <cellStyle name="Normal 57 3 4 2 2" xfId="17148" xr:uid="{00000000-0005-0000-0000-000024270000}"/>
    <cellStyle name="Normal 57 3 4 3" xfId="12635" xr:uid="{00000000-0005-0000-0000-000025270000}"/>
    <cellStyle name="Normal 57 3 5" xfId="4853" xr:uid="{00000000-0005-0000-0000-000026270000}"/>
    <cellStyle name="Normal 57 3 5 2" xfId="13894" xr:uid="{00000000-0005-0000-0000-000027270000}"/>
    <cellStyle name="Normal 57 3 6" xfId="9381" xr:uid="{00000000-0005-0000-0000-000028270000}"/>
    <cellStyle name="Normal 57 4" xfId="476" xr:uid="{00000000-0005-0000-0000-000029270000}"/>
    <cellStyle name="Normal 57 4 2" xfId="1040" xr:uid="{00000000-0005-0000-0000-00002A270000}"/>
    <cellStyle name="Normal 57 4 2 2" xfId="2210" xr:uid="{00000000-0005-0000-0000-00002B270000}"/>
    <cellStyle name="Normal 57 4 2 2 2" xfId="3598" xr:uid="{00000000-0005-0000-0000-00002C270000}"/>
    <cellStyle name="Normal 57 4 2 2 2 2" xfId="8113" xr:uid="{00000000-0005-0000-0000-00002D270000}"/>
    <cellStyle name="Normal 57 4 2 2 2 2 2" xfId="17154" xr:uid="{00000000-0005-0000-0000-00002E270000}"/>
    <cellStyle name="Normal 57 4 2 2 2 3" xfId="12641" xr:uid="{00000000-0005-0000-0000-00002F270000}"/>
    <cellStyle name="Normal 57 4 2 2 3" xfId="6733" xr:uid="{00000000-0005-0000-0000-000030270000}"/>
    <cellStyle name="Normal 57 4 2 2 3 2" xfId="15774" xr:uid="{00000000-0005-0000-0000-000031270000}"/>
    <cellStyle name="Normal 57 4 2 2 4" xfId="11261" xr:uid="{00000000-0005-0000-0000-000032270000}"/>
    <cellStyle name="Normal 57 4 2 3" xfId="3597" xr:uid="{00000000-0005-0000-0000-000033270000}"/>
    <cellStyle name="Normal 57 4 2 3 2" xfId="8112" xr:uid="{00000000-0005-0000-0000-000034270000}"/>
    <cellStyle name="Normal 57 4 2 3 2 2" xfId="17153" xr:uid="{00000000-0005-0000-0000-000035270000}"/>
    <cellStyle name="Normal 57 4 2 3 3" xfId="12640" xr:uid="{00000000-0005-0000-0000-000036270000}"/>
    <cellStyle name="Normal 57 4 2 4" xfId="5605" xr:uid="{00000000-0005-0000-0000-000037270000}"/>
    <cellStyle name="Normal 57 4 2 4 2" xfId="14646" xr:uid="{00000000-0005-0000-0000-000038270000}"/>
    <cellStyle name="Normal 57 4 2 5" xfId="10133" xr:uid="{00000000-0005-0000-0000-000039270000}"/>
    <cellStyle name="Normal 57 4 3" xfId="1646" xr:uid="{00000000-0005-0000-0000-00003A270000}"/>
    <cellStyle name="Normal 57 4 3 2" xfId="3599" xr:uid="{00000000-0005-0000-0000-00003B270000}"/>
    <cellStyle name="Normal 57 4 3 2 2" xfId="8114" xr:uid="{00000000-0005-0000-0000-00003C270000}"/>
    <cellStyle name="Normal 57 4 3 2 2 2" xfId="17155" xr:uid="{00000000-0005-0000-0000-00003D270000}"/>
    <cellStyle name="Normal 57 4 3 2 3" xfId="12642" xr:uid="{00000000-0005-0000-0000-00003E270000}"/>
    <cellStyle name="Normal 57 4 3 3" xfId="6169" xr:uid="{00000000-0005-0000-0000-00003F270000}"/>
    <cellStyle name="Normal 57 4 3 3 2" xfId="15210" xr:uid="{00000000-0005-0000-0000-000040270000}"/>
    <cellStyle name="Normal 57 4 3 4" xfId="10697" xr:uid="{00000000-0005-0000-0000-000041270000}"/>
    <cellStyle name="Normal 57 4 4" xfId="3596" xr:uid="{00000000-0005-0000-0000-000042270000}"/>
    <cellStyle name="Normal 57 4 4 2" xfId="8111" xr:uid="{00000000-0005-0000-0000-000043270000}"/>
    <cellStyle name="Normal 57 4 4 2 2" xfId="17152" xr:uid="{00000000-0005-0000-0000-000044270000}"/>
    <cellStyle name="Normal 57 4 4 3" xfId="12639" xr:uid="{00000000-0005-0000-0000-000045270000}"/>
    <cellStyle name="Normal 57 4 5" xfId="5041" xr:uid="{00000000-0005-0000-0000-000046270000}"/>
    <cellStyle name="Normal 57 4 5 2" xfId="14082" xr:uid="{00000000-0005-0000-0000-000047270000}"/>
    <cellStyle name="Normal 57 4 6" xfId="9569" xr:uid="{00000000-0005-0000-0000-000048270000}"/>
    <cellStyle name="Normal 57 5" xfId="664" xr:uid="{00000000-0005-0000-0000-000049270000}"/>
    <cellStyle name="Normal 57 5 2" xfId="1834" xr:uid="{00000000-0005-0000-0000-00004A270000}"/>
    <cellStyle name="Normal 57 5 2 2" xfId="3601" xr:uid="{00000000-0005-0000-0000-00004B270000}"/>
    <cellStyle name="Normal 57 5 2 2 2" xfId="8116" xr:uid="{00000000-0005-0000-0000-00004C270000}"/>
    <cellStyle name="Normal 57 5 2 2 2 2" xfId="17157" xr:uid="{00000000-0005-0000-0000-00004D270000}"/>
    <cellStyle name="Normal 57 5 2 2 3" xfId="12644" xr:uid="{00000000-0005-0000-0000-00004E270000}"/>
    <cellStyle name="Normal 57 5 2 3" xfId="6357" xr:uid="{00000000-0005-0000-0000-00004F270000}"/>
    <cellStyle name="Normal 57 5 2 3 2" xfId="15398" xr:uid="{00000000-0005-0000-0000-000050270000}"/>
    <cellStyle name="Normal 57 5 2 4" xfId="10885" xr:uid="{00000000-0005-0000-0000-000051270000}"/>
    <cellStyle name="Normal 57 5 3" xfId="3600" xr:uid="{00000000-0005-0000-0000-000052270000}"/>
    <cellStyle name="Normal 57 5 3 2" xfId="8115" xr:uid="{00000000-0005-0000-0000-000053270000}"/>
    <cellStyle name="Normal 57 5 3 2 2" xfId="17156" xr:uid="{00000000-0005-0000-0000-000054270000}"/>
    <cellStyle name="Normal 57 5 3 3" xfId="12643" xr:uid="{00000000-0005-0000-0000-000055270000}"/>
    <cellStyle name="Normal 57 5 4" xfId="5229" xr:uid="{00000000-0005-0000-0000-000056270000}"/>
    <cellStyle name="Normal 57 5 4 2" xfId="14270" xr:uid="{00000000-0005-0000-0000-000057270000}"/>
    <cellStyle name="Normal 57 5 5" xfId="9757" xr:uid="{00000000-0005-0000-0000-000058270000}"/>
    <cellStyle name="Normal 57 6" xfId="1270" xr:uid="{00000000-0005-0000-0000-000059270000}"/>
    <cellStyle name="Normal 57 6 2" xfId="3602" xr:uid="{00000000-0005-0000-0000-00005A270000}"/>
    <cellStyle name="Normal 57 6 2 2" xfId="8117" xr:uid="{00000000-0005-0000-0000-00005B270000}"/>
    <cellStyle name="Normal 57 6 2 2 2" xfId="17158" xr:uid="{00000000-0005-0000-0000-00005C270000}"/>
    <cellStyle name="Normal 57 6 2 3" xfId="12645" xr:uid="{00000000-0005-0000-0000-00005D270000}"/>
    <cellStyle name="Normal 57 6 3" xfId="5793" xr:uid="{00000000-0005-0000-0000-00005E270000}"/>
    <cellStyle name="Normal 57 6 3 2" xfId="14834" xr:uid="{00000000-0005-0000-0000-00005F270000}"/>
    <cellStyle name="Normal 57 6 4" xfId="10321" xr:uid="{00000000-0005-0000-0000-000060270000}"/>
    <cellStyle name="Normal 57 7" xfId="3579" xr:uid="{00000000-0005-0000-0000-000061270000}"/>
    <cellStyle name="Normal 57 7 2" xfId="8094" xr:uid="{00000000-0005-0000-0000-000062270000}"/>
    <cellStyle name="Normal 57 7 2 2" xfId="17135" xr:uid="{00000000-0005-0000-0000-000063270000}"/>
    <cellStyle name="Normal 57 7 3" xfId="12622" xr:uid="{00000000-0005-0000-0000-000064270000}"/>
    <cellStyle name="Normal 57 8" xfId="4665" xr:uid="{00000000-0005-0000-0000-000065270000}"/>
    <cellStyle name="Normal 57 8 2" xfId="13706" xr:uid="{00000000-0005-0000-0000-000066270000}"/>
    <cellStyle name="Normal 57 9" xfId="9193" xr:uid="{00000000-0005-0000-0000-000067270000}"/>
    <cellStyle name="Normal 58" xfId="58" xr:uid="{00000000-0005-0000-0000-000068270000}"/>
    <cellStyle name="Normal 58 2" xfId="154" xr:uid="{00000000-0005-0000-0000-000069270000}"/>
    <cellStyle name="Normal 58 2 2" xfId="383" xr:uid="{00000000-0005-0000-0000-00006A270000}"/>
    <cellStyle name="Normal 58 2 2 2" xfId="947" xr:uid="{00000000-0005-0000-0000-00006B270000}"/>
    <cellStyle name="Normal 58 2 2 2 2" xfId="2117" xr:uid="{00000000-0005-0000-0000-00006C270000}"/>
    <cellStyle name="Normal 58 2 2 2 2 2" xfId="3607" xr:uid="{00000000-0005-0000-0000-00006D270000}"/>
    <cellStyle name="Normal 58 2 2 2 2 2 2" xfId="8122" xr:uid="{00000000-0005-0000-0000-00006E270000}"/>
    <cellStyle name="Normal 58 2 2 2 2 2 2 2" xfId="17163" xr:uid="{00000000-0005-0000-0000-00006F270000}"/>
    <cellStyle name="Normal 58 2 2 2 2 2 3" xfId="12650" xr:uid="{00000000-0005-0000-0000-000070270000}"/>
    <cellStyle name="Normal 58 2 2 2 2 3" xfId="6640" xr:uid="{00000000-0005-0000-0000-000071270000}"/>
    <cellStyle name="Normal 58 2 2 2 2 3 2" xfId="15681" xr:uid="{00000000-0005-0000-0000-000072270000}"/>
    <cellStyle name="Normal 58 2 2 2 2 4" xfId="11168" xr:uid="{00000000-0005-0000-0000-000073270000}"/>
    <cellStyle name="Normal 58 2 2 2 3" xfId="3606" xr:uid="{00000000-0005-0000-0000-000074270000}"/>
    <cellStyle name="Normal 58 2 2 2 3 2" xfId="8121" xr:uid="{00000000-0005-0000-0000-000075270000}"/>
    <cellStyle name="Normal 58 2 2 2 3 2 2" xfId="17162" xr:uid="{00000000-0005-0000-0000-000076270000}"/>
    <cellStyle name="Normal 58 2 2 2 3 3" xfId="12649" xr:uid="{00000000-0005-0000-0000-000077270000}"/>
    <cellStyle name="Normal 58 2 2 2 4" xfId="5512" xr:uid="{00000000-0005-0000-0000-000078270000}"/>
    <cellStyle name="Normal 58 2 2 2 4 2" xfId="14553" xr:uid="{00000000-0005-0000-0000-000079270000}"/>
    <cellStyle name="Normal 58 2 2 2 5" xfId="10040" xr:uid="{00000000-0005-0000-0000-00007A270000}"/>
    <cellStyle name="Normal 58 2 2 3" xfId="1553" xr:uid="{00000000-0005-0000-0000-00007B270000}"/>
    <cellStyle name="Normal 58 2 2 3 2" xfId="3608" xr:uid="{00000000-0005-0000-0000-00007C270000}"/>
    <cellStyle name="Normal 58 2 2 3 2 2" xfId="8123" xr:uid="{00000000-0005-0000-0000-00007D270000}"/>
    <cellStyle name="Normal 58 2 2 3 2 2 2" xfId="17164" xr:uid="{00000000-0005-0000-0000-00007E270000}"/>
    <cellStyle name="Normal 58 2 2 3 2 3" xfId="12651" xr:uid="{00000000-0005-0000-0000-00007F270000}"/>
    <cellStyle name="Normal 58 2 2 3 3" xfId="6076" xr:uid="{00000000-0005-0000-0000-000080270000}"/>
    <cellStyle name="Normal 58 2 2 3 3 2" xfId="15117" xr:uid="{00000000-0005-0000-0000-000081270000}"/>
    <cellStyle name="Normal 58 2 2 3 4" xfId="10604" xr:uid="{00000000-0005-0000-0000-000082270000}"/>
    <cellStyle name="Normal 58 2 2 4" xfId="3605" xr:uid="{00000000-0005-0000-0000-000083270000}"/>
    <cellStyle name="Normal 58 2 2 4 2" xfId="8120" xr:uid="{00000000-0005-0000-0000-000084270000}"/>
    <cellStyle name="Normal 58 2 2 4 2 2" xfId="17161" xr:uid="{00000000-0005-0000-0000-000085270000}"/>
    <cellStyle name="Normal 58 2 2 4 3" xfId="12648" xr:uid="{00000000-0005-0000-0000-000086270000}"/>
    <cellStyle name="Normal 58 2 2 5" xfId="4948" xr:uid="{00000000-0005-0000-0000-000087270000}"/>
    <cellStyle name="Normal 58 2 2 5 2" xfId="13989" xr:uid="{00000000-0005-0000-0000-000088270000}"/>
    <cellStyle name="Normal 58 2 2 6" xfId="9476" xr:uid="{00000000-0005-0000-0000-000089270000}"/>
    <cellStyle name="Normal 58 2 3" xfId="571" xr:uid="{00000000-0005-0000-0000-00008A270000}"/>
    <cellStyle name="Normal 58 2 3 2" xfId="1135" xr:uid="{00000000-0005-0000-0000-00008B270000}"/>
    <cellStyle name="Normal 58 2 3 2 2" xfId="2305" xr:uid="{00000000-0005-0000-0000-00008C270000}"/>
    <cellStyle name="Normal 58 2 3 2 2 2" xfId="3611" xr:uid="{00000000-0005-0000-0000-00008D270000}"/>
    <cellStyle name="Normal 58 2 3 2 2 2 2" xfId="8126" xr:uid="{00000000-0005-0000-0000-00008E270000}"/>
    <cellStyle name="Normal 58 2 3 2 2 2 2 2" xfId="17167" xr:uid="{00000000-0005-0000-0000-00008F270000}"/>
    <cellStyle name="Normal 58 2 3 2 2 2 3" xfId="12654" xr:uid="{00000000-0005-0000-0000-000090270000}"/>
    <cellStyle name="Normal 58 2 3 2 2 3" xfId="6828" xr:uid="{00000000-0005-0000-0000-000091270000}"/>
    <cellStyle name="Normal 58 2 3 2 2 3 2" xfId="15869" xr:uid="{00000000-0005-0000-0000-000092270000}"/>
    <cellStyle name="Normal 58 2 3 2 2 4" xfId="11356" xr:uid="{00000000-0005-0000-0000-000093270000}"/>
    <cellStyle name="Normal 58 2 3 2 3" xfId="3610" xr:uid="{00000000-0005-0000-0000-000094270000}"/>
    <cellStyle name="Normal 58 2 3 2 3 2" xfId="8125" xr:uid="{00000000-0005-0000-0000-000095270000}"/>
    <cellStyle name="Normal 58 2 3 2 3 2 2" xfId="17166" xr:uid="{00000000-0005-0000-0000-000096270000}"/>
    <cellStyle name="Normal 58 2 3 2 3 3" xfId="12653" xr:uid="{00000000-0005-0000-0000-000097270000}"/>
    <cellStyle name="Normal 58 2 3 2 4" xfId="5700" xr:uid="{00000000-0005-0000-0000-000098270000}"/>
    <cellStyle name="Normal 58 2 3 2 4 2" xfId="14741" xr:uid="{00000000-0005-0000-0000-000099270000}"/>
    <cellStyle name="Normal 58 2 3 2 5" xfId="10228" xr:uid="{00000000-0005-0000-0000-00009A270000}"/>
    <cellStyle name="Normal 58 2 3 3" xfId="1741" xr:uid="{00000000-0005-0000-0000-00009B270000}"/>
    <cellStyle name="Normal 58 2 3 3 2" xfId="3612" xr:uid="{00000000-0005-0000-0000-00009C270000}"/>
    <cellStyle name="Normal 58 2 3 3 2 2" xfId="8127" xr:uid="{00000000-0005-0000-0000-00009D270000}"/>
    <cellStyle name="Normal 58 2 3 3 2 2 2" xfId="17168" xr:uid="{00000000-0005-0000-0000-00009E270000}"/>
    <cellStyle name="Normal 58 2 3 3 2 3" xfId="12655" xr:uid="{00000000-0005-0000-0000-00009F270000}"/>
    <cellStyle name="Normal 58 2 3 3 3" xfId="6264" xr:uid="{00000000-0005-0000-0000-0000A0270000}"/>
    <cellStyle name="Normal 58 2 3 3 3 2" xfId="15305" xr:uid="{00000000-0005-0000-0000-0000A1270000}"/>
    <cellStyle name="Normal 58 2 3 3 4" xfId="10792" xr:uid="{00000000-0005-0000-0000-0000A2270000}"/>
    <cellStyle name="Normal 58 2 3 4" xfId="3609" xr:uid="{00000000-0005-0000-0000-0000A3270000}"/>
    <cellStyle name="Normal 58 2 3 4 2" xfId="8124" xr:uid="{00000000-0005-0000-0000-0000A4270000}"/>
    <cellStyle name="Normal 58 2 3 4 2 2" xfId="17165" xr:uid="{00000000-0005-0000-0000-0000A5270000}"/>
    <cellStyle name="Normal 58 2 3 4 3" xfId="12652" xr:uid="{00000000-0005-0000-0000-0000A6270000}"/>
    <cellStyle name="Normal 58 2 3 5" xfId="5136" xr:uid="{00000000-0005-0000-0000-0000A7270000}"/>
    <cellStyle name="Normal 58 2 3 5 2" xfId="14177" xr:uid="{00000000-0005-0000-0000-0000A8270000}"/>
    <cellStyle name="Normal 58 2 3 6" xfId="9664" xr:uid="{00000000-0005-0000-0000-0000A9270000}"/>
    <cellStyle name="Normal 58 2 4" xfId="759" xr:uid="{00000000-0005-0000-0000-0000AA270000}"/>
    <cellStyle name="Normal 58 2 4 2" xfId="1929" xr:uid="{00000000-0005-0000-0000-0000AB270000}"/>
    <cellStyle name="Normal 58 2 4 2 2" xfId="3614" xr:uid="{00000000-0005-0000-0000-0000AC270000}"/>
    <cellStyle name="Normal 58 2 4 2 2 2" xfId="8129" xr:uid="{00000000-0005-0000-0000-0000AD270000}"/>
    <cellStyle name="Normal 58 2 4 2 2 2 2" xfId="17170" xr:uid="{00000000-0005-0000-0000-0000AE270000}"/>
    <cellStyle name="Normal 58 2 4 2 2 3" xfId="12657" xr:uid="{00000000-0005-0000-0000-0000AF270000}"/>
    <cellStyle name="Normal 58 2 4 2 3" xfId="6452" xr:uid="{00000000-0005-0000-0000-0000B0270000}"/>
    <cellStyle name="Normal 58 2 4 2 3 2" xfId="15493" xr:uid="{00000000-0005-0000-0000-0000B1270000}"/>
    <cellStyle name="Normal 58 2 4 2 4" xfId="10980" xr:uid="{00000000-0005-0000-0000-0000B2270000}"/>
    <cellStyle name="Normal 58 2 4 3" xfId="3613" xr:uid="{00000000-0005-0000-0000-0000B3270000}"/>
    <cellStyle name="Normal 58 2 4 3 2" xfId="8128" xr:uid="{00000000-0005-0000-0000-0000B4270000}"/>
    <cellStyle name="Normal 58 2 4 3 2 2" xfId="17169" xr:uid="{00000000-0005-0000-0000-0000B5270000}"/>
    <cellStyle name="Normal 58 2 4 3 3" xfId="12656" xr:uid="{00000000-0005-0000-0000-0000B6270000}"/>
    <cellStyle name="Normal 58 2 4 4" xfId="5324" xr:uid="{00000000-0005-0000-0000-0000B7270000}"/>
    <cellStyle name="Normal 58 2 4 4 2" xfId="14365" xr:uid="{00000000-0005-0000-0000-0000B8270000}"/>
    <cellStyle name="Normal 58 2 4 5" xfId="9852" xr:uid="{00000000-0005-0000-0000-0000B9270000}"/>
    <cellStyle name="Normal 58 2 5" xfId="1365" xr:uid="{00000000-0005-0000-0000-0000BA270000}"/>
    <cellStyle name="Normal 58 2 5 2" xfId="3615" xr:uid="{00000000-0005-0000-0000-0000BB270000}"/>
    <cellStyle name="Normal 58 2 5 2 2" xfId="8130" xr:uid="{00000000-0005-0000-0000-0000BC270000}"/>
    <cellStyle name="Normal 58 2 5 2 2 2" xfId="17171" xr:uid="{00000000-0005-0000-0000-0000BD270000}"/>
    <cellStyle name="Normal 58 2 5 2 3" xfId="12658" xr:uid="{00000000-0005-0000-0000-0000BE270000}"/>
    <cellStyle name="Normal 58 2 5 3" xfId="5888" xr:uid="{00000000-0005-0000-0000-0000BF270000}"/>
    <cellStyle name="Normal 58 2 5 3 2" xfId="14929" xr:uid="{00000000-0005-0000-0000-0000C0270000}"/>
    <cellStyle name="Normal 58 2 5 4" xfId="10416" xr:uid="{00000000-0005-0000-0000-0000C1270000}"/>
    <cellStyle name="Normal 58 2 6" xfId="3604" xr:uid="{00000000-0005-0000-0000-0000C2270000}"/>
    <cellStyle name="Normal 58 2 6 2" xfId="8119" xr:uid="{00000000-0005-0000-0000-0000C3270000}"/>
    <cellStyle name="Normal 58 2 6 2 2" xfId="17160" xr:uid="{00000000-0005-0000-0000-0000C4270000}"/>
    <cellStyle name="Normal 58 2 6 3" xfId="12647" xr:uid="{00000000-0005-0000-0000-0000C5270000}"/>
    <cellStyle name="Normal 58 2 7" xfId="4760" xr:uid="{00000000-0005-0000-0000-0000C6270000}"/>
    <cellStyle name="Normal 58 2 7 2" xfId="13801" xr:uid="{00000000-0005-0000-0000-0000C7270000}"/>
    <cellStyle name="Normal 58 2 8" xfId="9288" xr:uid="{00000000-0005-0000-0000-0000C8270000}"/>
    <cellStyle name="Normal 58 3" xfId="289" xr:uid="{00000000-0005-0000-0000-0000C9270000}"/>
    <cellStyle name="Normal 58 3 2" xfId="853" xr:uid="{00000000-0005-0000-0000-0000CA270000}"/>
    <cellStyle name="Normal 58 3 2 2" xfId="2023" xr:uid="{00000000-0005-0000-0000-0000CB270000}"/>
    <cellStyle name="Normal 58 3 2 2 2" xfId="3618" xr:uid="{00000000-0005-0000-0000-0000CC270000}"/>
    <cellStyle name="Normal 58 3 2 2 2 2" xfId="8133" xr:uid="{00000000-0005-0000-0000-0000CD270000}"/>
    <cellStyle name="Normal 58 3 2 2 2 2 2" xfId="17174" xr:uid="{00000000-0005-0000-0000-0000CE270000}"/>
    <cellStyle name="Normal 58 3 2 2 2 3" xfId="12661" xr:uid="{00000000-0005-0000-0000-0000CF270000}"/>
    <cellStyle name="Normal 58 3 2 2 3" xfId="6546" xr:uid="{00000000-0005-0000-0000-0000D0270000}"/>
    <cellStyle name="Normal 58 3 2 2 3 2" xfId="15587" xr:uid="{00000000-0005-0000-0000-0000D1270000}"/>
    <cellStyle name="Normal 58 3 2 2 4" xfId="11074" xr:uid="{00000000-0005-0000-0000-0000D2270000}"/>
    <cellStyle name="Normal 58 3 2 3" xfId="3617" xr:uid="{00000000-0005-0000-0000-0000D3270000}"/>
    <cellStyle name="Normal 58 3 2 3 2" xfId="8132" xr:uid="{00000000-0005-0000-0000-0000D4270000}"/>
    <cellStyle name="Normal 58 3 2 3 2 2" xfId="17173" xr:uid="{00000000-0005-0000-0000-0000D5270000}"/>
    <cellStyle name="Normal 58 3 2 3 3" xfId="12660" xr:uid="{00000000-0005-0000-0000-0000D6270000}"/>
    <cellStyle name="Normal 58 3 2 4" xfId="5418" xr:uid="{00000000-0005-0000-0000-0000D7270000}"/>
    <cellStyle name="Normal 58 3 2 4 2" xfId="14459" xr:uid="{00000000-0005-0000-0000-0000D8270000}"/>
    <cellStyle name="Normal 58 3 2 5" xfId="9946" xr:uid="{00000000-0005-0000-0000-0000D9270000}"/>
    <cellStyle name="Normal 58 3 3" xfId="1459" xr:uid="{00000000-0005-0000-0000-0000DA270000}"/>
    <cellStyle name="Normal 58 3 3 2" xfId="3619" xr:uid="{00000000-0005-0000-0000-0000DB270000}"/>
    <cellStyle name="Normal 58 3 3 2 2" xfId="8134" xr:uid="{00000000-0005-0000-0000-0000DC270000}"/>
    <cellStyle name="Normal 58 3 3 2 2 2" xfId="17175" xr:uid="{00000000-0005-0000-0000-0000DD270000}"/>
    <cellStyle name="Normal 58 3 3 2 3" xfId="12662" xr:uid="{00000000-0005-0000-0000-0000DE270000}"/>
    <cellStyle name="Normal 58 3 3 3" xfId="5982" xr:uid="{00000000-0005-0000-0000-0000DF270000}"/>
    <cellStyle name="Normal 58 3 3 3 2" xfId="15023" xr:uid="{00000000-0005-0000-0000-0000E0270000}"/>
    <cellStyle name="Normal 58 3 3 4" xfId="10510" xr:uid="{00000000-0005-0000-0000-0000E1270000}"/>
    <cellStyle name="Normal 58 3 4" xfId="3616" xr:uid="{00000000-0005-0000-0000-0000E2270000}"/>
    <cellStyle name="Normal 58 3 4 2" xfId="8131" xr:uid="{00000000-0005-0000-0000-0000E3270000}"/>
    <cellStyle name="Normal 58 3 4 2 2" xfId="17172" xr:uid="{00000000-0005-0000-0000-0000E4270000}"/>
    <cellStyle name="Normal 58 3 4 3" xfId="12659" xr:uid="{00000000-0005-0000-0000-0000E5270000}"/>
    <cellStyle name="Normal 58 3 5" xfId="4854" xr:uid="{00000000-0005-0000-0000-0000E6270000}"/>
    <cellStyle name="Normal 58 3 5 2" xfId="13895" xr:uid="{00000000-0005-0000-0000-0000E7270000}"/>
    <cellStyle name="Normal 58 3 6" xfId="9382" xr:uid="{00000000-0005-0000-0000-0000E8270000}"/>
    <cellStyle name="Normal 58 4" xfId="477" xr:uid="{00000000-0005-0000-0000-0000E9270000}"/>
    <cellStyle name="Normal 58 4 2" xfId="1041" xr:uid="{00000000-0005-0000-0000-0000EA270000}"/>
    <cellStyle name="Normal 58 4 2 2" xfId="2211" xr:uid="{00000000-0005-0000-0000-0000EB270000}"/>
    <cellStyle name="Normal 58 4 2 2 2" xfId="3622" xr:uid="{00000000-0005-0000-0000-0000EC270000}"/>
    <cellStyle name="Normal 58 4 2 2 2 2" xfId="8137" xr:uid="{00000000-0005-0000-0000-0000ED270000}"/>
    <cellStyle name="Normal 58 4 2 2 2 2 2" xfId="17178" xr:uid="{00000000-0005-0000-0000-0000EE270000}"/>
    <cellStyle name="Normal 58 4 2 2 2 3" xfId="12665" xr:uid="{00000000-0005-0000-0000-0000EF270000}"/>
    <cellStyle name="Normal 58 4 2 2 3" xfId="6734" xr:uid="{00000000-0005-0000-0000-0000F0270000}"/>
    <cellStyle name="Normal 58 4 2 2 3 2" xfId="15775" xr:uid="{00000000-0005-0000-0000-0000F1270000}"/>
    <cellStyle name="Normal 58 4 2 2 4" xfId="11262" xr:uid="{00000000-0005-0000-0000-0000F2270000}"/>
    <cellStyle name="Normal 58 4 2 3" xfId="3621" xr:uid="{00000000-0005-0000-0000-0000F3270000}"/>
    <cellStyle name="Normal 58 4 2 3 2" xfId="8136" xr:uid="{00000000-0005-0000-0000-0000F4270000}"/>
    <cellStyle name="Normal 58 4 2 3 2 2" xfId="17177" xr:uid="{00000000-0005-0000-0000-0000F5270000}"/>
    <cellStyle name="Normal 58 4 2 3 3" xfId="12664" xr:uid="{00000000-0005-0000-0000-0000F6270000}"/>
    <cellStyle name="Normal 58 4 2 4" xfId="5606" xr:uid="{00000000-0005-0000-0000-0000F7270000}"/>
    <cellStyle name="Normal 58 4 2 4 2" xfId="14647" xr:uid="{00000000-0005-0000-0000-0000F8270000}"/>
    <cellStyle name="Normal 58 4 2 5" xfId="10134" xr:uid="{00000000-0005-0000-0000-0000F9270000}"/>
    <cellStyle name="Normal 58 4 3" xfId="1647" xr:uid="{00000000-0005-0000-0000-0000FA270000}"/>
    <cellStyle name="Normal 58 4 3 2" xfId="3623" xr:uid="{00000000-0005-0000-0000-0000FB270000}"/>
    <cellStyle name="Normal 58 4 3 2 2" xfId="8138" xr:uid="{00000000-0005-0000-0000-0000FC270000}"/>
    <cellStyle name="Normal 58 4 3 2 2 2" xfId="17179" xr:uid="{00000000-0005-0000-0000-0000FD270000}"/>
    <cellStyle name="Normal 58 4 3 2 3" xfId="12666" xr:uid="{00000000-0005-0000-0000-0000FE270000}"/>
    <cellStyle name="Normal 58 4 3 3" xfId="6170" xr:uid="{00000000-0005-0000-0000-0000FF270000}"/>
    <cellStyle name="Normal 58 4 3 3 2" xfId="15211" xr:uid="{00000000-0005-0000-0000-000000280000}"/>
    <cellStyle name="Normal 58 4 3 4" xfId="10698" xr:uid="{00000000-0005-0000-0000-000001280000}"/>
    <cellStyle name="Normal 58 4 4" xfId="3620" xr:uid="{00000000-0005-0000-0000-000002280000}"/>
    <cellStyle name="Normal 58 4 4 2" xfId="8135" xr:uid="{00000000-0005-0000-0000-000003280000}"/>
    <cellStyle name="Normal 58 4 4 2 2" xfId="17176" xr:uid="{00000000-0005-0000-0000-000004280000}"/>
    <cellStyle name="Normal 58 4 4 3" xfId="12663" xr:uid="{00000000-0005-0000-0000-000005280000}"/>
    <cellStyle name="Normal 58 4 5" xfId="5042" xr:uid="{00000000-0005-0000-0000-000006280000}"/>
    <cellStyle name="Normal 58 4 5 2" xfId="14083" xr:uid="{00000000-0005-0000-0000-000007280000}"/>
    <cellStyle name="Normal 58 4 6" xfId="9570" xr:uid="{00000000-0005-0000-0000-000008280000}"/>
    <cellStyle name="Normal 58 5" xfId="665" xr:uid="{00000000-0005-0000-0000-000009280000}"/>
    <cellStyle name="Normal 58 5 2" xfId="1835" xr:uid="{00000000-0005-0000-0000-00000A280000}"/>
    <cellStyle name="Normal 58 5 2 2" xfId="3625" xr:uid="{00000000-0005-0000-0000-00000B280000}"/>
    <cellStyle name="Normal 58 5 2 2 2" xfId="8140" xr:uid="{00000000-0005-0000-0000-00000C280000}"/>
    <cellStyle name="Normal 58 5 2 2 2 2" xfId="17181" xr:uid="{00000000-0005-0000-0000-00000D280000}"/>
    <cellStyle name="Normal 58 5 2 2 3" xfId="12668" xr:uid="{00000000-0005-0000-0000-00000E280000}"/>
    <cellStyle name="Normal 58 5 2 3" xfId="6358" xr:uid="{00000000-0005-0000-0000-00000F280000}"/>
    <cellStyle name="Normal 58 5 2 3 2" xfId="15399" xr:uid="{00000000-0005-0000-0000-000010280000}"/>
    <cellStyle name="Normal 58 5 2 4" xfId="10886" xr:uid="{00000000-0005-0000-0000-000011280000}"/>
    <cellStyle name="Normal 58 5 3" xfId="3624" xr:uid="{00000000-0005-0000-0000-000012280000}"/>
    <cellStyle name="Normal 58 5 3 2" xfId="8139" xr:uid="{00000000-0005-0000-0000-000013280000}"/>
    <cellStyle name="Normal 58 5 3 2 2" xfId="17180" xr:uid="{00000000-0005-0000-0000-000014280000}"/>
    <cellStyle name="Normal 58 5 3 3" xfId="12667" xr:uid="{00000000-0005-0000-0000-000015280000}"/>
    <cellStyle name="Normal 58 5 4" xfId="5230" xr:uid="{00000000-0005-0000-0000-000016280000}"/>
    <cellStyle name="Normal 58 5 4 2" xfId="14271" xr:uid="{00000000-0005-0000-0000-000017280000}"/>
    <cellStyle name="Normal 58 5 5" xfId="9758" xr:uid="{00000000-0005-0000-0000-000018280000}"/>
    <cellStyle name="Normal 58 6" xfId="1271" xr:uid="{00000000-0005-0000-0000-000019280000}"/>
    <cellStyle name="Normal 58 6 2" xfId="3626" xr:uid="{00000000-0005-0000-0000-00001A280000}"/>
    <cellStyle name="Normal 58 6 2 2" xfId="8141" xr:uid="{00000000-0005-0000-0000-00001B280000}"/>
    <cellStyle name="Normal 58 6 2 2 2" xfId="17182" xr:uid="{00000000-0005-0000-0000-00001C280000}"/>
    <cellStyle name="Normal 58 6 2 3" xfId="12669" xr:uid="{00000000-0005-0000-0000-00001D280000}"/>
    <cellStyle name="Normal 58 6 3" xfId="5794" xr:uid="{00000000-0005-0000-0000-00001E280000}"/>
    <cellStyle name="Normal 58 6 3 2" xfId="14835" xr:uid="{00000000-0005-0000-0000-00001F280000}"/>
    <cellStyle name="Normal 58 6 4" xfId="10322" xr:uid="{00000000-0005-0000-0000-000020280000}"/>
    <cellStyle name="Normal 58 7" xfId="3603" xr:uid="{00000000-0005-0000-0000-000021280000}"/>
    <cellStyle name="Normal 58 7 2" xfId="8118" xr:uid="{00000000-0005-0000-0000-000022280000}"/>
    <cellStyle name="Normal 58 7 2 2" xfId="17159" xr:uid="{00000000-0005-0000-0000-000023280000}"/>
    <cellStyle name="Normal 58 7 3" xfId="12646" xr:uid="{00000000-0005-0000-0000-000024280000}"/>
    <cellStyle name="Normal 58 8" xfId="4666" xr:uid="{00000000-0005-0000-0000-000025280000}"/>
    <cellStyle name="Normal 58 8 2" xfId="13707" xr:uid="{00000000-0005-0000-0000-000026280000}"/>
    <cellStyle name="Normal 58 9" xfId="9194" xr:uid="{00000000-0005-0000-0000-000027280000}"/>
    <cellStyle name="Normal 59" xfId="59" xr:uid="{00000000-0005-0000-0000-000028280000}"/>
    <cellStyle name="Normal 59 2" xfId="155" xr:uid="{00000000-0005-0000-0000-000029280000}"/>
    <cellStyle name="Normal 59 2 2" xfId="384" xr:uid="{00000000-0005-0000-0000-00002A280000}"/>
    <cellStyle name="Normal 59 2 2 2" xfId="948" xr:uid="{00000000-0005-0000-0000-00002B280000}"/>
    <cellStyle name="Normal 59 2 2 2 2" xfId="2118" xr:uid="{00000000-0005-0000-0000-00002C280000}"/>
    <cellStyle name="Normal 59 2 2 2 2 2" xfId="3631" xr:uid="{00000000-0005-0000-0000-00002D280000}"/>
    <cellStyle name="Normal 59 2 2 2 2 2 2" xfId="8146" xr:uid="{00000000-0005-0000-0000-00002E280000}"/>
    <cellStyle name="Normal 59 2 2 2 2 2 2 2" xfId="17187" xr:uid="{00000000-0005-0000-0000-00002F280000}"/>
    <cellStyle name="Normal 59 2 2 2 2 2 3" xfId="12674" xr:uid="{00000000-0005-0000-0000-000030280000}"/>
    <cellStyle name="Normal 59 2 2 2 2 3" xfId="6641" xr:uid="{00000000-0005-0000-0000-000031280000}"/>
    <cellStyle name="Normal 59 2 2 2 2 3 2" xfId="15682" xr:uid="{00000000-0005-0000-0000-000032280000}"/>
    <cellStyle name="Normal 59 2 2 2 2 4" xfId="11169" xr:uid="{00000000-0005-0000-0000-000033280000}"/>
    <cellStyle name="Normal 59 2 2 2 3" xfId="3630" xr:uid="{00000000-0005-0000-0000-000034280000}"/>
    <cellStyle name="Normal 59 2 2 2 3 2" xfId="8145" xr:uid="{00000000-0005-0000-0000-000035280000}"/>
    <cellStyle name="Normal 59 2 2 2 3 2 2" xfId="17186" xr:uid="{00000000-0005-0000-0000-000036280000}"/>
    <cellStyle name="Normal 59 2 2 2 3 3" xfId="12673" xr:uid="{00000000-0005-0000-0000-000037280000}"/>
    <cellStyle name="Normal 59 2 2 2 4" xfId="5513" xr:uid="{00000000-0005-0000-0000-000038280000}"/>
    <cellStyle name="Normal 59 2 2 2 4 2" xfId="14554" xr:uid="{00000000-0005-0000-0000-000039280000}"/>
    <cellStyle name="Normal 59 2 2 2 5" xfId="10041" xr:uid="{00000000-0005-0000-0000-00003A280000}"/>
    <cellStyle name="Normal 59 2 2 3" xfId="1554" xr:uid="{00000000-0005-0000-0000-00003B280000}"/>
    <cellStyle name="Normal 59 2 2 3 2" xfId="3632" xr:uid="{00000000-0005-0000-0000-00003C280000}"/>
    <cellStyle name="Normal 59 2 2 3 2 2" xfId="8147" xr:uid="{00000000-0005-0000-0000-00003D280000}"/>
    <cellStyle name="Normal 59 2 2 3 2 2 2" xfId="17188" xr:uid="{00000000-0005-0000-0000-00003E280000}"/>
    <cellStyle name="Normal 59 2 2 3 2 3" xfId="12675" xr:uid="{00000000-0005-0000-0000-00003F280000}"/>
    <cellStyle name="Normal 59 2 2 3 3" xfId="6077" xr:uid="{00000000-0005-0000-0000-000040280000}"/>
    <cellStyle name="Normal 59 2 2 3 3 2" xfId="15118" xr:uid="{00000000-0005-0000-0000-000041280000}"/>
    <cellStyle name="Normal 59 2 2 3 4" xfId="10605" xr:uid="{00000000-0005-0000-0000-000042280000}"/>
    <cellStyle name="Normal 59 2 2 4" xfId="3629" xr:uid="{00000000-0005-0000-0000-000043280000}"/>
    <cellStyle name="Normal 59 2 2 4 2" xfId="8144" xr:uid="{00000000-0005-0000-0000-000044280000}"/>
    <cellStyle name="Normal 59 2 2 4 2 2" xfId="17185" xr:uid="{00000000-0005-0000-0000-000045280000}"/>
    <cellStyle name="Normal 59 2 2 4 3" xfId="12672" xr:uid="{00000000-0005-0000-0000-000046280000}"/>
    <cellStyle name="Normal 59 2 2 5" xfId="4949" xr:uid="{00000000-0005-0000-0000-000047280000}"/>
    <cellStyle name="Normal 59 2 2 5 2" xfId="13990" xr:uid="{00000000-0005-0000-0000-000048280000}"/>
    <cellStyle name="Normal 59 2 2 6" xfId="9477" xr:uid="{00000000-0005-0000-0000-000049280000}"/>
    <cellStyle name="Normal 59 2 3" xfId="572" xr:uid="{00000000-0005-0000-0000-00004A280000}"/>
    <cellStyle name="Normal 59 2 3 2" xfId="1136" xr:uid="{00000000-0005-0000-0000-00004B280000}"/>
    <cellStyle name="Normal 59 2 3 2 2" xfId="2306" xr:uid="{00000000-0005-0000-0000-00004C280000}"/>
    <cellStyle name="Normal 59 2 3 2 2 2" xfId="3635" xr:uid="{00000000-0005-0000-0000-00004D280000}"/>
    <cellStyle name="Normal 59 2 3 2 2 2 2" xfId="8150" xr:uid="{00000000-0005-0000-0000-00004E280000}"/>
    <cellStyle name="Normal 59 2 3 2 2 2 2 2" xfId="17191" xr:uid="{00000000-0005-0000-0000-00004F280000}"/>
    <cellStyle name="Normal 59 2 3 2 2 2 3" xfId="12678" xr:uid="{00000000-0005-0000-0000-000050280000}"/>
    <cellStyle name="Normal 59 2 3 2 2 3" xfId="6829" xr:uid="{00000000-0005-0000-0000-000051280000}"/>
    <cellStyle name="Normal 59 2 3 2 2 3 2" xfId="15870" xr:uid="{00000000-0005-0000-0000-000052280000}"/>
    <cellStyle name="Normal 59 2 3 2 2 4" xfId="11357" xr:uid="{00000000-0005-0000-0000-000053280000}"/>
    <cellStyle name="Normal 59 2 3 2 3" xfId="3634" xr:uid="{00000000-0005-0000-0000-000054280000}"/>
    <cellStyle name="Normal 59 2 3 2 3 2" xfId="8149" xr:uid="{00000000-0005-0000-0000-000055280000}"/>
    <cellStyle name="Normal 59 2 3 2 3 2 2" xfId="17190" xr:uid="{00000000-0005-0000-0000-000056280000}"/>
    <cellStyle name="Normal 59 2 3 2 3 3" xfId="12677" xr:uid="{00000000-0005-0000-0000-000057280000}"/>
    <cellStyle name="Normal 59 2 3 2 4" xfId="5701" xr:uid="{00000000-0005-0000-0000-000058280000}"/>
    <cellStyle name="Normal 59 2 3 2 4 2" xfId="14742" xr:uid="{00000000-0005-0000-0000-000059280000}"/>
    <cellStyle name="Normal 59 2 3 2 5" xfId="10229" xr:uid="{00000000-0005-0000-0000-00005A280000}"/>
    <cellStyle name="Normal 59 2 3 3" xfId="1742" xr:uid="{00000000-0005-0000-0000-00005B280000}"/>
    <cellStyle name="Normal 59 2 3 3 2" xfId="3636" xr:uid="{00000000-0005-0000-0000-00005C280000}"/>
    <cellStyle name="Normal 59 2 3 3 2 2" xfId="8151" xr:uid="{00000000-0005-0000-0000-00005D280000}"/>
    <cellStyle name="Normal 59 2 3 3 2 2 2" xfId="17192" xr:uid="{00000000-0005-0000-0000-00005E280000}"/>
    <cellStyle name="Normal 59 2 3 3 2 3" xfId="12679" xr:uid="{00000000-0005-0000-0000-00005F280000}"/>
    <cellStyle name="Normal 59 2 3 3 3" xfId="6265" xr:uid="{00000000-0005-0000-0000-000060280000}"/>
    <cellStyle name="Normal 59 2 3 3 3 2" xfId="15306" xr:uid="{00000000-0005-0000-0000-000061280000}"/>
    <cellStyle name="Normal 59 2 3 3 4" xfId="10793" xr:uid="{00000000-0005-0000-0000-000062280000}"/>
    <cellStyle name="Normal 59 2 3 4" xfId="3633" xr:uid="{00000000-0005-0000-0000-000063280000}"/>
    <cellStyle name="Normal 59 2 3 4 2" xfId="8148" xr:uid="{00000000-0005-0000-0000-000064280000}"/>
    <cellStyle name="Normal 59 2 3 4 2 2" xfId="17189" xr:uid="{00000000-0005-0000-0000-000065280000}"/>
    <cellStyle name="Normal 59 2 3 4 3" xfId="12676" xr:uid="{00000000-0005-0000-0000-000066280000}"/>
    <cellStyle name="Normal 59 2 3 5" xfId="5137" xr:uid="{00000000-0005-0000-0000-000067280000}"/>
    <cellStyle name="Normal 59 2 3 5 2" xfId="14178" xr:uid="{00000000-0005-0000-0000-000068280000}"/>
    <cellStyle name="Normal 59 2 3 6" xfId="9665" xr:uid="{00000000-0005-0000-0000-000069280000}"/>
    <cellStyle name="Normal 59 2 4" xfId="760" xr:uid="{00000000-0005-0000-0000-00006A280000}"/>
    <cellStyle name="Normal 59 2 4 2" xfId="1930" xr:uid="{00000000-0005-0000-0000-00006B280000}"/>
    <cellStyle name="Normal 59 2 4 2 2" xfId="3638" xr:uid="{00000000-0005-0000-0000-00006C280000}"/>
    <cellStyle name="Normal 59 2 4 2 2 2" xfId="8153" xr:uid="{00000000-0005-0000-0000-00006D280000}"/>
    <cellStyle name="Normal 59 2 4 2 2 2 2" xfId="17194" xr:uid="{00000000-0005-0000-0000-00006E280000}"/>
    <cellStyle name="Normal 59 2 4 2 2 3" xfId="12681" xr:uid="{00000000-0005-0000-0000-00006F280000}"/>
    <cellStyle name="Normal 59 2 4 2 3" xfId="6453" xr:uid="{00000000-0005-0000-0000-000070280000}"/>
    <cellStyle name="Normal 59 2 4 2 3 2" xfId="15494" xr:uid="{00000000-0005-0000-0000-000071280000}"/>
    <cellStyle name="Normal 59 2 4 2 4" xfId="10981" xr:uid="{00000000-0005-0000-0000-000072280000}"/>
    <cellStyle name="Normal 59 2 4 3" xfId="3637" xr:uid="{00000000-0005-0000-0000-000073280000}"/>
    <cellStyle name="Normal 59 2 4 3 2" xfId="8152" xr:uid="{00000000-0005-0000-0000-000074280000}"/>
    <cellStyle name="Normal 59 2 4 3 2 2" xfId="17193" xr:uid="{00000000-0005-0000-0000-000075280000}"/>
    <cellStyle name="Normal 59 2 4 3 3" xfId="12680" xr:uid="{00000000-0005-0000-0000-000076280000}"/>
    <cellStyle name="Normal 59 2 4 4" xfId="5325" xr:uid="{00000000-0005-0000-0000-000077280000}"/>
    <cellStyle name="Normal 59 2 4 4 2" xfId="14366" xr:uid="{00000000-0005-0000-0000-000078280000}"/>
    <cellStyle name="Normal 59 2 4 5" xfId="9853" xr:uid="{00000000-0005-0000-0000-000079280000}"/>
    <cellStyle name="Normal 59 2 5" xfId="1366" xr:uid="{00000000-0005-0000-0000-00007A280000}"/>
    <cellStyle name="Normal 59 2 5 2" xfId="3639" xr:uid="{00000000-0005-0000-0000-00007B280000}"/>
    <cellStyle name="Normal 59 2 5 2 2" xfId="8154" xr:uid="{00000000-0005-0000-0000-00007C280000}"/>
    <cellStyle name="Normal 59 2 5 2 2 2" xfId="17195" xr:uid="{00000000-0005-0000-0000-00007D280000}"/>
    <cellStyle name="Normal 59 2 5 2 3" xfId="12682" xr:uid="{00000000-0005-0000-0000-00007E280000}"/>
    <cellStyle name="Normal 59 2 5 3" xfId="5889" xr:uid="{00000000-0005-0000-0000-00007F280000}"/>
    <cellStyle name="Normal 59 2 5 3 2" xfId="14930" xr:uid="{00000000-0005-0000-0000-000080280000}"/>
    <cellStyle name="Normal 59 2 5 4" xfId="10417" xr:uid="{00000000-0005-0000-0000-000081280000}"/>
    <cellStyle name="Normal 59 2 6" xfId="3628" xr:uid="{00000000-0005-0000-0000-000082280000}"/>
    <cellStyle name="Normal 59 2 6 2" xfId="8143" xr:uid="{00000000-0005-0000-0000-000083280000}"/>
    <cellStyle name="Normal 59 2 6 2 2" xfId="17184" xr:uid="{00000000-0005-0000-0000-000084280000}"/>
    <cellStyle name="Normal 59 2 6 3" xfId="12671" xr:uid="{00000000-0005-0000-0000-000085280000}"/>
    <cellStyle name="Normal 59 2 7" xfId="4761" xr:uid="{00000000-0005-0000-0000-000086280000}"/>
    <cellStyle name="Normal 59 2 7 2" xfId="13802" xr:uid="{00000000-0005-0000-0000-000087280000}"/>
    <cellStyle name="Normal 59 2 8" xfId="9289" xr:uid="{00000000-0005-0000-0000-000088280000}"/>
    <cellStyle name="Normal 59 3" xfId="290" xr:uid="{00000000-0005-0000-0000-000089280000}"/>
    <cellStyle name="Normal 59 3 2" xfId="854" xr:uid="{00000000-0005-0000-0000-00008A280000}"/>
    <cellStyle name="Normal 59 3 2 2" xfId="2024" xr:uid="{00000000-0005-0000-0000-00008B280000}"/>
    <cellStyle name="Normal 59 3 2 2 2" xfId="3642" xr:uid="{00000000-0005-0000-0000-00008C280000}"/>
    <cellStyle name="Normal 59 3 2 2 2 2" xfId="8157" xr:uid="{00000000-0005-0000-0000-00008D280000}"/>
    <cellStyle name="Normal 59 3 2 2 2 2 2" xfId="17198" xr:uid="{00000000-0005-0000-0000-00008E280000}"/>
    <cellStyle name="Normal 59 3 2 2 2 3" xfId="12685" xr:uid="{00000000-0005-0000-0000-00008F280000}"/>
    <cellStyle name="Normal 59 3 2 2 3" xfId="6547" xr:uid="{00000000-0005-0000-0000-000090280000}"/>
    <cellStyle name="Normal 59 3 2 2 3 2" xfId="15588" xr:uid="{00000000-0005-0000-0000-000091280000}"/>
    <cellStyle name="Normal 59 3 2 2 4" xfId="11075" xr:uid="{00000000-0005-0000-0000-000092280000}"/>
    <cellStyle name="Normal 59 3 2 3" xfId="3641" xr:uid="{00000000-0005-0000-0000-000093280000}"/>
    <cellStyle name="Normal 59 3 2 3 2" xfId="8156" xr:uid="{00000000-0005-0000-0000-000094280000}"/>
    <cellStyle name="Normal 59 3 2 3 2 2" xfId="17197" xr:uid="{00000000-0005-0000-0000-000095280000}"/>
    <cellStyle name="Normal 59 3 2 3 3" xfId="12684" xr:uid="{00000000-0005-0000-0000-000096280000}"/>
    <cellStyle name="Normal 59 3 2 4" xfId="5419" xr:uid="{00000000-0005-0000-0000-000097280000}"/>
    <cellStyle name="Normal 59 3 2 4 2" xfId="14460" xr:uid="{00000000-0005-0000-0000-000098280000}"/>
    <cellStyle name="Normal 59 3 2 5" xfId="9947" xr:uid="{00000000-0005-0000-0000-000099280000}"/>
    <cellStyle name="Normal 59 3 3" xfId="1460" xr:uid="{00000000-0005-0000-0000-00009A280000}"/>
    <cellStyle name="Normal 59 3 3 2" xfId="3643" xr:uid="{00000000-0005-0000-0000-00009B280000}"/>
    <cellStyle name="Normal 59 3 3 2 2" xfId="8158" xr:uid="{00000000-0005-0000-0000-00009C280000}"/>
    <cellStyle name="Normal 59 3 3 2 2 2" xfId="17199" xr:uid="{00000000-0005-0000-0000-00009D280000}"/>
    <cellStyle name="Normal 59 3 3 2 3" xfId="12686" xr:uid="{00000000-0005-0000-0000-00009E280000}"/>
    <cellStyle name="Normal 59 3 3 3" xfId="5983" xr:uid="{00000000-0005-0000-0000-00009F280000}"/>
    <cellStyle name="Normal 59 3 3 3 2" xfId="15024" xr:uid="{00000000-0005-0000-0000-0000A0280000}"/>
    <cellStyle name="Normal 59 3 3 4" xfId="10511" xr:uid="{00000000-0005-0000-0000-0000A1280000}"/>
    <cellStyle name="Normal 59 3 4" xfId="3640" xr:uid="{00000000-0005-0000-0000-0000A2280000}"/>
    <cellStyle name="Normal 59 3 4 2" xfId="8155" xr:uid="{00000000-0005-0000-0000-0000A3280000}"/>
    <cellStyle name="Normal 59 3 4 2 2" xfId="17196" xr:uid="{00000000-0005-0000-0000-0000A4280000}"/>
    <cellStyle name="Normal 59 3 4 3" xfId="12683" xr:uid="{00000000-0005-0000-0000-0000A5280000}"/>
    <cellStyle name="Normal 59 3 5" xfId="4855" xr:uid="{00000000-0005-0000-0000-0000A6280000}"/>
    <cellStyle name="Normal 59 3 5 2" xfId="13896" xr:uid="{00000000-0005-0000-0000-0000A7280000}"/>
    <cellStyle name="Normal 59 3 6" xfId="9383" xr:uid="{00000000-0005-0000-0000-0000A8280000}"/>
    <cellStyle name="Normal 59 4" xfId="478" xr:uid="{00000000-0005-0000-0000-0000A9280000}"/>
    <cellStyle name="Normal 59 4 2" xfId="1042" xr:uid="{00000000-0005-0000-0000-0000AA280000}"/>
    <cellStyle name="Normal 59 4 2 2" xfId="2212" xr:uid="{00000000-0005-0000-0000-0000AB280000}"/>
    <cellStyle name="Normal 59 4 2 2 2" xfId="3646" xr:uid="{00000000-0005-0000-0000-0000AC280000}"/>
    <cellStyle name="Normal 59 4 2 2 2 2" xfId="8161" xr:uid="{00000000-0005-0000-0000-0000AD280000}"/>
    <cellStyle name="Normal 59 4 2 2 2 2 2" xfId="17202" xr:uid="{00000000-0005-0000-0000-0000AE280000}"/>
    <cellStyle name="Normal 59 4 2 2 2 3" xfId="12689" xr:uid="{00000000-0005-0000-0000-0000AF280000}"/>
    <cellStyle name="Normal 59 4 2 2 3" xfId="6735" xr:uid="{00000000-0005-0000-0000-0000B0280000}"/>
    <cellStyle name="Normal 59 4 2 2 3 2" xfId="15776" xr:uid="{00000000-0005-0000-0000-0000B1280000}"/>
    <cellStyle name="Normal 59 4 2 2 4" xfId="11263" xr:uid="{00000000-0005-0000-0000-0000B2280000}"/>
    <cellStyle name="Normal 59 4 2 3" xfId="3645" xr:uid="{00000000-0005-0000-0000-0000B3280000}"/>
    <cellStyle name="Normal 59 4 2 3 2" xfId="8160" xr:uid="{00000000-0005-0000-0000-0000B4280000}"/>
    <cellStyle name="Normal 59 4 2 3 2 2" xfId="17201" xr:uid="{00000000-0005-0000-0000-0000B5280000}"/>
    <cellStyle name="Normal 59 4 2 3 3" xfId="12688" xr:uid="{00000000-0005-0000-0000-0000B6280000}"/>
    <cellStyle name="Normal 59 4 2 4" xfId="5607" xr:uid="{00000000-0005-0000-0000-0000B7280000}"/>
    <cellStyle name="Normal 59 4 2 4 2" xfId="14648" xr:uid="{00000000-0005-0000-0000-0000B8280000}"/>
    <cellStyle name="Normal 59 4 2 5" xfId="10135" xr:uid="{00000000-0005-0000-0000-0000B9280000}"/>
    <cellStyle name="Normal 59 4 3" xfId="1648" xr:uid="{00000000-0005-0000-0000-0000BA280000}"/>
    <cellStyle name="Normal 59 4 3 2" xfId="3647" xr:uid="{00000000-0005-0000-0000-0000BB280000}"/>
    <cellStyle name="Normal 59 4 3 2 2" xfId="8162" xr:uid="{00000000-0005-0000-0000-0000BC280000}"/>
    <cellStyle name="Normal 59 4 3 2 2 2" xfId="17203" xr:uid="{00000000-0005-0000-0000-0000BD280000}"/>
    <cellStyle name="Normal 59 4 3 2 3" xfId="12690" xr:uid="{00000000-0005-0000-0000-0000BE280000}"/>
    <cellStyle name="Normal 59 4 3 3" xfId="6171" xr:uid="{00000000-0005-0000-0000-0000BF280000}"/>
    <cellStyle name="Normal 59 4 3 3 2" xfId="15212" xr:uid="{00000000-0005-0000-0000-0000C0280000}"/>
    <cellStyle name="Normal 59 4 3 4" xfId="10699" xr:uid="{00000000-0005-0000-0000-0000C1280000}"/>
    <cellStyle name="Normal 59 4 4" xfId="3644" xr:uid="{00000000-0005-0000-0000-0000C2280000}"/>
    <cellStyle name="Normal 59 4 4 2" xfId="8159" xr:uid="{00000000-0005-0000-0000-0000C3280000}"/>
    <cellStyle name="Normal 59 4 4 2 2" xfId="17200" xr:uid="{00000000-0005-0000-0000-0000C4280000}"/>
    <cellStyle name="Normal 59 4 4 3" xfId="12687" xr:uid="{00000000-0005-0000-0000-0000C5280000}"/>
    <cellStyle name="Normal 59 4 5" xfId="5043" xr:uid="{00000000-0005-0000-0000-0000C6280000}"/>
    <cellStyle name="Normal 59 4 5 2" xfId="14084" xr:uid="{00000000-0005-0000-0000-0000C7280000}"/>
    <cellStyle name="Normal 59 4 6" xfId="9571" xr:uid="{00000000-0005-0000-0000-0000C8280000}"/>
    <cellStyle name="Normal 59 5" xfId="666" xr:uid="{00000000-0005-0000-0000-0000C9280000}"/>
    <cellStyle name="Normal 59 5 2" xfId="1836" xr:uid="{00000000-0005-0000-0000-0000CA280000}"/>
    <cellStyle name="Normal 59 5 2 2" xfId="3649" xr:uid="{00000000-0005-0000-0000-0000CB280000}"/>
    <cellStyle name="Normal 59 5 2 2 2" xfId="8164" xr:uid="{00000000-0005-0000-0000-0000CC280000}"/>
    <cellStyle name="Normal 59 5 2 2 2 2" xfId="17205" xr:uid="{00000000-0005-0000-0000-0000CD280000}"/>
    <cellStyle name="Normal 59 5 2 2 3" xfId="12692" xr:uid="{00000000-0005-0000-0000-0000CE280000}"/>
    <cellStyle name="Normal 59 5 2 3" xfId="6359" xr:uid="{00000000-0005-0000-0000-0000CF280000}"/>
    <cellStyle name="Normal 59 5 2 3 2" xfId="15400" xr:uid="{00000000-0005-0000-0000-0000D0280000}"/>
    <cellStyle name="Normal 59 5 2 4" xfId="10887" xr:uid="{00000000-0005-0000-0000-0000D1280000}"/>
    <cellStyle name="Normal 59 5 3" xfId="3648" xr:uid="{00000000-0005-0000-0000-0000D2280000}"/>
    <cellStyle name="Normal 59 5 3 2" xfId="8163" xr:uid="{00000000-0005-0000-0000-0000D3280000}"/>
    <cellStyle name="Normal 59 5 3 2 2" xfId="17204" xr:uid="{00000000-0005-0000-0000-0000D4280000}"/>
    <cellStyle name="Normal 59 5 3 3" xfId="12691" xr:uid="{00000000-0005-0000-0000-0000D5280000}"/>
    <cellStyle name="Normal 59 5 4" xfId="5231" xr:uid="{00000000-0005-0000-0000-0000D6280000}"/>
    <cellStyle name="Normal 59 5 4 2" xfId="14272" xr:uid="{00000000-0005-0000-0000-0000D7280000}"/>
    <cellStyle name="Normal 59 5 5" xfId="9759" xr:uid="{00000000-0005-0000-0000-0000D8280000}"/>
    <cellStyle name="Normal 59 6" xfId="1272" xr:uid="{00000000-0005-0000-0000-0000D9280000}"/>
    <cellStyle name="Normal 59 6 2" xfId="3650" xr:uid="{00000000-0005-0000-0000-0000DA280000}"/>
    <cellStyle name="Normal 59 6 2 2" xfId="8165" xr:uid="{00000000-0005-0000-0000-0000DB280000}"/>
    <cellStyle name="Normal 59 6 2 2 2" xfId="17206" xr:uid="{00000000-0005-0000-0000-0000DC280000}"/>
    <cellStyle name="Normal 59 6 2 3" xfId="12693" xr:uid="{00000000-0005-0000-0000-0000DD280000}"/>
    <cellStyle name="Normal 59 6 3" xfId="5795" xr:uid="{00000000-0005-0000-0000-0000DE280000}"/>
    <cellStyle name="Normal 59 6 3 2" xfId="14836" xr:uid="{00000000-0005-0000-0000-0000DF280000}"/>
    <cellStyle name="Normal 59 6 4" xfId="10323" xr:uid="{00000000-0005-0000-0000-0000E0280000}"/>
    <cellStyle name="Normal 59 7" xfId="3627" xr:uid="{00000000-0005-0000-0000-0000E1280000}"/>
    <cellStyle name="Normal 59 7 2" xfId="8142" xr:uid="{00000000-0005-0000-0000-0000E2280000}"/>
    <cellStyle name="Normal 59 7 2 2" xfId="17183" xr:uid="{00000000-0005-0000-0000-0000E3280000}"/>
    <cellStyle name="Normal 59 7 3" xfId="12670" xr:uid="{00000000-0005-0000-0000-0000E4280000}"/>
    <cellStyle name="Normal 59 8" xfId="4667" xr:uid="{00000000-0005-0000-0000-0000E5280000}"/>
    <cellStyle name="Normal 59 8 2" xfId="13708" xr:uid="{00000000-0005-0000-0000-0000E6280000}"/>
    <cellStyle name="Normal 59 9" xfId="9195" xr:uid="{00000000-0005-0000-0000-0000E7280000}"/>
    <cellStyle name="Normal 6" xfId="4" xr:uid="{00000000-0005-0000-0000-0000E8280000}"/>
    <cellStyle name="Normal 60" xfId="60" xr:uid="{00000000-0005-0000-0000-0000E9280000}"/>
    <cellStyle name="Normal 60 2" xfId="156" xr:uid="{00000000-0005-0000-0000-0000EA280000}"/>
    <cellStyle name="Normal 60 2 2" xfId="385" xr:uid="{00000000-0005-0000-0000-0000EB280000}"/>
    <cellStyle name="Normal 60 2 2 2" xfId="949" xr:uid="{00000000-0005-0000-0000-0000EC280000}"/>
    <cellStyle name="Normal 60 2 2 2 2" xfId="2119" xr:uid="{00000000-0005-0000-0000-0000ED280000}"/>
    <cellStyle name="Normal 60 2 2 2 2 2" xfId="3655" xr:uid="{00000000-0005-0000-0000-0000EE280000}"/>
    <cellStyle name="Normal 60 2 2 2 2 2 2" xfId="8170" xr:uid="{00000000-0005-0000-0000-0000EF280000}"/>
    <cellStyle name="Normal 60 2 2 2 2 2 2 2" xfId="17211" xr:uid="{00000000-0005-0000-0000-0000F0280000}"/>
    <cellStyle name="Normal 60 2 2 2 2 2 3" xfId="12698" xr:uid="{00000000-0005-0000-0000-0000F1280000}"/>
    <cellStyle name="Normal 60 2 2 2 2 3" xfId="6642" xr:uid="{00000000-0005-0000-0000-0000F2280000}"/>
    <cellStyle name="Normal 60 2 2 2 2 3 2" xfId="15683" xr:uid="{00000000-0005-0000-0000-0000F3280000}"/>
    <cellStyle name="Normal 60 2 2 2 2 4" xfId="11170" xr:uid="{00000000-0005-0000-0000-0000F4280000}"/>
    <cellStyle name="Normal 60 2 2 2 3" xfId="3654" xr:uid="{00000000-0005-0000-0000-0000F5280000}"/>
    <cellStyle name="Normal 60 2 2 2 3 2" xfId="8169" xr:uid="{00000000-0005-0000-0000-0000F6280000}"/>
    <cellStyle name="Normal 60 2 2 2 3 2 2" xfId="17210" xr:uid="{00000000-0005-0000-0000-0000F7280000}"/>
    <cellStyle name="Normal 60 2 2 2 3 3" xfId="12697" xr:uid="{00000000-0005-0000-0000-0000F8280000}"/>
    <cellStyle name="Normal 60 2 2 2 4" xfId="5514" xr:uid="{00000000-0005-0000-0000-0000F9280000}"/>
    <cellStyle name="Normal 60 2 2 2 4 2" xfId="14555" xr:uid="{00000000-0005-0000-0000-0000FA280000}"/>
    <cellStyle name="Normal 60 2 2 2 5" xfId="10042" xr:uid="{00000000-0005-0000-0000-0000FB280000}"/>
    <cellStyle name="Normal 60 2 2 3" xfId="1555" xr:uid="{00000000-0005-0000-0000-0000FC280000}"/>
    <cellStyle name="Normal 60 2 2 3 2" xfId="3656" xr:uid="{00000000-0005-0000-0000-0000FD280000}"/>
    <cellStyle name="Normal 60 2 2 3 2 2" xfId="8171" xr:uid="{00000000-0005-0000-0000-0000FE280000}"/>
    <cellStyle name="Normal 60 2 2 3 2 2 2" xfId="17212" xr:uid="{00000000-0005-0000-0000-0000FF280000}"/>
    <cellStyle name="Normal 60 2 2 3 2 3" xfId="12699" xr:uid="{00000000-0005-0000-0000-000000290000}"/>
    <cellStyle name="Normal 60 2 2 3 3" xfId="6078" xr:uid="{00000000-0005-0000-0000-000001290000}"/>
    <cellStyle name="Normal 60 2 2 3 3 2" xfId="15119" xr:uid="{00000000-0005-0000-0000-000002290000}"/>
    <cellStyle name="Normal 60 2 2 3 4" xfId="10606" xr:uid="{00000000-0005-0000-0000-000003290000}"/>
    <cellStyle name="Normal 60 2 2 4" xfId="3653" xr:uid="{00000000-0005-0000-0000-000004290000}"/>
    <cellStyle name="Normal 60 2 2 4 2" xfId="8168" xr:uid="{00000000-0005-0000-0000-000005290000}"/>
    <cellStyle name="Normal 60 2 2 4 2 2" xfId="17209" xr:uid="{00000000-0005-0000-0000-000006290000}"/>
    <cellStyle name="Normal 60 2 2 4 3" xfId="12696" xr:uid="{00000000-0005-0000-0000-000007290000}"/>
    <cellStyle name="Normal 60 2 2 5" xfId="4950" xr:uid="{00000000-0005-0000-0000-000008290000}"/>
    <cellStyle name="Normal 60 2 2 5 2" xfId="13991" xr:uid="{00000000-0005-0000-0000-000009290000}"/>
    <cellStyle name="Normal 60 2 2 6" xfId="9478" xr:uid="{00000000-0005-0000-0000-00000A290000}"/>
    <cellStyle name="Normal 60 2 3" xfId="573" xr:uid="{00000000-0005-0000-0000-00000B290000}"/>
    <cellStyle name="Normal 60 2 3 2" xfId="1137" xr:uid="{00000000-0005-0000-0000-00000C290000}"/>
    <cellStyle name="Normal 60 2 3 2 2" xfId="2307" xr:uid="{00000000-0005-0000-0000-00000D290000}"/>
    <cellStyle name="Normal 60 2 3 2 2 2" xfId="3659" xr:uid="{00000000-0005-0000-0000-00000E290000}"/>
    <cellStyle name="Normal 60 2 3 2 2 2 2" xfId="8174" xr:uid="{00000000-0005-0000-0000-00000F290000}"/>
    <cellStyle name="Normal 60 2 3 2 2 2 2 2" xfId="17215" xr:uid="{00000000-0005-0000-0000-000010290000}"/>
    <cellStyle name="Normal 60 2 3 2 2 2 3" xfId="12702" xr:uid="{00000000-0005-0000-0000-000011290000}"/>
    <cellStyle name="Normal 60 2 3 2 2 3" xfId="6830" xr:uid="{00000000-0005-0000-0000-000012290000}"/>
    <cellStyle name="Normal 60 2 3 2 2 3 2" xfId="15871" xr:uid="{00000000-0005-0000-0000-000013290000}"/>
    <cellStyle name="Normal 60 2 3 2 2 4" xfId="11358" xr:uid="{00000000-0005-0000-0000-000014290000}"/>
    <cellStyle name="Normal 60 2 3 2 3" xfId="3658" xr:uid="{00000000-0005-0000-0000-000015290000}"/>
    <cellStyle name="Normal 60 2 3 2 3 2" xfId="8173" xr:uid="{00000000-0005-0000-0000-000016290000}"/>
    <cellStyle name="Normal 60 2 3 2 3 2 2" xfId="17214" xr:uid="{00000000-0005-0000-0000-000017290000}"/>
    <cellStyle name="Normal 60 2 3 2 3 3" xfId="12701" xr:uid="{00000000-0005-0000-0000-000018290000}"/>
    <cellStyle name="Normal 60 2 3 2 4" xfId="5702" xr:uid="{00000000-0005-0000-0000-000019290000}"/>
    <cellStyle name="Normal 60 2 3 2 4 2" xfId="14743" xr:uid="{00000000-0005-0000-0000-00001A290000}"/>
    <cellStyle name="Normal 60 2 3 2 5" xfId="10230" xr:uid="{00000000-0005-0000-0000-00001B290000}"/>
    <cellStyle name="Normal 60 2 3 3" xfId="1743" xr:uid="{00000000-0005-0000-0000-00001C290000}"/>
    <cellStyle name="Normal 60 2 3 3 2" xfId="3660" xr:uid="{00000000-0005-0000-0000-00001D290000}"/>
    <cellStyle name="Normal 60 2 3 3 2 2" xfId="8175" xr:uid="{00000000-0005-0000-0000-00001E290000}"/>
    <cellStyle name="Normal 60 2 3 3 2 2 2" xfId="17216" xr:uid="{00000000-0005-0000-0000-00001F290000}"/>
    <cellStyle name="Normal 60 2 3 3 2 3" xfId="12703" xr:uid="{00000000-0005-0000-0000-000020290000}"/>
    <cellStyle name="Normal 60 2 3 3 3" xfId="6266" xr:uid="{00000000-0005-0000-0000-000021290000}"/>
    <cellStyle name="Normal 60 2 3 3 3 2" xfId="15307" xr:uid="{00000000-0005-0000-0000-000022290000}"/>
    <cellStyle name="Normal 60 2 3 3 4" xfId="10794" xr:uid="{00000000-0005-0000-0000-000023290000}"/>
    <cellStyle name="Normal 60 2 3 4" xfId="3657" xr:uid="{00000000-0005-0000-0000-000024290000}"/>
    <cellStyle name="Normal 60 2 3 4 2" xfId="8172" xr:uid="{00000000-0005-0000-0000-000025290000}"/>
    <cellStyle name="Normal 60 2 3 4 2 2" xfId="17213" xr:uid="{00000000-0005-0000-0000-000026290000}"/>
    <cellStyle name="Normal 60 2 3 4 3" xfId="12700" xr:uid="{00000000-0005-0000-0000-000027290000}"/>
    <cellStyle name="Normal 60 2 3 5" xfId="5138" xr:uid="{00000000-0005-0000-0000-000028290000}"/>
    <cellStyle name="Normal 60 2 3 5 2" xfId="14179" xr:uid="{00000000-0005-0000-0000-000029290000}"/>
    <cellStyle name="Normal 60 2 3 6" xfId="9666" xr:uid="{00000000-0005-0000-0000-00002A290000}"/>
    <cellStyle name="Normal 60 2 4" xfId="761" xr:uid="{00000000-0005-0000-0000-00002B290000}"/>
    <cellStyle name="Normal 60 2 4 2" xfId="1931" xr:uid="{00000000-0005-0000-0000-00002C290000}"/>
    <cellStyle name="Normal 60 2 4 2 2" xfId="3662" xr:uid="{00000000-0005-0000-0000-00002D290000}"/>
    <cellStyle name="Normal 60 2 4 2 2 2" xfId="8177" xr:uid="{00000000-0005-0000-0000-00002E290000}"/>
    <cellStyle name="Normal 60 2 4 2 2 2 2" xfId="17218" xr:uid="{00000000-0005-0000-0000-00002F290000}"/>
    <cellStyle name="Normal 60 2 4 2 2 3" xfId="12705" xr:uid="{00000000-0005-0000-0000-000030290000}"/>
    <cellStyle name="Normal 60 2 4 2 3" xfId="6454" xr:uid="{00000000-0005-0000-0000-000031290000}"/>
    <cellStyle name="Normal 60 2 4 2 3 2" xfId="15495" xr:uid="{00000000-0005-0000-0000-000032290000}"/>
    <cellStyle name="Normal 60 2 4 2 4" xfId="10982" xr:uid="{00000000-0005-0000-0000-000033290000}"/>
    <cellStyle name="Normal 60 2 4 3" xfId="3661" xr:uid="{00000000-0005-0000-0000-000034290000}"/>
    <cellStyle name="Normal 60 2 4 3 2" xfId="8176" xr:uid="{00000000-0005-0000-0000-000035290000}"/>
    <cellStyle name="Normal 60 2 4 3 2 2" xfId="17217" xr:uid="{00000000-0005-0000-0000-000036290000}"/>
    <cellStyle name="Normal 60 2 4 3 3" xfId="12704" xr:uid="{00000000-0005-0000-0000-000037290000}"/>
    <cellStyle name="Normal 60 2 4 4" xfId="5326" xr:uid="{00000000-0005-0000-0000-000038290000}"/>
    <cellStyle name="Normal 60 2 4 4 2" xfId="14367" xr:uid="{00000000-0005-0000-0000-000039290000}"/>
    <cellStyle name="Normal 60 2 4 5" xfId="9854" xr:uid="{00000000-0005-0000-0000-00003A290000}"/>
    <cellStyle name="Normal 60 2 5" xfId="1367" xr:uid="{00000000-0005-0000-0000-00003B290000}"/>
    <cellStyle name="Normal 60 2 5 2" xfId="3663" xr:uid="{00000000-0005-0000-0000-00003C290000}"/>
    <cellStyle name="Normal 60 2 5 2 2" xfId="8178" xr:uid="{00000000-0005-0000-0000-00003D290000}"/>
    <cellStyle name="Normal 60 2 5 2 2 2" xfId="17219" xr:uid="{00000000-0005-0000-0000-00003E290000}"/>
    <cellStyle name="Normal 60 2 5 2 3" xfId="12706" xr:uid="{00000000-0005-0000-0000-00003F290000}"/>
    <cellStyle name="Normal 60 2 5 3" xfId="5890" xr:uid="{00000000-0005-0000-0000-000040290000}"/>
    <cellStyle name="Normal 60 2 5 3 2" xfId="14931" xr:uid="{00000000-0005-0000-0000-000041290000}"/>
    <cellStyle name="Normal 60 2 5 4" xfId="10418" xr:uid="{00000000-0005-0000-0000-000042290000}"/>
    <cellStyle name="Normal 60 2 6" xfId="3652" xr:uid="{00000000-0005-0000-0000-000043290000}"/>
    <cellStyle name="Normal 60 2 6 2" xfId="8167" xr:uid="{00000000-0005-0000-0000-000044290000}"/>
    <cellStyle name="Normal 60 2 6 2 2" xfId="17208" xr:uid="{00000000-0005-0000-0000-000045290000}"/>
    <cellStyle name="Normal 60 2 6 3" xfId="12695" xr:uid="{00000000-0005-0000-0000-000046290000}"/>
    <cellStyle name="Normal 60 2 7" xfId="4762" xr:uid="{00000000-0005-0000-0000-000047290000}"/>
    <cellStyle name="Normal 60 2 7 2" xfId="13803" xr:uid="{00000000-0005-0000-0000-000048290000}"/>
    <cellStyle name="Normal 60 2 8" xfId="9290" xr:uid="{00000000-0005-0000-0000-000049290000}"/>
    <cellStyle name="Normal 60 3" xfId="291" xr:uid="{00000000-0005-0000-0000-00004A290000}"/>
    <cellStyle name="Normal 60 3 2" xfId="855" xr:uid="{00000000-0005-0000-0000-00004B290000}"/>
    <cellStyle name="Normal 60 3 2 2" xfId="2025" xr:uid="{00000000-0005-0000-0000-00004C290000}"/>
    <cellStyle name="Normal 60 3 2 2 2" xfId="3666" xr:uid="{00000000-0005-0000-0000-00004D290000}"/>
    <cellStyle name="Normal 60 3 2 2 2 2" xfId="8181" xr:uid="{00000000-0005-0000-0000-00004E290000}"/>
    <cellStyle name="Normal 60 3 2 2 2 2 2" xfId="17222" xr:uid="{00000000-0005-0000-0000-00004F290000}"/>
    <cellStyle name="Normal 60 3 2 2 2 3" xfId="12709" xr:uid="{00000000-0005-0000-0000-000050290000}"/>
    <cellStyle name="Normal 60 3 2 2 3" xfId="6548" xr:uid="{00000000-0005-0000-0000-000051290000}"/>
    <cellStyle name="Normal 60 3 2 2 3 2" xfId="15589" xr:uid="{00000000-0005-0000-0000-000052290000}"/>
    <cellStyle name="Normal 60 3 2 2 4" xfId="11076" xr:uid="{00000000-0005-0000-0000-000053290000}"/>
    <cellStyle name="Normal 60 3 2 3" xfId="3665" xr:uid="{00000000-0005-0000-0000-000054290000}"/>
    <cellStyle name="Normal 60 3 2 3 2" xfId="8180" xr:uid="{00000000-0005-0000-0000-000055290000}"/>
    <cellStyle name="Normal 60 3 2 3 2 2" xfId="17221" xr:uid="{00000000-0005-0000-0000-000056290000}"/>
    <cellStyle name="Normal 60 3 2 3 3" xfId="12708" xr:uid="{00000000-0005-0000-0000-000057290000}"/>
    <cellStyle name="Normal 60 3 2 4" xfId="5420" xr:uid="{00000000-0005-0000-0000-000058290000}"/>
    <cellStyle name="Normal 60 3 2 4 2" xfId="14461" xr:uid="{00000000-0005-0000-0000-000059290000}"/>
    <cellStyle name="Normal 60 3 2 5" xfId="9948" xr:uid="{00000000-0005-0000-0000-00005A290000}"/>
    <cellStyle name="Normal 60 3 3" xfId="1461" xr:uid="{00000000-0005-0000-0000-00005B290000}"/>
    <cellStyle name="Normal 60 3 3 2" xfId="3667" xr:uid="{00000000-0005-0000-0000-00005C290000}"/>
    <cellStyle name="Normal 60 3 3 2 2" xfId="8182" xr:uid="{00000000-0005-0000-0000-00005D290000}"/>
    <cellStyle name="Normal 60 3 3 2 2 2" xfId="17223" xr:uid="{00000000-0005-0000-0000-00005E290000}"/>
    <cellStyle name="Normal 60 3 3 2 3" xfId="12710" xr:uid="{00000000-0005-0000-0000-00005F290000}"/>
    <cellStyle name="Normal 60 3 3 3" xfId="5984" xr:uid="{00000000-0005-0000-0000-000060290000}"/>
    <cellStyle name="Normal 60 3 3 3 2" xfId="15025" xr:uid="{00000000-0005-0000-0000-000061290000}"/>
    <cellStyle name="Normal 60 3 3 4" xfId="10512" xr:uid="{00000000-0005-0000-0000-000062290000}"/>
    <cellStyle name="Normal 60 3 4" xfId="3664" xr:uid="{00000000-0005-0000-0000-000063290000}"/>
    <cellStyle name="Normal 60 3 4 2" xfId="8179" xr:uid="{00000000-0005-0000-0000-000064290000}"/>
    <cellStyle name="Normal 60 3 4 2 2" xfId="17220" xr:uid="{00000000-0005-0000-0000-000065290000}"/>
    <cellStyle name="Normal 60 3 4 3" xfId="12707" xr:uid="{00000000-0005-0000-0000-000066290000}"/>
    <cellStyle name="Normal 60 3 5" xfId="4856" xr:uid="{00000000-0005-0000-0000-000067290000}"/>
    <cellStyle name="Normal 60 3 5 2" xfId="13897" xr:uid="{00000000-0005-0000-0000-000068290000}"/>
    <cellStyle name="Normal 60 3 6" xfId="9384" xr:uid="{00000000-0005-0000-0000-000069290000}"/>
    <cellStyle name="Normal 60 4" xfId="479" xr:uid="{00000000-0005-0000-0000-00006A290000}"/>
    <cellStyle name="Normal 60 4 2" xfId="1043" xr:uid="{00000000-0005-0000-0000-00006B290000}"/>
    <cellStyle name="Normal 60 4 2 2" xfId="2213" xr:uid="{00000000-0005-0000-0000-00006C290000}"/>
    <cellStyle name="Normal 60 4 2 2 2" xfId="3670" xr:uid="{00000000-0005-0000-0000-00006D290000}"/>
    <cellStyle name="Normal 60 4 2 2 2 2" xfId="8185" xr:uid="{00000000-0005-0000-0000-00006E290000}"/>
    <cellStyle name="Normal 60 4 2 2 2 2 2" xfId="17226" xr:uid="{00000000-0005-0000-0000-00006F290000}"/>
    <cellStyle name="Normal 60 4 2 2 2 3" xfId="12713" xr:uid="{00000000-0005-0000-0000-000070290000}"/>
    <cellStyle name="Normal 60 4 2 2 3" xfId="6736" xr:uid="{00000000-0005-0000-0000-000071290000}"/>
    <cellStyle name="Normal 60 4 2 2 3 2" xfId="15777" xr:uid="{00000000-0005-0000-0000-000072290000}"/>
    <cellStyle name="Normal 60 4 2 2 4" xfId="11264" xr:uid="{00000000-0005-0000-0000-000073290000}"/>
    <cellStyle name="Normal 60 4 2 3" xfId="3669" xr:uid="{00000000-0005-0000-0000-000074290000}"/>
    <cellStyle name="Normal 60 4 2 3 2" xfId="8184" xr:uid="{00000000-0005-0000-0000-000075290000}"/>
    <cellStyle name="Normal 60 4 2 3 2 2" xfId="17225" xr:uid="{00000000-0005-0000-0000-000076290000}"/>
    <cellStyle name="Normal 60 4 2 3 3" xfId="12712" xr:uid="{00000000-0005-0000-0000-000077290000}"/>
    <cellStyle name="Normal 60 4 2 4" xfId="5608" xr:uid="{00000000-0005-0000-0000-000078290000}"/>
    <cellStyle name="Normal 60 4 2 4 2" xfId="14649" xr:uid="{00000000-0005-0000-0000-000079290000}"/>
    <cellStyle name="Normal 60 4 2 5" xfId="10136" xr:uid="{00000000-0005-0000-0000-00007A290000}"/>
    <cellStyle name="Normal 60 4 3" xfId="1649" xr:uid="{00000000-0005-0000-0000-00007B290000}"/>
    <cellStyle name="Normal 60 4 3 2" xfId="3671" xr:uid="{00000000-0005-0000-0000-00007C290000}"/>
    <cellStyle name="Normal 60 4 3 2 2" xfId="8186" xr:uid="{00000000-0005-0000-0000-00007D290000}"/>
    <cellStyle name="Normal 60 4 3 2 2 2" xfId="17227" xr:uid="{00000000-0005-0000-0000-00007E290000}"/>
    <cellStyle name="Normal 60 4 3 2 3" xfId="12714" xr:uid="{00000000-0005-0000-0000-00007F290000}"/>
    <cellStyle name="Normal 60 4 3 3" xfId="6172" xr:uid="{00000000-0005-0000-0000-000080290000}"/>
    <cellStyle name="Normal 60 4 3 3 2" xfId="15213" xr:uid="{00000000-0005-0000-0000-000081290000}"/>
    <cellStyle name="Normal 60 4 3 4" xfId="10700" xr:uid="{00000000-0005-0000-0000-000082290000}"/>
    <cellStyle name="Normal 60 4 4" xfId="3668" xr:uid="{00000000-0005-0000-0000-000083290000}"/>
    <cellStyle name="Normal 60 4 4 2" xfId="8183" xr:uid="{00000000-0005-0000-0000-000084290000}"/>
    <cellStyle name="Normal 60 4 4 2 2" xfId="17224" xr:uid="{00000000-0005-0000-0000-000085290000}"/>
    <cellStyle name="Normal 60 4 4 3" xfId="12711" xr:uid="{00000000-0005-0000-0000-000086290000}"/>
    <cellStyle name="Normal 60 4 5" xfId="5044" xr:uid="{00000000-0005-0000-0000-000087290000}"/>
    <cellStyle name="Normal 60 4 5 2" xfId="14085" xr:uid="{00000000-0005-0000-0000-000088290000}"/>
    <cellStyle name="Normal 60 4 6" xfId="9572" xr:uid="{00000000-0005-0000-0000-000089290000}"/>
    <cellStyle name="Normal 60 5" xfId="667" xr:uid="{00000000-0005-0000-0000-00008A290000}"/>
    <cellStyle name="Normal 60 5 2" xfId="1837" xr:uid="{00000000-0005-0000-0000-00008B290000}"/>
    <cellStyle name="Normal 60 5 2 2" xfId="3673" xr:uid="{00000000-0005-0000-0000-00008C290000}"/>
    <cellStyle name="Normal 60 5 2 2 2" xfId="8188" xr:uid="{00000000-0005-0000-0000-00008D290000}"/>
    <cellStyle name="Normal 60 5 2 2 2 2" xfId="17229" xr:uid="{00000000-0005-0000-0000-00008E290000}"/>
    <cellStyle name="Normal 60 5 2 2 3" xfId="12716" xr:uid="{00000000-0005-0000-0000-00008F290000}"/>
    <cellStyle name="Normal 60 5 2 3" xfId="6360" xr:uid="{00000000-0005-0000-0000-000090290000}"/>
    <cellStyle name="Normal 60 5 2 3 2" xfId="15401" xr:uid="{00000000-0005-0000-0000-000091290000}"/>
    <cellStyle name="Normal 60 5 2 4" xfId="10888" xr:uid="{00000000-0005-0000-0000-000092290000}"/>
    <cellStyle name="Normal 60 5 3" xfId="3672" xr:uid="{00000000-0005-0000-0000-000093290000}"/>
    <cellStyle name="Normal 60 5 3 2" xfId="8187" xr:uid="{00000000-0005-0000-0000-000094290000}"/>
    <cellStyle name="Normal 60 5 3 2 2" xfId="17228" xr:uid="{00000000-0005-0000-0000-000095290000}"/>
    <cellStyle name="Normal 60 5 3 3" xfId="12715" xr:uid="{00000000-0005-0000-0000-000096290000}"/>
    <cellStyle name="Normal 60 5 4" xfId="5232" xr:uid="{00000000-0005-0000-0000-000097290000}"/>
    <cellStyle name="Normal 60 5 4 2" xfId="14273" xr:uid="{00000000-0005-0000-0000-000098290000}"/>
    <cellStyle name="Normal 60 5 5" xfId="9760" xr:uid="{00000000-0005-0000-0000-000099290000}"/>
    <cellStyle name="Normal 60 6" xfId="1273" xr:uid="{00000000-0005-0000-0000-00009A290000}"/>
    <cellStyle name="Normal 60 6 2" xfId="3674" xr:uid="{00000000-0005-0000-0000-00009B290000}"/>
    <cellStyle name="Normal 60 6 2 2" xfId="8189" xr:uid="{00000000-0005-0000-0000-00009C290000}"/>
    <cellStyle name="Normal 60 6 2 2 2" xfId="17230" xr:uid="{00000000-0005-0000-0000-00009D290000}"/>
    <cellStyle name="Normal 60 6 2 3" xfId="12717" xr:uid="{00000000-0005-0000-0000-00009E290000}"/>
    <cellStyle name="Normal 60 6 3" xfId="5796" xr:uid="{00000000-0005-0000-0000-00009F290000}"/>
    <cellStyle name="Normal 60 6 3 2" xfId="14837" xr:uid="{00000000-0005-0000-0000-0000A0290000}"/>
    <cellStyle name="Normal 60 6 4" xfId="10324" xr:uid="{00000000-0005-0000-0000-0000A1290000}"/>
    <cellStyle name="Normal 60 7" xfId="3651" xr:uid="{00000000-0005-0000-0000-0000A2290000}"/>
    <cellStyle name="Normal 60 7 2" xfId="8166" xr:uid="{00000000-0005-0000-0000-0000A3290000}"/>
    <cellStyle name="Normal 60 7 2 2" xfId="17207" xr:uid="{00000000-0005-0000-0000-0000A4290000}"/>
    <cellStyle name="Normal 60 7 3" xfId="12694" xr:uid="{00000000-0005-0000-0000-0000A5290000}"/>
    <cellStyle name="Normal 60 8" xfId="4668" xr:uid="{00000000-0005-0000-0000-0000A6290000}"/>
    <cellStyle name="Normal 60 8 2" xfId="13709" xr:uid="{00000000-0005-0000-0000-0000A7290000}"/>
    <cellStyle name="Normal 60 9" xfId="9196" xr:uid="{00000000-0005-0000-0000-0000A8290000}"/>
    <cellStyle name="Normal 61" xfId="61" xr:uid="{00000000-0005-0000-0000-0000A9290000}"/>
    <cellStyle name="Normal 61 2" xfId="157" xr:uid="{00000000-0005-0000-0000-0000AA290000}"/>
    <cellStyle name="Normal 61 2 2" xfId="386" xr:uid="{00000000-0005-0000-0000-0000AB290000}"/>
    <cellStyle name="Normal 61 2 2 2" xfId="950" xr:uid="{00000000-0005-0000-0000-0000AC290000}"/>
    <cellStyle name="Normal 61 2 2 2 2" xfId="2120" xr:uid="{00000000-0005-0000-0000-0000AD290000}"/>
    <cellStyle name="Normal 61 2 2 2 2 2" xfId="3679" xr:uid="{00000000-0005-0000-0000-0000AE290000}"/>
    <cellStyle name="Normal 61 2 2 2 2 2 2" xfId="8194" xr:uid="{00000000-0005-0000-0000-0000AF290000}"/>
    <cellStyle name="Normal 61 2 2 2 2 2 2 2" xfId="17235" xr:uid="{00000000-0005-0000-0000-0000B0290000}"/>
    <cellStyle name="Normal 61 2 2 2 2 2 3" xfId="12722" xr:uid="{00000000-0005-0000-0000-0000B1290000}"/>
    <cellStyle name="Normal 61 2 2 2 2 3" xfId="6643" xr:uid="{00000000-0005-0000-0000-0000B2290000}"/>
    <cellStyle name="Normal 61 2 2 2 2 3 2" xfId="15684" xr:uid="{00000000-0005-0000-0000-0000B3290000}"/>
    <cellStyle name="Normal 61 2 2 2 2 4" xfId="11171" xr:uid="{00000000-0005-0000-0000-0000B4290000}"/>
    <cellStyle name="Normal 61 2 2 2 3" xfId="3678" xr:uid="{00000000-0005-0000-0000-0000B5290000}"/>
    <cellStyle name="Normal 61 2 2 2 3 2" xfId="8193" xr:uid="{00000000-0005-0000-0000-0000B6290000}"/>
    <cellStyle name="Normal 61 2 2 2 3 2 2" xfId="17234" xr:uid="{00000000-0005-0000-0000-0000B7290000}"/>
    <cellStyle name="Normal 61 2 2 2 3 3" xfId="12721" xr:uid="{00000000-0005-0000-0000-0000B8290000}"/>
    <cellStyle name="Normal 61 2 2 2 4" xfId="5515" xr:uid="{00000000-0005-0000-0000-0000B9290000}"/>
    <cellStyle name="Normal 61 2 2 2 4 2" xfId="14556" xr:uid="{00000000-0005-0000-0000-0000BA290000}"/>
    <cellStyle name="Normal 61 2 2 2 5" xfId="10043" xr:uid="{00000000-0005-0000-0000-0000BB290000}"/>
    <cellStyle name="Normal 61 2 2 3" xfId="1556" xr:uid="{00000000-0005-0000-0000-0000BC290000}"/>
    <cellStyle name="Normal 61 2 2 3 2" xfId="3680" xr:uid="{00000000-0005-0000-0000-0000BD290000}"/>
    <cellStyle name="Normal 61 2 2 3 2 2" xfId="8195" xr:uid="{00000000-0005-0000-0000-0000BE290000}"/>
    <cellStyle name="Normal 61 2 2 3 2 2 2" xfId="17236" xr:uid="{00000000-0005-0000-0000-0000BF290000}"/>
    <cellStyle name="Normal 61 2 2 3 2 3" xfId="12723" xr:uid="{00000000-0005-0000-0000-0000C0290000}"/>
    <cellStyle name="Normal 61 2 2 3 3" xfId="6079" xr:uid="{00000000-0005-0000-0000-0000C1290000}"/>
    <cellStyle name="Normal 61 2 2 3 3 2" xfId="15120" xr:uid="{00000000-0005-0000-0000-0000C2290000}"/>
    <cellStyle name="Normal 61 2 2 3 4" xfId="10607" xr:uid="{00000000-0005-0000-0000-0000C3290000}"/>
    <cellStyle name="Normal 61 2 2 4" xfId="3677" xr:uid="{00000000-0005-0000-0000-0000C4290000}"/>
    <cellStyle name="Normal 61 2 2 4 2" xfId="8192" xr:uid="{00000000-0005-0000-0000-0000C5290000}"/>
    <cellStyle name="Normal 61 2 2 4 2 2" xfId="17233" xr:uid="{00000000-0005-0000-0000-0000C6290000}"/>
    <cellStyle name="Normal 61 2 2 4 3" xfId="12720" xr:uid="{00000000-0005-0000-0000-0000C7290000}"/>
    <cellStyle name="Normal 61 2 2 5" xfId="4951" xr:uid="{00000000-0005-0000-0000-0000C8290000}"/>
    <cellStyle name="Normal 61 2 2 5 2" xfId="13992" xr:uid="{00000000-0005-0000-0000-0000C9290000}"/>
    <cellStyle name="Normal 61 2 2 6" xfId="9479" xr:uid="{00000000-0005-0000-0000-0000CA290000}"/>
    <cellStyle name="Normal 61 2 3" xfId="574" xr:uid="{00000000-0005-0000-0000-0000CB290000}"/>
    <cellStyle name="Normal 61 2 3 2" xfId="1138" xr:uid="{00000000-0005-0000-0000-0000CC290000}"/>
    <cellStyle name="Normal 61 2 3 2 2" xfId="2308" xr:uid="{00000000-0005-0000-0000-0000CD290000}"/>
    <cellStyle name="Normal 61 2 3 2 2 2" xfId="3683" xr:uid="{00000000-0005-0000-0000-0000CE290000}"/>
    <cellStyle name="Normal 61 2 3 2 2 2 2" xfId="8198" xr:uid="{00000000-0005-0000-0000-0000CF290000}"/>
    <cellStyle name="Normal 61 2 3 2 2 2 2 2" xfId="17239" xr:uid="{00000000-0005-0000-0000-0000D0290000}"/>
    <cellStyle name="Normal 61 2 3 2 2 2 3" xfId="12726" xr:uid="{00000000-0005-0000-0000-0000D1290000}"/>
    <cellStyle name="Normal 61 2 3 2 2 3" xfId="6831" xr:uid="{00000000-0005-0000-0000-0000D2290000}"/>
    <cellStyle name="Normal 61 2 3 2 2 3 2" xfId="15872" xr:uid="{00000000-0005-0000-0000-0000D3290000}"/>
    <cellStyle name="Normal 61 2 3 2 2 4" xfId="11359" xr:uid="{00000000-0005-0000-0000-0000D4290000}"/>
    <cellStyle name="Normal 61 2 3 2 3" xfId="3682" xr:uid="{00000000-0005-0000-0000-0000D5290000}"/>
    <cellStyle name="Normal 61 2 3 2 3 2" xfId="8197" xr:uid="{00000000-0005-0000-0000-0000D6290000}"/>
    <cellStyle name="Normal 61 2 3 2 3 2 2" xfId="17238" xr:uid="{00000000-0005-0000-0000-0000D7290000}"/>
    <cellStyle name="Normal 61 2 3 2 3 3" xfId="12725" xr:uid="{00000000-0005-0000-0000-0000D8290000}"/>
    <cellStyle name="Normal 61 2 3 2 4" xfId="5703" xr:uid="{00000000-0005-0000-0000-0000D9290000}"/>
    <cellStyle name="Normal 61 2 3 2 4 2" xfId="14744" xr:uid="{00000000-0005-0000-0000-0000DA290000}"/>
    <cellStyle name="Normal 61 2 3 2 5" xfId="10231" xr:uid="{00000000-0005-0000-0000-0000DB290000}"/>
    <cellStyle name="Normal 61 2 3 3" xfId="1744" xr:uid="{00000000-0005-0000-0000-0000DC290000}"/>
    <cellStyle name="Normal 61 2 3 3 2" xfId="3684" xr:uid="{00000000-0005-0000-0000-0000DD290000}"/>
    <cellStyle name="Normal 61 2 3 3 2 2" xfId="8199" xr:uid="{00000000-0005-0000-0000-0000DE290000}"/>
    <cellStyle name="Normal 61 2 3 3 2 2 2" xfId="17240" xr:uid="{00000000-0005-0000-0000-0000DF290000}"/>
    <cellStyle name="Normal 61 2 3 3 2 3" xfId="12727" xr:uid="{00000000-0005-0000-0000-0000E0290000}"/>
    <cellStyle name="Normal 61 2 3 3 3" xfId="6267" xr:uid="{00000000-0005-0000-0000-0000E1290000}"/>
    <cellStyle name="Normal 61 2 3 3 3 2" xfId="15308" xr:uid="{00000000-0005-0000-0000-0000E2290000}"/>
    <cellStyle name="Normal 61 2 3 3 4" xfId="10795" xr:uid="{00000000-0005-0000-0000-0000E3290000}"/>
    <cellStyle name="Normal 61 2 3 4" xfId="3681" xr:uid="{00000000-0005-0000-0000-0000E4290000}"/>
    <cellStyle name="Normal 61 2 3 4 2" xfId="8196" xr:uid="{00000000-0005-0000-0000-0000E5290000}"/>
    <cellStyle name="Normal 61 2 3 4 2 2" xfId="17237" xr:uid="{00000000-0005-0000-0000-0000E6290000}"/>
    <cellStyle name="Normal 61 2 3 4 3" xfId="12724" xr:uid="{00000000-0005-0000-0000-0000E7290000}"/>
    <cellStyle name="Normal 61 2 3 5" xfId="5139" xr:uid="{00000000-0005-0000-0000-0000E8290000}"/>
    <cellStyle name="Normal 61 2 3 5 2" xfId="14180" xr:uid="{00000000-0005-0000-0000-0000E9290000}"/>
    <cellStyle name="Normal 61 2 3 6" xfId="9667" xr:uid="{00000000-0005-0000-0000-0000EA290000}"/>
    <cellStyle name="Normal 61 2 4" xfId="762" xr:uid="{00000000-0005-0000-0000-0000EB290000}"/>
    <cellStyle name="Normal 61 2 4 2" xfId="1932" xr:uid="{00000000-0005-0000-0000-0000EC290000}"/>
    <cellStyle name="Normal 61 2 4 2 2" xfId="3686" xr:uid="{00000000-0005-0000-0000-0000ED290000}"/>
    <cellStyle name="Normal 61 2 4 2 2 2" xfId="8201" xr:uid="{00000000-0005-0000-0000-0000EE290000}"/>
    <cellStyle name="Normal 61 2 4 2 2 2 2" xfId="17242" xr:uid="{00000000-0005-0000-0000-0000EF290000}"/>
    <cellStyle name="Normal 61 2 4 2 2 3" xfId="12729" xr:uid="{00000000-0005-0000-0000-0000F0290000}"/>
    <cellStyle name="Normal 61 2 4 2 3" xfId="6455" xr:uid="{00000000-0005-0000-0000-0000F1290000}"/>
    <cellStyle name="Normal 61 2 4 2 3 2" xfId="15496" xr:uid="{00000000-0005-0000-0000-0000F2290000}"/>
    <cellStyle name="Normal 61 2 4 2 4" xfId="10983" xr:uid="{00000000-0005-0000-0000-0000F3290000}"/>
    <cellStyle name="Normal 61 2 4 3" xfId="3685" xr:uid="{00000000-0005-0000-0000-0000F4290000}"/>
    <cellStyle name="Normal 61 2 4 3 2" xfId="8200" xr:uid="{00000000-0005-0000-0000-0000F5290000}"/>
    <cellStyle name="Normal 61 2 4 3 2 2" xfId="17241" xr:uid="{00000000-0005-0000-0000-0000F6290000}"/>
    <cellStyle name="Normal 61 2 4 3 3" xfId="12728" xr:uid="{00000000-0005-0000-0000-0000F7290000}"/>
    <cellStyle name="Normal 61 2 4 4" xfId="5327" xr:uid="{00000000-0005-0000-0000-0000F8290000}"/>
    <cellStyle name="Normal 61 2 4 4 2" xfId="14368" xr:uid="{00000000-0005-0000-0000-0000F9290000}"/>
    <cellStyle name="Normal 61 2 4 5" xfId="9855" xr:uid="{00000000-0005-0000-0000-0000FA290000}"/>
    <cellStyle name="Normal 61 2 5" xfId="1368" xr:uid="{00000000-0005-0000-0000-0000FB290000}"/>
    <cellStyle name="Normal 61 2 5 2" xfId="3687" xr:uid="{00000000-0005-0000-0000-0000FC290000}"/>
    <cellStyle name="Normal 61 2 5 2 2" xfId="8202" xr:uid="{00000000-0005-0000-0000-0000FD290000}"/>
    <cellStyle name="Normal 61 2 5 2 2 2" xfId="17243" xr:uid="{00000000-0005-0000-0000-0000FE290000}"/>
    <cellStyle name="Normal 61 2 5 2 3" xfId="12730" xr:uid="{00000000-0005-0000-0000-0000FF290000}"/>
    <cellStyle name="Normal 61 2 5 3" xfId="5891" xr:uid="{00000000-0005-0000-0000-0000002A0000}"/>
    <cellStyle name="Normal 61 2 5 3 2" xfId="14932" xr:uid="{00000000-0005-0000-0000-0000012A0000}"/>
    <cellStyle name="Normal 61 2 5 4" xfId="10419" xr:uid="{00000000-0005-0000-0000-0000022A0000}"/>
    <cellStyle name="Normal 61 2 6" xfId="3676" xr:uid="{00000000-0005-0000-0000-0000032A0000}"/>
    <cellStyle name="Normal 61 2 6 2" xfId="8191" xr:uid="{00000000-0005-0000-0000-0000042A0000}"/>
    <cellStyle name="Normal 61 2 6 2 2" xfId="17232" xr:uid="{00000000-0005-0000-0000-0000052A0000}"/>
    <cellStyle name="Normal 61 2 6 3" xfId="12719" xr:uid="{00000000-0005-0000-0000-0000062A0000}"/>
    <cellStyle name="Normal 61 2 7" xfId="4763" xr:uid="{00000000-0005-0000-0000-0000072A0000}"/>
    <cellStyle name="Normal 61 2 7 2" xfId="13804" xr:uid="{00000000-0005-0000-0000-0000082A0000}"/>
    <cellStyle name="Normal 61 2 8" xfId="9291" xr:uid="{00000000-0005-0000-0000-0000092A0000}"/>
    <cellStyle name="Normal 61 3" xfId="292" xr:uid="{00000000-0005-0000-0000-00000A2A0000}"/>
    <cellStyle name="Normal 61 3 2" xfId="856" xr:uid="{00000000-0005-0000-0000-00000B2A0000}"/>
    <cellStyle name="Normal 61 3 2 2" xfId="2026" xr:uid="{00000000-0005-0000-0000-00000C2A0000}"/>
    <cellStyle name="Normal 61 3 2 2 2" xfId="3690" xr:uid="{00000000-0005-0000-0000-00000D2A0000}"/>
    <cellStyle name="Normal 61 3 2 2 2 2" xfId="8205" xr:uid="{00000000-0005-0000-0000-00000E2A0000}"/>
    <cellStyle name="Normal 61 3 2 2 2 2 2" xfId="17246" xr:uid="{00000000-0005-0000-0000-00000F2A0000}"/>
    <cellStyle name="Normal 61 3 2 2 2 3" xfId="12733" xr:uid="{00000000-0005-0000-0000-0000102A0000}"/>
    <cellStyle name="Normal 61 3 2 2 3" xfId="6549" xr:uid="{00000000-0005-0000-0000-0000112A0000}"/>
    <cellStyle name="Normal 61 3 2 2 3 2" xfId="15590" xr:uid="{00000000-0005-0000-0000-0000122A0000}"/>
    <cellStyle name="Normal 61 3 2 2 4" xfId="11077" xr:uid="{00000000-0005-0000-0000-0000132A0000}"/>
    <cellStyle name="Normal 61 3 2 3" xfId="3689" xr:uid="{00000000-0005-0000-0000-0000142A0000}"/>
    <cellStyle name="Normal 61 3 2 3 2" xfId="8204" xr:uid="{00000000-0005-0000-0000-0000152A0000}"/>
    <cellStyle name="Normal 61 3 2 3 2 2" xfId="17245" xr:uid="{00000000-0005-0000-0000-0000162A0000}"/>
    <cellStyle name="Normal 61 3 2 3 3" xfId="12732" xr:uid="{00000000-0005-0000-0000-0000172A0000}"/>
    <cellStyle name="Normal 61 3 2 4" xfId="5421" xr:uid="{00000000-0005-0000-0000-0000182A0000}"/>
    <cellStyle name="Normal 61 3 2 4 2" xfId="14462" xr:uid="{00000000-0005-0000-0000-0000192A0000}"/>
    <cellStyle name="Normal 61 3 2 5" xfId="9949" xr:uid="{00000000-0005-0000-0000-00001A2A0000}"/>
    <cellStyle name="Normal 61 3 3" xfId="1462" xr:uid="{00000000-0005-0000-0000-00001B2A0000}"/>
    <cellStyle name="Normal 61 3 3 2" xfId="3691" xr:uid="{00000000-0005-0000-0000-00001C2A0000}"/>
    <cellStyle name="Normal 61 3 3 2 2" xfId="8206" xr:uid="{00000000-0005-0000-0000-00001D2A0000}"/>
    <cellStyle name="Normal 61 3 3 2 2 2" xfId="17247" xr:uid="{00000000-0005-0000-0000-00001E2A0000}"/>
    <cellStyle name="Normal 61 3 3 2 3" xfId="12734" xr:uid="{00000000-0005-0000-0000-00001F2A0000}"/>
    <cellStyle name="Normal 61 3 3 3" xfId="5985" xr:uid="{00000000-0005-0000-0000-0000202A0000}"/>
    <cellStyle name="Normal 61 3 3 3 2" xfId="15026" xr:uid="{00000000-0005-0000-0000-0000212A0000}"/>
    <cellStyle name="Normal 61 3 3 4" xfId="10513" xr:uid="{00000000-0005-0000-0000-0000222A0000}"/>
    <cellStyle name="Normal 61 3 4" xfId="3688" xr:uid="{00000000-0005-0000-0000-0000232A0000}"/>
    <cellStyle name="Normal 61 3 4 2" xfId="8203" xr:uid="{00000000-0005-0000-0000-0000242A0000}"/>
    <cellStyle name="Normal 61 3 4 2 2" xfId="17244" xr:uid="{00000000-0005-0000-0000-0000252A0000}"/>
    <cellStyle name="Normal 61 3 4 3" xfId="12731" xr:uid="{00000000-0005-0000-0000-0000262A0000}"/>
    <cellStyle name="Normal 61 3 5" xfId="4857" xr:uid="{00000000-0005-0000-0000-0000272A0000}"/>
    <cellStyle name="Normal 61 3 5 2" xfId="13898" xr:uid="{00000000-0005-0000-0000-0000282A0000}"/>
    <cellStyle name="Normal 61 3 6" xfId="9385" xr:uid="{00000000-0005-0000-0000-0000292A0000}"/>
    <cellStyle name="Normal 61 4" xfId="480" xr:uid="{00000000-0005-0000-0000-00002A2A0000}"/>
    <cellStyle name="Normal 61 4 2" xfId="1044" xr:uid="{00000000-0005-0000-0000-00002B2A0000}"/>
    <cellStyle name="Normal 61 4 2 2" xfId="2214" xr:uid="{00000000-0005-0000-0000-00002C2A0000}"/>
    <cellStyle name="Normal 61 4 2 2 2" xfId="3694" xr:uid="{00000000-0005-0000-0000-00002D2A0000}"/>
    <cellStyle name="Normal 61 4 2 2 2 2" xfId="8209" xr:uid="{00000000-0005-0000-0000-00002E2A0000}"/>
    <cellStyle name="Normal 61 4 2 2 2 2 2" xfId="17250" xr:uid="{00000000-0005-0000-0000-00002F2A0000}"/>
    <cellStyle name="Normal 61 4 2 2 2 3" xfId="12737" xr:uid="{00000000-0005-0000-0000-0000302A0000}"/>
    <cellStyle name="Normal 61 4 2 2 3" xfId="6737" xr:uid="{00000000-0005-0000-0000-0000312A0000}"/>
    <cellStyle name="Normal 61 4 2 2 3 2" xfId="15778" xr:uid="{00000000-0005-0000-0000-0000322A0000}"/>
    <cellStyle name="Normal 61 4 2 2 4" xfId="11265" xr:uid="{00000000-0005-0000-0000-0000332A0000}"/>
    <cellStyle name="Normal 61 4 2 3" xfId="3693" xr:uid="{00000000-0005-0000-0000-0000342A0000}"/>
    <cellStyle name="Normal 61 4 2 3 2" xfId="8208" xr:uid="{00000000-0005-0000-0000-0000352A0000}"/>
    <cellStyle name="Normal 61 4 2 3 2 2" xfId="17249" xr:uid="{00000000-0005-0000-0000-0000362A0000}"/>
    <cellStyle name="Normal 61 4 2 3 3" xfId="12736" xr:uid="{00000000-0005-0000-0000-0000372A0000}"/>
    <cellStyle name="Normal 61 4 2 4" xfId="5609" xr:uid="{00000000-0005-0000-0000-0000382A0000}"/>
    <cellStyle name="Normal 61 4 2 4 2" xfId="14650" xr:uid="{00000000-0005-0000-0000-0000392A0000}"/>
    <cellStyle name="Normal 61 4 2 5" xfId="10137" xr:uid="{00000000-0005-0000-0000-00003A2A0000}"/>
    <cellStyle name="Normal 61 4 3" xfId="1650" xr:uid="{00000000-0005-0000-0000-00003B2A0000}"/>
    <cellStyle name="Normal 61 4 3 2" xfId="3695" xr:uid="{00000000-0005-0000-0000-00003C2A0000}"/>
    <cellStyle name="Normal 61 4 3 2 2" xfId="8210" xr:uid="{00000000-0005-0000-0000-00003D2A0000}"/>
    <cellStyle name="Normal 61 4 3 2 2 2" xfId="17251" xr:uid="{00000000-0005-0000-0000-00003E2A0000}"/>
    <cellStyle name="Normal 61 4 3 2 3" xfId="12738" xr:uid="{00000000-0005-0000-0000-00003F2A0000}"/>
    <cellStyle name="Normal 61 4 3 3" xfId="6173" xr:uid="{00000000-0005-0000-0000-0000402A0000}"/>
    <cellStyle name="Normal 61 4 3 3 2" xfId="15214" xr:uid="{00000000-0005-0000-0000-0000412A0000}"/>
    <cellStyle name="Normal 61 4 3 4" xfId="10701" xr:uid="{00000000-0005-0000-0000-0000422A0000}"/>
    <cellStyle name="Normal 61 4 4" xfId="3692" xr:uid="{00000000-0005-0000-0000-0000432A0000}"/>
    <cellStyle name="Normal 61 4 4 2" xfId="8207" xr:uid="{00000000-0005-0000-0000-0000442A0000}"/>
    <cellStyle name="Normal 61 4 4 2 2" xfId="17248" xr:uid="{00000000-0005-0000-0000-0000452A0000}"/>
    <cellStyle name="Normal 61 4 4 3" xfId="12735" xr:uid="{00000000-0005-0000-0000-0000462A0000}"/>
    <cellStyle name="Normal 61 4 5" xfId="5045" xr:uid="{00000000-0005-0000-0000-0000472A0000}"/>
    <cellStyle name="Normal 61 4 5 2" xfId="14086" xr:uid="{00000000-0005-0000-0000-0000482A0000}"/>
    <cellStyle name="Normal 61 4 6" xfId="9573" xr:uid="{00000000-0005-0000-0000-0000492A0000}"/>
    <cellStyle name="Normal 61 5" xfId="668" xr:uid="{00000000-0005-0000-0000-00004A2A0000}"/>
    <cellStyle name="Normal 61 5 2" xfId="1838" xr:uid="{00000000-0005-0000-0000-00004B2A0000}"/>
    <cellStyle name="Normal 61 5 2 2" xfId="3697" xr:uid="{00000000-0005-0000-0000-00004C2A0000}"/>
    <cellStyle name="Normal 61 5 2 2 2" xfId="8212" xr:uid="{00000000-0005-0000-0000-00004D2A0000}"/>
    <cellStyle name="Normal 61 5 2 2 2 2" xfId="17253" xr:uid="{00000000-0005-0000-0000-00004E2A0000}"/>
    <cellStyle name="Normal 61 5 2 2 3" xfId="12740" xr:uid="{00000000-0005-0000-0000-00004F2A0000}"/>
    <cellStyle name="Normal 61 5 2 3" xfId="6361" xr:uid="{00000000-0005-0000-0000-0000502A0000}"/>
    <cellStyle name="Normal 61 5 2 3 2" xfId="15402" xr:uid="{00000000-0005-0000-0000-0000512A0000}"/>
    <cellStyle name="Normal 61 5 2 4" xfId="10889" xr:uid="{00000000-0005-0000-0000-0000522A0000}"/>
    <cellStyle name="Normal 61 5 3" xfId="3696" xr:uid="{00000000-0005-0000-0000-0000532A0000}"/>
    <cellStyle name="Normal 61 5 3 2" xfId="8211" xr:uid="{00000000-0005-0000-0000-0000542A0000}"/>
    <cellStyle name="Normal 61 5 3 2 2" xfId="17252" xr:uid="{00000000-0005-0000-0000-0000552A0000}"/>
    <cellStyle name="Normal 61 5 3 3" xfId="12739" xr:uid="{00000000-0005-0000-0000-0000562A0000}"/>
    <cellStyle name="Normal 61 5 4" xfId="5233" xr:uid="{00000000-0005-0000-0000-0000572A0000}"/>
    <cellStyle name="Normal 61 5 4 2" xfId="14274" xr:uid="{00000000-0005-0000-0000-0000582A0000}"/>
    <cellStyle name="Normal 61 5 5" xfId="9761" xr:uid="{00000000-0005-0000-0000-0000592A0000}"/>
    <cellStyle name="Normal 61 6" xfId="1274" xr:uid="{00000000-0005-0000-0000-00005A2A0000}"/>
    <cellStyle name="Normal 61 6 2" xfId="3698" xr:uid="{00000000-0005-0000-0000-00005B2A0000}"/>
    <cellStyle name="Normal 61 6 2 2" xfId="8213" xr:uid="{00000000-0005-0000-0000-00005C2A0000}"/>
    <cellStyle name="Normal 61 6 2 2 2" xfId="17254" xr:uid="{00000000-0005-0000-0000-00005D2A0000}"/>
    <cellStyle name="Normal 61 6 2 3" xfId="12741" xr:uid="{00000000-0005-0000-0000-00005E2A0000}"/>
    <cellStyle name="Normal 61 6 3" xfId="5797" xr:uid="{00000000-0005-0000-0000-00005F2A0000}"/>
    <cellStyle name="Normal 61 6 3 2" xfId="14838" xr:uid="{00000000-0005-0000-0000-0000602A0000}"/>
    <cellStyle name="Normal 61 6 4" xfId="10325" xr:uid="{00000000-0005-0000-0000-0000612A0000}"/>
    <cellStyle name="Normal 61 7" xfId="3675" xr:uid="{00000000-0005-0000-0000-0000622A0000}"/>
    <cellStyle name="Normal 61 7 2" xfId="8190" xr:uid="{00000000-0005-0000-0000-0000632A0000}"/>
    <cellStyle name="Normal 61 7 2 2" xfId="17231" xr:uid="{00000000-0005-0000-0000-0000642A0000}"/>
    <cellStyle name="Normal 61 7 3" xfId="12718" xr:uid="{00000000-0005-0000-0000-0000652A0000}"/>
    <cellStyle name="Normal 61 8" xfId="4669" xr:uid="{00000000-0005-0000-0000-0000662A0000}"/>
    <cellStyle name="Normal 61 8 2" xfId="13710" xr:uid="{00000000-0005-0000-0000-0000672A0000}"/>
    <cellStyle name="Normal 61 9" xfId="9197" xr:uid="{00000000-0005-0000-0000-0000682A0000}"/>
    <cellStyle name="Normal 62" xfId="62" xr:uid="{00000000-0005-0000-0000-0000692A0000}"/>
    <cellStyle name="Normal 62 2" xfId="158" xr:uid="{00000000-0005-0000-0000-00006A2A0000}"/>
    <cellStyle name="Normal 62 2 2" xfId="387" xr:uid="{00000000-0005-0000-0000-00006B2A0000}"/>
    <cellStyle name="Normal 62 2 2 2" xfId="951" xr:uid="{00000000-0005-0000-0000-00006C2A0000}"/>
    <cellStyle name="Normal 62 2 2 2 2" xfId="2121" xr:uid="{00000000-0005-0000-0000-00006D2A0000}"/>
    <cellStyle name="Normal 62 2 2 2 2 2" xfId="3703" xr:uid="{00000000-0005-0000-0000-00006E2A0000}"/>
    <cellStyle name="Normal 62 2 2 2 2 2 2" xfId="8218" xr:uid="{00000000-0005-0000-0000-00006F2A0000}"/>
    <cellStyle name="Normal 62 2 2 2 2 2 2 2" xfId="17259" xr:uid="{00000000-0005-0000-0000-0000702A0000}"/>
    <cellStyle name="Normal 62 2 2 2 2 2 3" xfId="12746" xr:uid="{00000000-0005-0000-0000-0000712A0000}"/>
    <cellStyle name="Normal 62 2 2 2 2 3" xfId="6644" xr:uid="{00000000-0005-0000-0000-0000722A0000}"/>
    <cellStyle name="Normal 62 2 2 2 2 3 2" xfId="15685" xr:uid="{00000000-0005-0000-0000-0000732A0000}"/>
    <cellStyle name="Normal 62 2 2 2 2 4" xfId="11172" xr:uid="{00000000-0005-0000-0000-0000742A0000}"/>
    <cellStyle name="Normal 62 2 2 2 3" xfId="3702" xr:uid="{00000000-0005-0000-0000-0000752A0000}"/>
    <cellStyle name="Normal 62 2 2 2 3 2" xfId="8217" xr:uid="{00000000-0005-0000-0000-0000762A0000}"/>
    <cellStyle name="Normal 62 2 2 2 3 2 2" xfId="17258" xr:uid="{00000000-0005-0000-0000-0000772A0000}"/>
    <cellStyle name="Normal 62 2 2 2 3 3" xfId="12745" xr:uid="{00000000-0005-0000-0000-0000782A0000}"/>
    <cellStyle name="Normal 62 2 2 2 4" xfId="5516" xr:uid="{00000000-0005-0000-0000-0000792A0000}"/>
    <cellStyle name="Normal 62 2 2 2 4 2" xfId="14557" xr:uid="{00000000-0005-0000-0000-00007A2A0000}"/>
    <cellStyle name="Normal 62 2 2 2 5" xfId="10044" xr:uid="{00000000-0005-0000-0000-00007B2A0000}"/>
    <cellStyle name="Normal 62 2 2 3" xfId="1557" xr:uid="{00000000-0005-0000-0000-00007C2A0000}"/>
    <cellStyle name="Normal 62 2 2 3 2" xfId="3704" xr:uid="{00000000-0005-0000-0000-00007D2A0000}"/>
    <cellStyle name="Normal 62 2 2 3 2 2" xfId="8219" xr:uid="{00000000-0005-0000-0000-00007E2A0000}"/>
    <cellStyle name="Normal 62 2 2 3 2 2 2" xfId="17260" xr:uid="{00000000-0005-0000-0000-00007F2A0000}"/>
    <cellStyle name="Normal 62 2 2 3 2 3" xfId="12747" xr:uid="{00000000-0005-0000-0000-0000802A0000}"/>
    <cellStyle name="Normal 62 2 2 3 3" xfId="6080" xr:uid="{00000000-0005-0000-0000-0000812A0000}"/>
    <cellStyle name="Normal 62 2 2 3 3 2" xfId="15121" xr:uid="{00000000-0005-0000-0000-0000822A0000}"/>
    <cellStyle name="Normal 62 2 2 3 4" xfId="10608" xr:uid="{00000000-0005-0000-0000-0000832A0000}"/>
    <cellStyle name="Normal 62 2 2 4" xfId="3701" xr:uid="{00000000-0005-0000-0000-0000842A0000}"/>
    <cellStyle name="Normal 62 2 2 4 2" xfId="8216" xr:uid="{00000000-0005-0000-0000-0000852A0000}"/>
    <cellStyle name="Normal 62 2 2 4 2 2" xfId="17257" xr:uid="{00000000-0005-0000-0000-0000862A0000}"/>
    <cellStyle name="Normal 62 2 2 4 3" xfId="12744" xr:uid="{00000000-0005-0000-0000-0000872A0000}"/>
    <cellStyle name="Normal 62 2 2 5" xfId="4952" xr:uid="{00000000-0005-0000-0000-0000882A0000}"/>
    <cellStyle name="Normal 62 2 2 5 2" xfId="13993" xr:uid="{00000000-0005-0000-0000-0000892A0000}"/>
    <cellStyle name="Normal 62 2 2 6" xfId="9480" xr:uid="{00000000-0005-0000-0000-00008A2A0000}"/>
    <cellStyle name="Normal 62 2 3" xfId="575" xr:uid="{00000000-0005-0000-0000-00008B2A0000}"/>
    <cellStyle name="Normal 62 2 3 2" xfId="1139" xr:uid="{00000000-0005-0000-0000-00008C2A0000}"/>
    <cellStyle name="Normal 62 2 3 2 2" xfId="2309" xr:uid="{00000000-0005-0000-0000-00008D2A0000}"/>
    <cellStyle name="Normal 62 2 3 2 2 2" xfId="3707" xr:uid="{00000000-0005-0000-0000-00008E2A0000}"/>
    <cellStyle name="Normal 62 2 3 2 2 2 2" xfId="8222" xr:uid="{00000000-0005-0000-0000-00008F2A0000}"/>
    <cellStyle name="Normal 62 2 3 2 2 2 2 2" xfId="17263" xr:uid="{00000000-0005-0000-0000-0000902A0000}"/>
    <cellStyle name="Normal 62 2 3 2 2 2 3" xfId="12750" xr:uid="{00000000-0005-0000-0000-0000912A0000}"/>
    <cellStyle name="Normal 62 2 3 2 2 3" xfId="6832" xr:uid="{00000000-0005-0000-0000-0000922A0000}"/>
    <cellStyle name="Normal 62 2 3 2 2 3 2" xfId="15873" xr:uid="{00000000-0005-0000-0000-0000932A0000}"/>
    <cellStyle name="Normal 62 2 3 2 2 4" xfId="11360" xr:uid="{00000000-0005-0000-0000-0000942A0000}"/>
    <cellStyle name="Normal 62 2 3 2 3" xfId="3706" xr:uid="{00000000-0005-0000-0000-0000952A0000}"/>
    <cellStyle name="Normal 62 2 3 2 3 2" xfId="8221" xr:uid="{00000000-0005-0000-0000-0000962A0000}"/>
    <cellStyle name="Normal 62 2 3 2 3 2 2" xfId="17262" xr:uid="{00000000-0005-0000-0000-0000972A0000}"/>
    <cellStyle name="Normal 62 2 3 2 3 3" xfId="12749" xr:uid="{00000000-0005-0000-0000-0000982A0000}"/>
    <cellStyle name="Normal 62 2 3 2 4" xfId="5704" xr:uid="{00000000-0005-0000-0000-0000992A0000}"/>
    <cellStyle name="Normal 62 2 3 2 4 2" xfId="14745" xr:uid="{00000000-0005-0000-0000-00009A2A0000}"/>
    <cellStyle name="Normal 62 2 3 2 5" xfId="10232" xr:uid="{00000000-0005-0000-0000-00009B2A0000}"/>
    <cellStyle name="Normal 62 2 3 3" xfId="1745" xr:uid="{00000000-0005-0000-0000-00009C2A0000}"/>
    <cellStyle name="Normal 62 2 3 3 2" xfId="3708" xr:uid="{00000000-0005-0000-0000-00009D2A0000}"/>
    <cellStyle name="Normal 62 2 3 3 2 2" xfId="8223" xr:uid="{00000000-0005-0000-0000-00009E2A0000}"/>
    <cellStyle name="Normal 62 2 3 3 2 2 2" xfId="17264" xr:uid="{00000000-0005-0000-0000-00009F2A0000}"/>
    <cellStyle name="Normal 62 2 3 3 2 3" xfId="12751" xr:uid="{00000000-0005-0000-0000-0000A02A0000}"/>
    <cellStyle name="Normal 62 2 3 3 3" xfId="6268" xr:uid="{00000000-0005-0000-0000-0000A12A0000}"/>
    <cellStyle name="Normal 62 2 3 3 3 2" xfId="15309" xr:uid="{00000000-0005-0000-0000-0000A22A0000}"/>
    <cellStyle name="Normal 62 2 3 3 4" xfId="10796" xr:uid="{00000000-0005-0000-0000-0000A32A0000}"/>
    <cellStyle name="Normal 62 2 3 4" xfId="3705" xr:uid="{00000000-0005-0000-0000-0000A42A0000}"/>
    <cellStyle name="Normal 62 2 3 4 2" xfId="8220" xr:uid="{00000000-0005-0000-0000-0000A52A0000}"/>
    <cellStyle name="Normal 62 2 3 4 2 2" xfId="17261" xr:uid="{00000000-0005-0000-0000-0000A62A0000}"/>
    <cellStyle name="Normal 62 2 3 4 3" xfId="12748" xr:uid="{00000000-0005-0000-0000-0000A72A0000}"/>
    <cellStyle name="Normal 62 2 3 5" xfId="5140" xr:uid="{00000000-0005-0000-0000-0000A82A0000}"/>
    <cellStyle name="Normal 62 2 3 5 2" xfId="14181" xr:uid="{00000000-0005-0000-0000-0000A92A0000}"/>
    <cellStyle name="Normal 62 2 3 6" xfId="9668" xr:uid="{00000000-0005-0000-0000-0000AA2A0000}"/>
    <cellStyle name="Normal 62 2 4" xfId="763" xr:uid="{00000000-0005-0000-0000-0000AB2A0000}"/>
    <cellStyle name="Normal 62 2 4 2" xfId="1933" xr:uid="{00000000-0005-0000-0000-0000AC2A0000}"/>
    <cellStyle name="Normal 62 2 4 2 2" xfId="3710" xr:uid="{00000000-0005-0000-0000-0000AD2A0000}"/>
    <cellStyle name="Normal 62 2 4 2 2 2" xfId="8225" xr:uid="{00000000-0005-0000-0000-0000AE2A0000}"/>
    <cellStyle name="Normal 62 2 4 2 2 2 2" xfId="17266" xr:uid="{00000000-0005-0000-0000-0000AF2A0000}"/>
    <cellStyle name="Normal 62 2 4 2 2 3" xfId="12753" xr:uid="{00000000-0005-0000-0000-0000B02A0000}"/>
    <cellStyle name="Normal 62 2 4 2 3" xfId="6456" xr:uid="{00000000-0005-0000-0000-0000B12A0000}"/>
    <cellStyle name="Normal 62 2 4 2 3 2" xfId="15497" xr:uid="{00000000-0005-0000-0000-0000B22A0000}"/>
    <cellStyle name="Normal 62 2 4 2 4" xfId="10984" xr:uid="{00000000-0005-0000-0000-0000B32A0000}"/>
    <cellStyle name="Normal 62 2 4 3" xfId="3709" xr:uid="{00000000-0005-0000-0000-0000B42A0000}"/>
    <cellStyle name="Normal 62 2 4 3 2" xfId="8224" xr:uid="{00000000-0005-0000-0000-0000B52A0000}"/>
    <cellStyle name="Normal 62 2 4 3 2 2" xfId="17265" xr:uid="{00000000-0005-0000-0000-0000B62A0000}"/>
    <cellStyle name="Normal 62 2 4 3 3" xfId="12752" xr:uid="{00000000-0005-0000-0000-0000B72A0000}"/>
    <cellStyle name="Normal 62 2 4 4" xfId="5328" xr:uid="{00000000-0005-0000-0000-0000B82A0000}"/>
    <cellStyle name="Normal 62 2 4 4 2" xfId="14369" xr:uid="{00000000-0005-0000-0000-0000B92A0000}"/>
    <cellStyle name="Normal 62 2 4 5" xfId="9856" xr:uid="{00000000-0005-0000-0000-0000BA2A0000}"/>
    <cellStyle name="Normal 62 2 5" xfId="1369" xr:uid="{00000000-0005-0000-0000-0000BB2A0000}"/>
    <cellStyle name="Normal 62 2 5 2" xfId="3711" xr:uid="{00000000-0005-0000-0000-0000BC2A0000}"/>
    <cellStyle name="Normal 62 2 5 2 2" xfId="8226" xr:uid="{00000000-0005-0000-0000-0000BD2A0000}"/>
    <cellStyle name="Normal 62 2 5 2 2 2" xfId="17267" xr:uid="{00000000-0005-0000-0000-0000BE2A0000}"/>
    <cellStyle name="Normal 62 2 5 2 3" xfId="12754" xr:uid="{00000000-0005-0000-0000-0000BF2A0000}"/>
    <cellStyle name="Normal 62 2 5 3" xfId="5892" xr:uid="{00000000-0005-0000-0000-0000C02A0000}"/>
    <cellStyle name="Normal 62 2 5 3 2" xfId="14933" xr:uid="{00000000-0005-0000-0000-0000C12A0000}"/>
    <cellStyle name="Normal 62 2 5 4" xfId="10420" xr:uid="{00000000-0005-0000-0000-0000C22A0000}"/>
    <cellStyle name="Normal 62 2 6" xfId="3700" xr:uid="{00000000-0005-0000-0000-0000C32A0000}"/>
    <cellStyle name="Normal 62 2 6 2" xfId="8215" xr:uid="{00000000-0005-0000-0000-0000C42A0000}"/>
    <cellStyle name="Normal 62 2 6 2 2" xfId="17256" xr:uid="{00000000-0005-0000-0000-0000C52A0000}"/>
    <cellStyle name="Normal 62 2 6 3" xfId="12743" xr:uid="{00000000-0005-0000-0000-0000C62A0000}"/>
    <cellStyle name="Normal 62 2 7" xfId="4764" xr:uid="{00000000-0005-0000-0000-0000C72A0000}"/>
    <cellStyle name="Normal 62 2 7 2" xfId="13805" xr:uid="{00000000-0005-0000-0000-0000C82A0000}"/>
    <cellStyle name="Normal 62 2 8" xfId="9292" xr:uid="{00000000-0005-0000-0000-0000C92A0000}"/>
    <cellStyle name="Normal 62 3" xfId="293" xr:uid="{00000000-0005-0000-0000-0000CA2A0000}"/>
    <cellStyle name="Normal 62 3 2" xfId="857" xr:uid="{00000000-0005-0000-0000-0000CB2A0000}"/>
    <cellStyle name="Normal 62 3 2 2" xfId="2027" xr:uid="{00000000-0005-0000-0000-0000CC2A0000}"/>
    <cellStyle name="Normal 62 3 2 2 2" xfId="3714" xr:uid="{00000000-0005-0000-0000-0000CD2A0000}"/>
    <cellStyle name="Normal 62 3 2 2 2 2" xfId="8229" xr:uid="{00000000-0005-0000-0000-0000CE2A0000}"/>
    <cellStyle name="Normal 62 3 2 2 2 2 2" xfId="17270" xr:uid="{00000000-0005-0000-0000-0000CF2A0000}"/>
    <cellStyle name="Normal 62 3 2 2 2 3" xfId="12757" xr:uid="{00000000-0005-0000-0000-0000D02A0000}"/>
    <cellStyle name="Normal 62 3 2 2 3" xfId="6550" xr:uid="{00000000-0005-0000-0000-0000D12A0000}"/>
    <cellStyle name="Normal 62 3 2 2 3 2" xfId="15591" xr:uid="{00000000-0005-0000-0000-0000D22A0000}"/>
    <cellStyle name="Normal 62 3 2 2 4" xfId="11078" xr:uid="{00000000-0005-0000-0000-0000D32A0000}"/>
    <cellStyle name="Normal 62 3 2 3" xfId="3713" xr:uid="{00000000-0005-0000-0000-0000D42A0000}"/>
    <cellStyle name="Normal 62 3 2 3 2" xfId="8228" xr:uid="{00000000-0005-0000-0000-0000D52A0000}"/>
    <cellStyle name="Normal 62 3 2 3 2 2" xfId="17269" xr:uid="{00000000-0005-0000-0000-0000D62A0000}"/>
    <cellStyle name="Normal 62 3 2 3 3" xfId="12756" xr:uid="{00000000-0005-0000-0000-0000D72A0000}"/>
    <cellStyle name="Normal 62 3 2 4" xfId="5422" xr:uid="{00000000-0005-0000-0000-0000D82A0000}"/>
    <cellStyle name="Normal 62 3 2 4 2" xfId="14463" xr:uid="{00000000-0005-0000-0000-0000D92A0000}"/>
    <cellStyle name="Normal 62 3 2 5" xfId="9950" xr:uid="{00000000-0005-0000-0000-0000DA2A0000}"/>
    <cellStyle name="Normal 62 3 3" xfId="1463" xr:uid="{00000000-0005-0000-0000-0000DB2A0000}"/>
    <cellStyle name="Normal 62 3 3 2" xfId="3715" xr:uid="{00000000-0005-0000-0000-0000DC2A0000}"/>
    <cellStyle name="Normal 62 3 3 2 2" xfId="8230" xr:uid="{00000000-0005-0000-0000-0000DD2A0000}"/>
    <cellStyle name="Normal 62 3 3 2 2 2" xfId="17271" xr:uid="{00000000-0005-0000-0000-0000DE2A0000}"/>
    <cellStyle name="Normal 62 3 3 2 3" xfId="12758" xr:uid="{00000000-0005-0000-0000-0000DF2A0000}"/>
    <cellStyle name="Normal 62 3 3 3" xfId="5986" xr:uid="{00000000-0005-0000-0000-0000E02A0000}"/>
    <cellStyle name="Normal 62 3 3 3 2" xfId="15027" xr:uid="{00000000-0005-0000-0000-0000E12A0000}"/>
    <cellStyle name="Normal 62 3 3 4" xfId="10514" xr:uid="{00000000-0005-0000-0000-0000E22A0000}"/>
    <cellStyle name="Normal 62 3 4" xfId="3712" xr:uid="{00000000-0005-0000-0000-0000E32A0000}"/>
    <cellStyle name="Normal 62 3 4 2" xfId="8227" xr:uid="{00000000-0005-0000-0000-0000E42A0000}"/>
    <cellStyle name="Normal 62 3 4 2 2" xfId="17268" xr:uid="{00000000-0005-0000-0000-0000E52A0000}"/>
    <cellStyle name="Normal 62 3 4 3" xfId="12755" xr:uid="{00000000-0005-0000-0000-0000E62A0000}"/>
    <cellStyle name="Normal 62 3 5" xfId="4858" xr:uid="{00000000-0005-0000-0000-0000E72A0000}"/>
    <cellStyle name="Normal 62 3 5 2" xfId="13899" xr:uid="{00000000-0005-0000-0000-0000E82A0000}"/>
    <cellStyle name="Normal 62 3 6" xfId="9386" xr:uid="{00000000-0005-0000-0000-0000E92A0000}"/>
    <cellStyle name="Normal 62 4" xfId="481" xr:uid="{00000000-0005-0000-0000-0000EA2A0000}"/>
    <cellStyle name="Normal 62 4 2" xfId="1045" xr:uid="{00000000-0005-0000-0000-0000EB2A0000}"/>
    <cellStyle name="Normal 62 4 2 2" xfId="2215" xr:uid="{00000000-0005-0000-0000-0000EC2A0000}"/>
    <cellStyle name="Normal 62 4 2 2 2" xfId="3718" xr:uid="{00000000-0005-0000-0000-0000ED2A0000}"/>
    <cellStyle name="Normal 62 4 2 2 2 2" xfId="8233" xr:uid="{00000000-0005-0000-0000-0000EE2A0000}"/>
    <cellStyle name="Normal 62 4 2 2 2 2 2" xfId="17274" xr:uid="{00000000-0005-0000-0000-0000EF2A0000}"/>
    <cellStyle name="Normal 62 4 2 2 2 3" xfId="12761" xr:uid="{00000000-0005-0000-0000-0000F02A0000}"/>
    <cellStyle name="Normal 62 4 2 2 3" xfId="6738" xr:uid="{00000000-0005-0000-0000-0000F12A0000}"/>
    <cellStyle name="Normal 62 4 2 2 3 2" xfId="15779" xr:uid="{00000000-0005-0000-0000-0000F22A0000}"/>
    <cellStyle name="Normal 62 4 2 2 4" xfId="11266" xr:uid="{00000000-0005-0000-0000-0000F32A0000}"/>
    <cellStyle name="Normal 62 4 2 3" xfId="3717" xr:uid="{00000000-0005-0000-0000-0000F42A0000}"/>
    <cellStyle name="Normal 62 4 2 3 2" xfId="8232" xr:uid="{00000000-0005-0000-0000-0000F52A0000}"/>
    <cellStyle name="Normal 62 4 2 3 2 2" xfId="17273" xr:uid="{00000000-0005-0000-0000-0000F62A0000}"/>
    <cellStyle name="Normal 62 4 2 3 3" xfId="12760" xr:uid="{00000000-0005-0000-0000-0000F72A0000}"/>
    <cellStyle name="Normal 62 4 2 4" xfId="5610" xr:uid="{00000000-0005-0000-0000-0000F82A0000}"/>
    <cellStyle name="Normal 62 4 2 4 2" xfId="14651" xr:uid="{00000000-0005-0000-0000-0000F92A0000}"/>
    <cellStyle name="Normal 62 4 2 5" xfId="10138" xr:uid="{00000000-0005-0000-0000-0000FA2A0000}"/>
    <cellStyle name="Normal 62 4 3" xfId="1651" xr:uid="{00000000-0005-0000-0000-0000FB2A0000}"/>
    <cellStyle name="Normal 62 4 3 2" xfId="3719" xr:uid="{00000000-0005-0000-0000-0000FC2A0000}"/>
    <cellStyle name="Normal 62 4 3 2 2" xfId="8234" xr:uid="{00000000-0005-0000-0000-0000FD2A0000}"/>
    <cellStyle name="Normal 62 4 3 2 2 2" xfId="17275" xr:uid="{00000000-0005-0000-0000-0000FE2A0000}"/>
    <cellStyle name="Normal 62 4 3 2 3" xfId="12762" xr:uid="{00000000-0005-0000-0000-0000FF2A0000}"/>
    <cellStyle name="Normal 62 4 3 3" xfId="6174" xr:uid="{00000000-0005-0000-0000-0000002B0000}"/>
    <cellStyle name="Normal 62 4 3 3 2" xfId="15215" xr:uid="{00000000-0005-0000-0000-0000012B0000}"/>
    <cellStyle name="Normal 62 4 3 4" xfId="10702" xr:uid="{00000000-0005-0000-0000-0000022B0000}"/>
    <cellStyle name="Normal 62 4 4" xfId="3716" xr:uid="{00000000-0005-0000-0000-0000032B0000}"/>
    <cellStyle name="Normal 62 4 4 2" xfId="8231" xr:uid="{00000000-0005-0000-0000-0000042B0000}"/>
    <cellStyle name="Normal 62 4 4 2 2" xfId="17272" xr:uid="{00000000-0005-0000-0000-0000052B0000}"/>
    <cellStyle name="Normal 62 4 4 3" xfId="12759" xr:uid="{00000000-0005-0000-0000-0000062B0000}"/>
    <cellStyle name="Normal 62 4 5" xfId="5046" xr:uid="{00000000-0005-0000-0000-0000072B0000}"/>
    <cellStyle name="Normal 62 4 5 2" xfId="14087" xr:uid="{00000000-0005-0000-0000-0000082B0000}"/>
    <cellStyle name="Normal 62 4 6" xfId="9574" xr:uid="{00000000-0005-0000-0000-0000092B0000}"/>
    <cellStyle name="Normal 62 5" xfId="669" xr:uid="{00000000-0005-0000-0000-00000A2B0000}"/>
    <cellStyle name="Normal 62 5 2" xfId="1839" xr:uid="{00000000-0005-0000-0000-00000B2B0000}"/>
    <cellStyle name="Normal 62 5 2 2" xfId="3721" xr:uid="{00000000-0005-0000-0000-00000C2B0000}"/>
    <cellStyle name="Normal 62 5 2 2 2" xfId="8236" xr:uid="{00000000-0005-0000-0000-00000D2B0000}"/>
    <cellStyle name="Normal 62 5 2 2 2 2" xfId="17277" xr:uid="{00000000-0005-0000-0000-00000E2B0000}"/>
    <cellStyle name="Normal 62 5 2 2 3" xfId="12764" xr:uid="{00000000-0005-0000-0000-00000F2B0000}"/>
    <cellStyle name="Normal 62 5 2 3" xfId="6362" xr:uid="{00000000-0005-0000-0000-0000102B0000}"/>
    <cellStyle name="Normal 62 5 2 3 2" xfId="15403" xr:uid="{00000000-0005-0000-0000-0000112B0000}"/>
    <cellStyle name="Normal 62 5 2 4" xfId="10890" xr:uid="{00000000-0005-0000-0000-0000122B0000}"/>
    <cellStyle name="Normal 62 5 3" xfId="3720" xr:uid="{00000000-0005-0000-0000-0000132B0000}"/>
    <cellStyle name="Normal 62 5 3 2" xfId="8235" xr:uid="{00000000-0005-0000-0000-0000142B0000}"/>
    <cellStyle name="Normal 62 5 3 2 2" xfId="17276" xr:uid="{00000000-0005-0000-0000-0000152B0000}"/>
    <cellStyle name="Normal 62 5 3 3" xfId="12763" xr:uid="{00000000-0005-0000-0000-0000162B0000}"/>
    <cellStyle name="Normal 62 5 4" xfId="5234" xr:uid="{00000000-0005-0000-0000-0000172B0000}"/>
    <cellStyle name="Normal 62 5 4 2" xfId="14275" xr:uid="{00000000-0005-0000-0000-0000182B0000}"/>
    <cellStyle name="Normal 62 5 5" xfId="9762" xr:uid="{00000000-0005-0000-0000-0000192B0000}"/>
    <cellStyle name="Normal 62 6" xfId="1275" xr:uid="{00000000-0005-0000-0000-00001A2B0000}"/>
    <cellStyle name="Normal 62 6 2" xfId="3722" xr:uid="{00000000-0005-0000-0000-00001B2B0000}"/>
    <cellStyle name="Normal 62 6 2 2" xfId="8237" xr:uid="{00000000-0005-0000-0000-00001C2B0000}"/>
    <cellStyle name="Normal 62 6 2 2 2" xfId="17278" xr:uid="{00000000-0005-0000-0000-00001D2B0000}"/>
    <cellStyle name="Normal 62 6 2 3" xfId="12765" xr:uid="{00000000-0005-0000-0000-00001E2B0000}"/>
    <cellStyle name="Normal 62 6 3" xfId="5798" xr:uid="{00000000-0005-0000-0000-00001F2B0000}"/>
    <cellStyle name="Normal 62 6 3 2" xfId="14839" xr:uid="{00000000-0005-0000-0000-0000202B0000}"/>
    <cellStyle name="Normal 62 6 4" xfId="10326" xr:uid="{00000000-0005-0000-0000-0000212B0000}"/>
    <cellStyle name="Normal 62 7" xfId="3699" xr:uid="{00000000-0005-0000-0000-0000222B0000}"/>
    <cellStyle name="Normal 62 7 2" xfId="8214" xr:uid="{00000000-0005-0000-0000-0000232B0000}"/>
    <cellStyle name="Normal 62 7 2 2" xfId="17255" xr:uid="{00000000-0005-0000-0000-0000242B0000}"/>
    <cellStyle name="Normal 62 7 3" xfId="12742" xr:uid="{00000000-0005-0000-0000-0000252B0000}"/>
    <cellStyle name="Normal 62 8" xfId="4670" xr:uid="{00000000-0005-0000-0000-0000262B0000}"/>
    <cellStyle name="Normal 62 8 2" xfId="13711" xr:uid="{00000000-0005-0000-0000-0000272B0000}"/>
    <cellStyle name="Normal 62 9" xfId="9198" xr:uid="{00000000-0005-0000-0000-0000282B0000}"/>
    <cellStyle name="Normal 63" xfId="63" xr:uid="{00000000-0005-0000-0000-0000292B0000}"/>
    <cellStyle name="Normal 63 2" xfId="159" xr:uid="{00000000-0005-0000-0000-00002A2B0000}"/>
    <cellStyle name="Normal 63 2 2" xfId="388" xr:uid="{00000000-0005-0000-0000-00002B2B0000}"/>
    <cellStyle name="Normal 63 2 2 2" xfId="952" xr:uid="{00000000-0005-0000-0000-00002C2B0000}"/>
    <cellStyle name="Normal 63 2 2 2 2" xfId="2122" xr:uid="{00000000-0005-0000-0000-00002D2B0000}"/>
    <cellStyle name="Normal 63 2 2 2 2 2" xfId="3727" xr:uid="{00000000-0005-0000-0000-00002E2B0000}"/>
    <cellStyle name="Normal 63 2 2 2 2 2 2" xfId="8242" xr:uid="{00000000-0005-0000-0000-00002F2B0000}"/>
    <cellStyle name="Normal 63 2 2 2 2 2 2 2" xfId="17283" xr:uid="{00000000-0005-0000-0000-0000302B0000}"/>
    <cellStyle name="Normal 63 2 2 2 2 2 3" xfId="12770" xr:uid="{00000000-0005-0000-0000-0000312B0000}"/>
    <cellStyle name="Normal 63 2 2 2 2 3" xfId="6645" xr:uid="{00000000-0005-0000-0000-0000322B0000}"/>
    <cellStyle name="Normal 63 2 2 2 2 3 2" xfId="15686" xr:uid="{00000000-0005-0000-0000-0000332B0000}"/>
    <cellStyle name="Normal 63 2 2 2 2 4" xfId="11173" xr:uid="{00000000-0005-0000-0000-0000342B0000}"/>
    <cellStyle name="Normal 63 2 2 2 3" xfId="3726" xr:uid="{00000000-0005-0000-0000-0000352B0000}"/>
    <cellStyle name="Normal 63 2 2 2 3 2" xfId="8241" xr:uid="{00000000-0005-0000-0000-0000362B0000}"/>
    <cellStyle name="Normal 63 2 2 2 3 2 2" xfId="17282" xr:uid="{00000000-0005-0000-0000-0000372B0000}"/>
    <cellStyle name="Normal 63 2 2 2 3 3" xfId="12769" xr:uid="{00000000-0005-0000-0000-0000382B0000}"/>
    <cellStyle name="Normal 63 2 2 2 4" xfId="5517" xr:uid="{00000000-0005-0000-0000-0000392B0000}"/>
    <cellStyle name="Normal 63 2 2 2 4 2" xfId="14558" xr:uid="{00000000-0005-0000-0000-00003A2B0000}"/>
    <cellStyle name="Normal 63 2 2 2 5" xfId="10045" xr:uid="{00000000-0005-0000-0000-00003B2B0000}"/>
    <cellStyle name="Normal 63 2 2 3" xfId="1558" xr:uid="{00000000-0005-0000-0000-00003C2B0000}"/>
    <cellStyle name="Normal 63 2 2 3 2" xfId="3728" xr:uid="{00000000-0005-0000-0000-00003D2B0000}"/>
    <cellStyle name="Normal 63 2 2 3 2 2" xfId="8243" xr:uid="{00000000-0005-0000-0000-00003E2B0000}"/>
    <cellStyle name="Normal 63 2 2 3 2 2 2" xfId="17284" xr:uid="{00000000-0005-0000-0000-00003F2B0000}"/>
    <cellStyle name="Normal 63 2 2 3 2 3" xfId="12771" xr:uid="{00000000-0005-0000-0000-0000402B0000}"/>
    <cellStyle name="Normal 63 2 2 3 3" xfId="6081" xr:uid="{00000000-0005-0000-0000-0000412B0000}"/>
    <cellStyle name="Normal 63 2 2 3 3 2" xfId="15122" xr:uid="{00000000-0005-0000-0000-0000422B0000}"/>
    <cellStyle name="Normal 63 2 2 3 4" xfId="10609" xr:uid="{00000000-0005-0000-0000-0000432B0000}"/>
    <cellStyle name="Normal 63 2 2 4" xfId="3725" xr:uid="{00000000-0005-0000-0000-0000442B0000}"/>
    <cellStyle name="Normal 63 2 2 4 2" xfId="8240" xr:uid="{00000000-0005-0000-0000-0000452B0000}"/>
    <cellStyle name="Normal 63 2 2 4 2 2" xfId="17281" xr:uid="{00000000-0005-0000-0000-0000462B0000}"/>
    <cellStyle name="Normal 63 2 2 4 3" xfId="12768" xr:uid="{00000000-0005-0000-0000-0000472B0000}"/>
    <cellStyle name="Normal 63 2 2 5" xfId="4953" xr:uid="{00000000-0005-0000-0000-0000482B0000}"/>
    <cellStyle name="Normal 63 2 2 5 2" xfId="13994" xr:uid="{00000000-0005-0000-0000-0000492B0000}"/>
    <cellStyle name="Normal 63 2 2 6" xfId="9481" xr:uid="{00000000-0005-0000-0000-00004A2B0000}"/>
    <cellStyle name="Normal 63 2 3" xfId="576" xr:uid="{00000000-0005-0000-0000-00004B2B0000}"/>
    <cellStyle name="Normal 63 2 3 2" xfId="1140" xr:uid="{00000000-0005-0000-0000-00004C2B0000}"/>
    <cellStyle name="Normal 63 2 3 2 2" xfId="2310" xr:uid="{00000000-0005-0000-0000-00004D2B0000}"/>
    <cellStyle name="Normal 63 2 3 2 2 2" xfId="3731" xr:uid="{00000000-0005-0000-0000-00004E2B0000}"/>
    <cellStyle name="Normal 63 2 3 2 2 2 2" xfId="8246" xr:uid="{00000000-0005-0000-0000-00004F2B0000}"/>
    <cellStyle name="Normal 63 2 3 2 2 2 2 2" xfId="17287" xr:uid="{00000000-0005-0000-0000-0000502B0000}"/>
    <cellStyle name="Normal 63 2 3 2 2 2 3" xfId="12774" xr:uid="{00000000-0005-0000-0000-0000512B0000}"/>
    <cellStyle name="Normal 63 2 3 2 2 3" xfId="6833" xr:uid="{00000000-0005-0000-0000-0000522B0000}"/>
    <cellStyle name="Normal 63 2 3 2 2 3 2" xfId="15874" xr:uid="{00000000-0005-0000-0000-0000532B0000}"/>
    <cellStyle name="Normal 63 2 3 2 2 4" xfId="11361" xr:uid="{00000000-0005-0000-0000-0000542B0000}"/>
    <cellStyle name="Normal 63 2 3 2 3" xfId="3730" xr:uid="{00000000-0005-0000-0000-0000552B0000}"/>
    <cellStyle name="Normal 63 2 3 2 3 2" xfId="8245" xr:uid="{00000000-0005-0000-0000-0000562B0000}"/>
    <cellStyle name="Normal 63 2 3 2 3 2 2" xfId="17286" xr:uid="{00000000-0005-0000-0000-0000572B0000}"/>
    <cellStyle name="Normal 63 2 3 2 3 3" xfId="12773" xr:uid="{00000000-0005-0000-0000-0000582B0000}"/>
    <cellStyle name="Normal 63 2 3 2 4" xfId="5705" xr:uid="{00000000-0005-0000-0000-0000592B0000}"/>
    <cellStyle name="Normal 63 2 3 2 4 2" xfId="14746" xr:uid="{00000000-0005-0000-0000-00005A2B0000}"/>
    <cellStyle name="Normal 63 2 3 2 5" xfId="10233" xr:uid="{00000000-0005-0000-0000-00005B2B0000}"/>
    <cellStyle name="Normal 63 2 3 3" xfId="1746" xr:uid="{00000000-0005-0000-0000-00005C2B0000}"/>
    <cellStyle name="Normal 63 2 3 3 2" xfId="3732" xr:uid="{00000000-0005-0000-0000-00005D2B0000}"/>
    <cellStyle name="Normal 63 2 3 3 2 2" xfId="8247" xr:uid="{00000000-0005-0000-0000-00005E2B0000}"/>
    <cellStyle name="Normal 63 2 3 3 2 2 2" xfId="17288" xr:uid="{00000000-0005-0000-0000-00005F2B0000}"/>
    <cellStyle name="Normal 63 2 3 3 2 3" xfId="12775" xr:uid="{00000000-0005-0000-0000-0000602B0000}"/>
    <cellStyle name="Normal 63 2 3 3 3" xfId="6269" xr:uid="{00000000-0005-0000-0000-0000612B0000}"/>
    <cellStyle name="Normal 63 2 3 3 3 2" xfId="15310" xr:uid="{00000000-0005-0000-0000-0000622B0000}"/>
    <cellStyle name="Normal 63 2 3 3 4" xfId="10797" xr:uid="{00000000-0005-0000-0000-0000632B0000}"/>
    <cellStyle name="Normal 63 2 3 4" xfId="3729" xr:uid="{00000000-0005-0000-0000-0000642B0000}"/>
    <cellStyle name="Normal 63 2 3 4 2" xfId="8244" xr:uid="{00000000-0005-0000-0000-0000652B0000}"/>
    <cellStyle name="Normal 63 2 3 4 2 2" xfId="17285" xr:uid="{00000000-0005-0000-0000-0000662B0000}"/>
    <cellStyle name="Normal 63 2 3 4 3" xfId="12772" xr:uid="{00000000-0005-0000-0000-0000672B0000}"/>
    <cellStyle name="Normal 63 2 3 5" xfId="5141" xr:uid="{00000000-0005-0000-0000-0000682B0000}"/>
    <cellStyle name="Normal 63 2 3 5 2" xfId="14182" xr:uid="{00000000-0005-0000-0000-0000692B0000}"/>
    <cellStyle name="Normal 63 2 3 6" xfId="9669" xr:uid="{00000000-0005-0000-0000-00006A2B0000}"/>
    <cellStyle name="Normal 63 2 4" xfId="764" xr:uid="{00000000-0005-0000-0000-00006B2B0000}"/>
    <cellStyle name="Normal 63 2 4 2" xfId="1934" xr:uid="{00000000-0005-0000-0000-00006C2B0000}"/>
    <cellStyle name="Normal 63 2 4 2 2" xfId="3734" xr:uid="{00000000-0005-0000-0000-00006D2B0000}"/>
    <cellStyle name="Normal 63 2 4 2 2 2" xfId="8249" xr:uid="{00000000-0005-0000-0000-00006E2B0000}"/>
    <cellStyle name="Normal 63 2 4 2 2 2 2" xfId="17290" xr:uid="{00000000-0005-0000-0000-00006F2B0000}"/>
    <cellStyle name="Normal 63 2 4 2 2 3" xfId="12777" xr:uid="{00000000-0005-0000-0000-0000702B0000}"/>
    <cellStyle name="Normal 63 2 4 2 3" xfId="6457" xr:uid="{00000000-0005-0000-0000-0000712B0000}"/>
    <cellStyle name="Normal 63 2 4 2 3 2" xfId="15498" xr:uid="{00000000-0005-0000-0000-0000722B0000}"/>
    <cellStyle name="Normal 63 2 4 2 4" xfId="10985" xr:uid="{00000000-0005-0000-0000-0000732B0000}"/>
    <cellStyle name="Normal 63 2 4 3" xfId="3733" xr:uid="{00000000-0005-0000-0000-0000742B0000}"/>
    <cellStyle name="Normal 63 2 4 3 2" xfId="8248" xr:uid="{00000000-0005-0000-0000-0000752B0000}"/>
    <cellStyle name="Normal 63 2 4 3 2 2" xfId="17289" xr:uid="{00000000-0005-0000-0000-0000762B0000}"/>
    <cellStyle name="Normal 63 2 4 3 3" xfId="12776" xr:uid="{00000000-0005-0000-0000-0000772B0000}"/>
    <cellStyle name="Normal 63 2 4 4" xfId="5329" xr:uid="{00000000-0005-0000-0000-0000782B0000}"/>
    <cellStyle name="Normal 63 2 4 4 2" xfId="14370" xr:uid="{00000000-0005-0000-0000-0000792B0000}"/>
    <cellStyle name="Normal 63 2 4 5" xfId="9857" xr:uid="{00000000-0005-0000-0000-00007A2B0000}"/>
    <cellStyle name="Normal 63 2 5" xfId="1370" xr:uid="{00000000-0005-0000-0000-00007B2B0000}"/>
    <cellStyle name="Normal 63 2 5 2" xfId="3735" xr:uid="{00000000-0005-0000-0000-00007C2B0000}"/>
    <cellStyle name="Normal 63 2 5 2 2" xfId="8250" xr:uid="{00000000-0005-0000-0000-00007D2B0000}"/>
    <cellStyle name="Normal 63 2 5 2 2 2" xfId="17291" xr:uid="{00000000-0005-0000-0000-00007E2B0000}"/>
    <cellStyle name="Normal 63 2 5 2 3" xfId="12778" xr:uid="{00000000-0005-0000-0000-00007F2B0000}"/>
    <cellStyle name="Normal 63 2 5 3" xfId="5893" xr:uid="{00000000-0005-0000-0000-0000802B0000}"/>
    <cellStyle name="Normal 63 2 5 3 2" xfId="14934" xr:uid="{00000000-0005-0000-0000-0000812B0000}"/>
    <cellStyle name="Normal 63 2 5 4" xfId="10421" xr:uid="{00000000-0005-0000-0000-0000822B0000}"/>
    <cellStyle name="Normal 63 2 6" xfId="3724" xr:uid="{00000000-0005-0000-0000-0000832B0000}"/>
    <cellStyle name="Normal 63 2 6 2" xfId="8239" xr:uid="{00000000-0005-0000-0000-0000842B0000}"/>
    <cellStyle name="Normal 63 2 6 2 2" xfId="17280" xr:uid="{00000000-0005-0000-0000-0000852B0000}"/>
    <cellStyle name="Normal 63 2 6 3" xfId="12767" xr:uid="{00000000-0005-0000-0000-0000862B0000}"/>
    <cellStyle name="Normal 63 2 7" xfId="4765" xr:uid="{00000000-0005-0000-0000-0000872B0000}"/>
    <cellStyle name="Normal 63 2 7 2" xfId="13806" xr:uid="{00000000-0005-0000-0000-0000882B0000}"/>
    <cellStyle name="Normal 63 2 8" xfId="9293" xr:uid="{00000000-0005-0000-0000-0000892B0000}"/>
    <cellStyle name="Normal 63 3" xfId="294" xr:uid="{00000000-0005-0000-0000-00008A2B0000}"/>
    <cellStyle name="Normal 63 3 2" xfId="858" xr:uid="{00000000-0005-0000-0000-00008B2B0000}"/>
    <cellStyle name="Normal 63 3 2 2" xfId="2028" xr:uid="{00000000-0005-0000-0000-00008C2B0000}"/>
    <cellStyle name="Normal 63 3 2 2 2" xfId="3738" xr:uid="{00000000-0005-0000-0000-00008D2B0000}"/>
    <cellStyle name="Normal 63 3 2 2 2 2" xfId="8253" xr:uid="{00000000-0005-0000-0000-00008E2B0000}"/>
    <cellStyle name="Normal 63 3 2 2 2 2 2" xfId="17294" xr:uid="{00000000-0005-0000-0000-00008F2B0000}"/>
    <cellStyle name="Normal 63 3 2 2 2 3" xfId="12781" xr:uid="{00000000-0005-0000-0000-0000902B0000}"/>
    <cellStyle name="Normal 63 3 2 2 3" xfId="6551" xr:uid="{00000000-0005-0000-0000-0000912B0000}"/>
    <cellStyle name="Normal 63 3 2 2 3 2" xfId="15592" xr:uid="{00000000-0005-0000-0000-0000922B0000}"/>
    <cellStyle name="Normal 63 3 2 2 4" xfId="11079" xr:uid="{00000000-0005-0000-0000-0000932B0000}"/>
    <cellStyle name="Normal 63 3 2 3" xfId="3737" xr:uid="{00000000-0005-0000-0000-0000942B0000}"/>
    <cellStyle name="Normal 63 3 2 3 2" xfId="8252" xr:uid="{00000000-0005-0000-0000-0000952B0000}"/>
    <cellStyle name="Normal 63 3 2 3 2 2" xfId="17293" xr:uid="{00000000-0005-0000-0000-0000962B0000}"/>
    <cellStyle name="Normal 63 3 2 3 3" xfId="12780" xr:uid="{00000000-0005-0000-0000-0000972B0000}"/>
    <cellStyle name="Normal 63 3 2 4" xfId="5423" xr:uid="{00000000-0005-0000-0000-0000982B0000}"/>
    <cellStyle name="Normal 63 3 2 4 2" xfId="14464" xr:uid="{00000000-0005-0000-0000-0000992B0000}"/>
    <cellStyle name="Normal 63 3 2 5" xfId="9951" xr:uid="{00000000-0005-0000-0000-00009A2B0000}"/>
    <cellStyle name="Normal 63 3 3" xfId="1464" xr:uid="{00000000-0005-0000-0000-00009B2B0000}"/>
    <cellStyle name="Normal 63 3 3 2" xfId="3739" xr:uid="{00000000-0005-0000-0000-00009C2B0000}"/>
    <cellStyle name="Normal 63 3 3 2 2" xfId="8254" xr:uid="{00000000-0005-0000-0000-00009D2B0000}"/>
    <cellStyle name="Normal 63 3 3 2 2 2" xfId="17295" xr:uid="{00000000-0005-0000-0000-00009E2B0000}"/>
    <cellStyle name="Normal 63 3 3 2 3" xfId="12782" xr:uid="{00000000-0005-0000-0000-00009F2B0000}"/>
    <cellStyle name="Normal 63 3 3 3" xfId="5987" xr:uid="{00000000-0005-0000-0000-0000A02B0000}"/>
    <cellStyle name="Normal 63 3 3 3 2" xfId="15028" xr:uid="{00000000-0005-0000-0000-0000A12B0000}"/>
    <cellStyle name="Normal 63 3 3 4" xfId="10515" xr:uid="{00000000-0005-0000-0000-0000A22B0000}"/>
    <cellStyle name="Normal 63 3 4" xfId="3736" xr:uid="{00000000-0005-0000-0000-0000A32B0000}"/>
    <cellStyle name="Normal 63 3 4 2" xfId="8251" xr:uid="{00000000-0005-0000-0000-0000A42B0000}"/>
    <cellStyle name="Normal 63 3 4 2 2" xfId="17292" xr:uid="{00000000-0005-0000-0000-0000A52B0000}"/>
    <cellStyle name="Normal 63 3 4 3" xfId="12779" xr:uid="{00000000-0005-0000-0000-0000A62B0000}"/>
    <cellStyle name="Normal 63 3 5" xfId="4859" xr:uid="{00000000-0005-0000-0000-0000A72B0000}"/>
    <cellStyle name="Normal 63 3 5 2" xfId="13900" xr:uid="{00000000-0005-0000-0000-0000A82B0000}"/>
    <cellStyle name="Normal 63 3 6" xfId="9387" xr:uid="{00000000-0005-0000-0000-0000A92B0000}"/>
    <cellStyle name="Normal 63 4" xfId="482" xr:uid="{00000000-0005-0000-0000-0000AA2B0000}"/>
    <cellStyle name="Normal 63 4 2" xfId="1046" xr:uid="{00000000-0005-0000-0000-0000AB2B0000}"/>
    <cellStyle name="Normal 63 4 2 2" xfId="2216" xr:uid="{00000000-0005-0000-0000-0000AC2B0000}"/>
    <cellStyle name="Normal 63 4 2 2 2" xfId="3742" xr:uid="{00000000-0005-0000-0000-0000AD2B0000}"/>
    <cellStyle name="Normal 63 4 2 2 2 2" xfId="8257" xr:uid="{00000000-0005-0000-0000-0000AE2B0000}"/>
    <cellStyle name="Normal 63 4 2 2 2 2 2" xfId="17298" xr:uid="{00000000-0005-0000-0000-0000AF2B0000}"/>
    <cellStyle name="Normal 63 4 2 2 2 3" xfId="12785" xr:uid="{00000000-0005-0000-0000-0000B02B0000}"/>
    <cellStyle name="Normal 63 4 2 2 3" xfId="6739" xr:uid="{00000000-0005-0000-0000-0000B12B0000}"/>
    <cellStyle name="Normal 63 4 2 2 3 2" xfId="15780" xr:uid="{00000000-0005-0000-0000-0000B22B0000}"/>
    <cellStyle name="Normal 63 4 2 2 4" xfId="11267" xr:uid="{00000000-0005-0000-0000-0000B32B0000}"/>
    <cellStyle name="Normal 63 4 2 3" xfId="3741" xr:uid="{00000000-0005-0000-0000-0000B42B0000}"/>
    <cellStyle name="Normal 63 4 2 3 2" xfId="8256" xr:uid="{00000000-0005-0000-0000-0000B52B0000}"/>
    <cellStyle name="Normal 63 4 2 3 2 2" xfId="17297" xr:uid="{00000000-0005-0000-0000-0000B62B0000}"/>
    <cellStyle name="Normal 63 4 2 3 3" xfId="12784" xr:uid="{00000000-0005-0000-0000-0000B72B0000}"/>
    <cellStyle name="Normal 63 4 2 4" xfId="5611" xr:uid="{00000000-0005-0000-0000-0000B82B0000}"/>
    <cellStyle name="Normal 63 4 2 4 2" xfId="14652" xr:uid="{00000000-0005-0000-0000-0000B92B0000}"/>
    <cellStyle name="Normal 63 4 2 5" xfId="10139" xr:uid="{00000000-0005-0000-0000-0000BA2B0000}"/>
    <cellStyle name="Normal 63 4 3" xfId="1652" xr:uid="{00000000-0005-0000-0000-0000BB2B0000}"/>
    <cellStyle name="Normal 63 4 3 2" xfId="3743" xr:uid="{00000000-0005-0000-0000-0000BC2B0000}"/>
    <cellStyle name="Normal 63 4 3 2 2" xfId="8258" xr:uid="{00000000-0005-0000-0000-0000BD2B0000}"/>
    <cellStyle name="Normal 63 4 3 2 2 2" xfId="17299" xr:uid="{00000000-0005-0000-0000-0000BE2B0000}"/>
    <cellStyle name="Normal 63 4 3 2 3" xfId="12786" xr:uid="{00000000-0005-0000-0000-0000BF2B0000}"/>
    <cellStyle name="Normal 63 4 3 3" xfId="6175" xr:uid="{00000000-0005-0000-0000-0000C02B0000}"/>
    <cellStyle name="Normal 63 4 3 3 2" xfId="15216" xr:uid="{00000000-0005-0000-0000-0000C12B0000}"/>
    <cellStyle name="Normal 63 4 3 4" xfId="10703" xr:uid="{00000000-0005-0000-0000-0000C22B0000}"/>
    <cellStyle name="Normal 63 4 4" xfId="3740" xr:uid="{00000000-0005-0000-0000-0000C32B0000}"/>
    <cellStyle name="Normal 63 4 4 2" xfId="8255" xr:uid="{00000000-0005-0000-0000-0000C42B0000}"/>
    <cellStyle name="Normal 63 4 4 2 2" xfId="17296" xr:uid="{00000000-0005-0000-0000-0000C52B0000}"/>
    <cellStyle name="Normal 63 4 4 3" xfId="12783" xr:uid="{00000000-0005-0000-0000-0000C62B0000}"/>
    <cellStyle name="Normal 63 4 5" xfId="5047" xr:uid="{00000000-0005-0000-0000-0000C72B0000}"/>
    <cellStyle name="Normal 63 4 5 2" xfId="14088" xr:uid="{00000000-0005-0000-0000-0000C82B0000}"/>
    <cellStyle name="Normal 63 4 6" xfId="9575" xr:uid="{00000000-0005-0000-0000-0000C92B0000}"/>
    <cellStyle name="Normal 63 5" xfId="670" xr:uid="{00000000-0005-0000-0000-0000CA2B0000}"/>
    <cellStyle name="Normal 63 5 2" xfId="1840" xr:uid="{00000000-0005-0000-0000-0000CB2B0000}"/>
    <cellStyle name="Normal 63 5 2 2" xfId="3745" xr:uid="{00000000-0005-0000-0000-0000CC2B0000}"/>
    <cellStyle name="Normal 63 5 2 2 2" xfId="8260" xr:uid="{00000000-0005-0000-0000-0000CD2B0000}"/>
    <cellStyle name="Normal 63 5 2 2 2 2" xfId="17301" xr:uid="{00000000-0005-0000-0000-0000CE2B0000}"/>
    <cellStyle name="Normal 63 5 2 2 3" xfId="12788" xr:uid="{00000000-0005-0000-0000-0000CF2B0000}"/>
    <cellStyle name="Normal 63 5 2 3" xfId="6363" xr:uid="{00000000-0005-0000-0000-0000D02B0000}"/>
    <cellStyle name="Normal 63 5 2 3 2" xfId="15404" xr:uid="{00000000-0005-0000-0000-0000D12B0000}"/>
    <cellStyle name="Normal 63 5 2 4" xfId="10891" xr:uid="{00000000-0005-0000-0000-0000D22B0000}"/>
    <cellStyle name="Normal 63 5 3" xfId="3744" xr:uid="{00000000-0005-0000-0000-0000D32B0000}"/>
    <cellStyle name="Normal 63 5 3 2" xfId="8259" xr:uid="{00000000-0005-0000-0000-0000D42B0000}"/>
    <cellStyle name="Normal 63 5 3 2 2" xfId="17300" xr:uid="{00000000-0005-0000-0000-0000D52B0000}"/>
    <cellStyle name="Normal 63 5 3 3" xfId="12787" xr:uid="{00000000-0005-0000-0000-0000D62B0000}"/>
    <cellStyle name="Normal 63 5 4" xfId="5235" xr:uid="{00000000-0005-0000-0000-0000D72B0000}"/>
    <cellStyle name="Normal 63 5 4 2" xfId="14276" xr:uid="{00000000-0005-0000-0000-0000D82B0000}"/>
    <cellStyle name="Normal 63 5 5" xfId="9763" xr:uid="{00000000-0005-0000-0000-0000D92B0000}"/>
    <cellStyle name="Normal 63 6" xfId="1276" xr:uid="{00000000-0005-0000-0000-0000DA2B0000}"/>
    <cellStyle name="Normal 63 6 2" xfId="3746" xr:uid="{00000000-0005-0000-0000-0000DB2B0000}"/>
    <cellStyle name="Normal 63 6 2 2" xfId="8261" xr:uid="{00000000-0005-0000-0000-0000DC2B0000}"/>
    <cellStyle name="Normal 63 6 2 2 2" xfId="17302" xr:uid="{00000000-0005-0000-0000-0000DD2B0000}"/>
    <cellStyle name="Normal 63 6 2 3" xfId="12789" xr:uid="{00000000-0005-0000-0000-0000DE2B0000}"/>
    <cellStyle name="Normal 63 6 3" xfId="5799" xr:uid="{00000000-0005-0000-0000-0000DF2B0000}"/>
    <cellStyle name="Normal 63 6 3 2" xfId="14840" xr:uid="{00000000-0005-0000-0000-0000E02B0000}"/>
    <cellStyle name="Normal 63 6 4" xfId="10327" xr:uid="{00000000-0005-0000-0000-0000E12B0000}"/>
    <cellStyle name="Normal 63 7" xfId="3723" xr:uid="{00000000-0005-0000-0000-0000E22B0000}"/>
    <cellStyle name="Normal 63 7 2" xfId="8238" xr:uid="{00000000-0005-0000-0000-0000E32B0000}"/>
    <cellStyle name="Normal 63 7 2 2" xfId="17279" xr:uid="{00000000-0005-0000-0000-0000E42B0000}"/>
    <cellStyle name="Normal 63 7 3" xfId="12766" xr:uid="{00000000-0005-0000-0000-0000E52B0000}"/>
    <cellStyle name="Normal 63 8" xfId="4671" xr:uid="{00000000-0005-0000-0000-0000E62B0000}"/>
    <cellStyle name="Normal 63 8 2" xfId="13712" xr:uid="{00000000-0005-0000-0000-0000E72B0000}"/>
    <cellStyle name="Normal 63 9" xfId="9199" xr:uid="{00000000-0005-0000-0000-0000E82B0000}"/>
    <cellStyle name="Normal 64" xfId="64" xr:uid="{00000000-0005-0000-0000-0000E92B0000}"/>
    <cellStyle name="Normal 64 2" xfId="160" xr:uid="{00000000-0005-0000-0000-0000EA2B0000}"/>
    <cellStyle name="Normal 64 2 2" xfId="389" xr:uid="{00000000-0005-0000-0000-0000EB2B0000}"/>
    <cellStyle name="Normal 64 2 2 2" xfId="953" xr:uid="{00000000-0005-0000-0000-0000EC2B0000}"/>
    <cellStyle name="Normal 64 2 2 2 2" xfId="2123" xr:uid="{00000000-0005-0000-0000-0000ED2B0000}"/>
    <cellStyle name="Normal 64 2 2 2 2 2" xfId="3751" xr:uid="{00000000-0005-0000-0000-0000EE2B0000}"/>
    <cellStyle name="Normal 64 2 2 2 2 2 2" xfId="8266" xr:uid="{00000000-0005-0000-0000-0000EF2B0000}"/>
    <cellStyle name="Normal 64 2 2 2 2 2 2 2" xfId="17307" xr:uid="{00000000-0005-0000-0000-0000F02B0000}"/>
    <cellStyle name="Normal 64 2 2 2 2 2 3" xfId="12794" xr:uid="{00000000-0005-0000-0000-0000F12B0000}"/>
    <cellStyle name="Normal 64 2 2 2 2 3" xfId="6646" xr:uid="{00000000-0005-0000-0000-0000F22B0000}"/>
    <cellStyle name="Normal 64 2 2 2 2 3 2" xfId="15687" xr:uid="{00000000-0005-0000-0000-0000F32B0000}"/>
    <cellStyle name="Normal 64 2 2 2 2 4" xfId="11174" xr:uid="{00000000-0005-0000-0000-0000F42B0000}"/>
    <cellStyle name="Normal 64 2 2 2 3" xfId="3750" xr:uid="{00000000-0005-0000-0000-0000F52B0000}"/>
    <cellStyle name="Normal 64 2 2 2 3 2" xfId="8265" xr:uid="{00000000-0005-0000-0000-0000F62B0000}"/>
    <cellStyle name="Normal 64 2 2 2 3 2 2" xfId="17306" xr:uid="{00000000-0005-0000-0000-0000F72B0000}"/>
    <cellStyle name="Normal 64 2 2 2 3 3" xfId="12793" xr:uid="{00000000-0005-0000-0000-0000F82B0000}"/>
    <cellStyle name="Normal 64 2 2 2 4" xfId="5518" xr:uid="{00000000-0005-0000-0000-0000F92B0000}"/>
    <cellStyle name="Normal 64 2 2 2 4 2" xfId="14559" xr:uid="{00000000-0005-0000-0000-0000FA2B0000}"/>
    <cellStyle name="Normal 64 2 2 2 5" xfId="10046" xr:uid="{00000000-0005-0000-0000-0000FB2B0000}"/>
    <cellStyle name="Normal 64 2 2 3" xfId="1559" xr:uid="{00000000-0005-0000-0000-0000FC2B0000}"/>
    <cellStyle name="Normal 64 2 2 3 2" xfId="3752" xr:uid="{00000000-0005-0000-0000-0000FD2B0000}"/>
    <cellStyle name="Normal 64 2 2 3 2 2" xfId="8267" xr:uid="{00000000-0005-0000-0000-0000FE2B0000}"/>
    <cellStyle name="Normal 64 2 2 3 2 2 2" xfId="17308" xr:uid="{00000000-0005-0000-0000-0000FF2B0000}"/>
    <cellStyle name="Normal 64 2 2 3 2 3" xfId="12795" xr:uid="{00000000-0005-0000-0000-0000002C0000}"/>
    <cellStyle name="Normal 64 2 2 3 3" xfId="6082" xr:uid="{00000000-0005-0000-0000-0000012C0000}"/>
    <cellStyle name="Normal 64 2 2 3 3 2" xfId="15123" xr:uid="{00000000-0005-0000-0000-0000022C0000}"/>
    <cellStyle name="Normal 64 2 2 3 4" xfId="10610" xr:uid="{00000000-0005-0000-0000-0000032C0000}"/>
    <cellStyle name="Normal 64 2 2 4" xfId="3749" xr:uid="{00000000-0005-0000-0000-0000042C0000}"/>
    <cellStyle name="Normal 64 2 2 4 2" xfId="8264" xr:uid="{00000000-0005-0000-0000-0000052C0000}"/>
    <cellStyle name="Normal 64 2 2 4 2 2" xfId="17305" xr:uid="{00000000-0005-0000-0000-0000062C0000}"/>
    <cellStyle name="Normal 64 2 2 4 3" xfId="12792" xr:uid="{00000000-0005-0000-0000-0000072C0000}"/>
    <cellStyle name="Normal 64 2 2 5" xfId="4954" xr:uid="{00000000-0005-0000-0000-0000082C0000}"/>
    <cellStyle name="Normal 64 2 2 5 2" xfId="13995" xr:uid="{00000000-0005-0000-0000-0000092C0000}"/>
    <cellStyle name="Normal 64 2 2 6" xfId="9482" xr:uid="{00000000-0005-0000-0000-00000A2C0000}"/>
    <cellStyle name="Normal 64 2 3" xfId="577" xr:uid="{00000000-0005-0000-0000-00000B2C0000}"/>
    <cellStyle name="Normal 64 2 3 2" xfId="1141" xr:uid="{00000000-0005-0000-0000-00000C2C0000}"/>
    <cellStyle name="Normal 64 2 3 2 2" xfId="2311" xr:uid="{00000000-0005-0000-0000-00000D2C0000}"/>
    <cellStyle name="Normal 64 2 3 2 2 2" xfId="3755" xr:uid="{00000000-0005-0000-0000-00000E2C0000}"/>
    <cellStyle name="Normal 64 2 3 2 2 2 2" xfId="8270" xr:uid="{00000000-0005-0000-0000-00000F2C0000}"/>
    <cellStyle name="Normal 64 2 3 2 2 2 2 2" xfId="17311" xr:uid="{00000000-0005-0000-0000-0000102C0000}"/>
    <cellStyle name="Normal 64 2 3 2 2 2 3" xfId="12798" xr:uid="{00000000-0005-0000-0000-0000112C0000}"/>
    <cellStyle name="Normal 64 2 3 2 2 3" xfId="6834" xr:uid="{00000000-0005-0000-0000-0000122C0000}"/>
    <cellStyle name="Normal 64 2 3 2 2 3 2" xfId="15875" xr:uid="{00000000-0005-0000-0000-0000132C0000}"/>
    <cellStyle name="Normal 64 2 3 2 2 4" xfId="11362" xr:uid="{00000000-0005-0000-0000-0000142C0000}"/>
    <cellStyle name="Normal 64 2 3 2 3" xfId="3754" xr:uid="{00000000-0005-0000-0000-0000152C0000}"/>
    <cellStyle name="Normal 64 2 3 2 3 2" xfId="8269" xr:uid="{00000000-0005-0000-0000-0000162C0000}"/>
    <cellStyle name="Normal 64 2 3 2 3 2 2" xfId="17310" xr:uid="{00000000-0005-0000-0000-0000172C0000}"/>
    <cellStyle name="Normal 64 2 3 2 3 3" xfId="12797" xr:uid="{00000000-0005-0000-0000-0000182C0000}"/>
    <cellStyle name="Normal 64 2 3 2 4" xfId="5706" xr:uid="{00000000-0005-0000-0000-0000192C0000}"/>
    <cellStyle name="Normal 64 2 3 2 4 2" xfId="14747" xr:uid="{00000000-0005-0000-0000-00001A2C0000}"/>
    <cellStyle name="Normal 64 2 3 2 5" xfId="10234" xr:uid="{00000000-0005-0000-0000-00001B2C0000}"/>
    <cellStyle name="Normal 64 2 3 3" xfId="1747" xr:uid="{00000000-0005-0000-0000-00001C2C0000}"/>
    <cellStyle name="Normal 64 2 3 3 2" xfId="3756" xr:uid="{00000000-0005-0000-0000-00001D2C0000}"/>
    <cellStyle name="Normal 64 2 3 3 2 2" xfId="8271" xr:uid="{00000000-0005-0000-0000-00001E2C0000}"/>
    <cellStyle name="Normal 64 2 3 3 2 2 2" xfId="17312" xr:uid="{00000000-0005-0000-0000-00001F2C0000}"/>
    <cellStyle name="Normal 64 2 3 3 2 3" xfId="12799" xr:uid="{00000000-0005-0000-0000-0000202C0000}"/>
    <cellStyle name="Normal 64 2 3 3 3" xfId="6270" xr:uid="{00000000-0005-0000-0000-0000212C0000}"/>
    <cellStyle name="Normal 64 2 3 3 3 2" xfId="15311" xr:uid="{00000000-0005-0000-0000-0000222C0000}"/>
    <cellStyle name="Normal 64 2 3 3 4" xfId="10798" xr:uid="{00000000-0005-0000-0000-0000232C0000}"/>
    <cellStyle name="Normal 64 2 3 4" xfId="3753" xr:uid="{00000000-0005-0000-0000-0000242C0000}"/>
    <cellStyle name="Normal 64 2 3 4 2" xfId="8268" xr:uid="{00000000-0005-0000-0000-0000252C0000}"/>
    <cellStyle name="Normal 64 2 3 4 2 2" xfId="17309" xr:uid="{00000000-0005-0000-0000-0000262C0000}"/>
    <cellStyle name="Normal 64 2 3 4 3" xfId="12796" xr:uid="{00000000-0005-0000-0000-0000272C0000}"/>
    <cellStyle name="Normal 64 2 3 5" xfId="5142" xr:uid="{00000000-0005-0000-0000-0000282C0000}"/>
    <cellStyle name="Normal 64 2 3 5 2" xfId="14183" xr:uid="{00000000-0005-0000-0000-0000292C0000}"/>
    <cellStyle name="Normal 64 2 3 6" xfId="9670" xr:uid="{00000000-0005-0000-0000-00002A2C0000}"/>
    <cellStyle name="Normal 64 2 4" xfId="765" xr:uid="{00000000-0005-0000-0000-00002B2C0000}"/>
    <cellStyle name="Normal 64 2 4 2" xfId="1935" xr:uid="{00000000-0005-0000-0000-00002C2C0000}"/>
    <cellStyle name="Normal 64 2 4 2 2" xfId="3758" xr:uid="{00000000-0005-0000-0000-00002D2C0000}"/>
    <cellStyle name="Normal 64 2 4 2 2 2" xfId="8273" xr:uid="{00000000-0005-0000-0000-00002E2C0000}"/>
    <cellStyle name="Normal 64 2 4 2 2 2 2" xfId="17314" xr:uid="{00000000-0005-0000-0000-00002F2C0000}"/>
    <cellStyle name="Normal 64 2 4 2 2 3" xfId="12801" xr:uid="{00000000-0005-0000-0000-0000302C0000}"/>
    <cellStyle name="Normal 64 2 4 2 3" xfId="6458" xr:uid="{00000000-0005-0000-0000-0000312C0000}"/>
    <cellStyle name="Normal 64 2 4 2 3 2" xfId="15499" xr:uid="{00000000-0005-0000-0000-0000322C0000}"/>
    <cellStyle name="Normal 64 2 4 2 4" xfId="10986" xr:uid="{00000000-0005-0000-0000-0000332C0000}"/>
    <cellStyle name="Normal 64 2 4 3" xfId="3757" xr:uid="{00000000-0005-0000-0000-0000342C0000}"/>
    <cellStyle name="Normal 64 2 4 3 2" xfId="8272" xr:uid="{00000000-0005-0000-0000-0000352C0000}"/>
    <cellStyle name="Normal 64 2 4 3 2 2" xfId="17313" xr:uid="{00000000-0005-0000-0000-0000362C0000}"/>
    <cellStyle name="Normal 64 2 4 3 3" xfId="12800" xr:uid="{00000000-0005-0000-0000-0000372C0000}"/>
    <cellStyle name="Normal 64 2 4 4" xfId="5330" xr:uid="{00000000-0005-0000-0000-0000382C0000}"/>
    <cellStyle name="Normal 64 2 4 4 2" xfId="14371" xr:uid="{00000000-0005-0000-0000-0000392C0000}"/>
    <cellStyle name="Normal 64 2 4 5" xfId="9858" xr:uid="{00000000-0005-0000-0000-00003A2C0000}"/>
    <cellStyle name="Normal 64 2 5" xfId="1371" xr:uid="{00000000-0005-0000-0000-00003B2C0000}"/>
    <cellStyle name="Normal 64 2 5 2" xfId="3759" xr:uid="{00000000-0005-0000-0000-00003C2C0000}"/>
    <cellStyle name="Normal 64 2 5 2 2" xfId="8274" xr:uid="{00000000-0005-0000-0000-00003D2C0000}"/>
    <cellStyle name="Normal 64 2 5 2 2 2" xfId="17315" xr:uid="{00000000-0005-0000-0000-00003E2C0000}"/>
    <cellStyle name="Normal 64 2 5 2 3" xfId="12802" xr:uid="{00000000-0005-0000-0000-00003F2C0000}"/>
    <cellStyle name="Normal 64 2 5 3" xfId="5894" xr:uid="{00000000-0005-0000-0000-0000402C0000}"/>
    <cellStyle name="Normal 64 2 5 3 2" xfId="14935" xr:uid="{00000000-0005-0000-0000-0000412C0000}"/>
    <cellStyle name="Normal 64 2 5 4" xfId="10422" xr:uid="{00000000-0005-0000-0000-0000422C0000}"/>
    <cellStyle name="Normal 64 2 6" xfId="3748" xr:uid="{00000000-0005-0000-0000-0000432C0000}"/>
    <cellStyle name="Normal 64 2 6 2" xfId="8263" xr:uid="{00000000-0005-0000-0000-0000442C0000}"/>
    <cellStyle name="Normal 64 2 6 2 2" xfId="17304" xr:uid="{00000000-0005-0000-0000-0000452C0000}"/>
    <cellStyle name="Normal 64 2 6 3" xfId="12791" xr:uid="{00000000-0005-0000-0000-0000462C0000}"/>
    <cellStyle name="Normal 64 2 7" xfId="4766" xr:uid="{00000000-0005-0000-0000-0000472C0000}"/>
    <cellStyle name="Normal 64 2 7 2" xfId="13807" xr:uid="{00000000-0005-0000-0000-0000482C0000}"/>
    <cellStyle name="Normal 64 2 8" xfId="9294" xr:uid="{00000000-0005-0000-0000-0000492C0000}"/>
    <cellStyle name="Normal 64 3" xfId="295" xr:uid="{00000000-0005-0000-0000-00004A2C0000}"/>
    <cellStyle name="Normal 64 3 2" xfId="859" xr:uid="{00000000-0005-0000-0000-00004B2C0000}"/>
    <cellStyle name="Normal 64 3 2 2" xfId="2029" xr:uid="{00000000-0005-0000-0000-00004C2C0000}"/>
    <cellStyle name="Normal 64 3 2 2 2" xfId="3762" xr:uid="{00000000-0005-0000-0000-00004D2C0000}"/>
    <cellStyle name="Normal 64 3 2 2 2 2" xfId="8277" xr:uid="{00000000-0005-0000-0000-00004E2C0000}"/>
    <cellStyle name="Normal 64 3 2 2 2 2 2" xfId="17318" xr:uid="{00000000-0005-0000-0000-00004F2C0000}"/>
    <cellStyle name="Normal 64 3 2 2 2 3" xfId="12805" xr:uid="{00000000-0005-0000-0000-0000502C0000}"/>
    <cellStyle name="Normal 64 3 2 2 3" xfId="6552" xr:uid="{00000000-0005-0000-0000-0000512C0000}"/>
    <cellStyle name="Normal 64 3 2 2 3 2" xfId="15593" xr:uid="{00000000-0005-0000-0000-0000522C0000}"/>
    <cellStyle name="Normal 64 3 2 2 4" xfId="11080" xr:uid="{00000000-0005-0000-0000-0000532C0000}"/>
    <cellStyle name="Normal 64 3 2 3" xfId="3761" xr:uid="{00000000-0005-0000-0000-0000542C0000}"/>
    <cellStyle name="Normal 64 3 2 3 2" xfId="8276" xr:uid="{00000000-0005-0000-0000-0000552C0000}"/>
    <cellStyle name="Normal 64 3 2 3 2 2" xfId="17317" xr:uid="{00000000-0005-0000-0000-0000562C0000}"/>
    <cellStyle name="Normal 64 3 2 3 3" xfId="12804" xr:uid="{00000000-0005-0000-0000-0000572C0000}"/>
    <cellStyle name="Normal 64 3 2 4" xfId="5424" xr:uid="{00000000-0005-0000-0000-0000582C0000}"/>
    <cellStyle name="Normal 64 3 2 4 2" xfId="14465" xr:uid="{00000000-0005-0000-0000-0000592C0000}"/>
    <cellStyle name="Normal 64 3 2 5" xfId="9952" xr:uid="{00000000-0005-0000-0000-00005A2C0000}"/>
    <cellStyle name="Normal 64 3 3" xfId="1465" xr:uid="{00000000-0005-0000-0000-00005B2C0000}"/>
    <cellStyle name="Normal 64 3 3 2" xfId="3763" xr:uid="{00000000-0005-0000-0000-00005C2C0000}"/>
    <cellStyle name="Normal 64 3 3 2 2" xfId="8278" xr:uid="{00000000-0005-0000-0000-00005D2C0000}"/>
    <cellStyle name="Normal 64 3 3 2 2 2" xfId="17319" xr:uid="{00000000-0005-0000-0000-00005E2C0000}"/>
    <cellStyle name="Normal 64 3 3 2 3" xfId="12806" xr:uid="{00000000-0005-0000-0000-00005F2C0000}"/>
    <cellStyle name="Normal 64 3 3 3" xfId="5988" xr:uid="{00000000-0005-0000-0000-0000602C0000}"/>
    <cellStyle name="Normal 64 3 3 3 2" xfId="15029" xr:uid="{00000000-0005-0000-0000-0000612C0000}"/>
    <cellStyle name="Normal 64 3 3 4" xfId="10516" xr:uid="{00000000-0005-0000-0000-0000622C0000}"/>
    <cellStyle name="Normal 64 3 4" xfId="3760" xr:uid="{00000000-0005-0000-0000-0000632C0000}"/>
    <cellStyle name="Normal 64 3 4 2" xfId="8275" xr:uid="{00000000-0005-0000-0000-0000642C0000}"/>
    <cellStyle name="Normal 64 3 4 2 2" xfId="17316" xr:uid="{00000000-0005-0000-0000-0000652C0000}"/>
    <cellStyle name="Normal 64 3 4 3" xfId="12803" xr:uid="{00000000-0005-0000-0000-0000662C0000}"/>
    <cellStyle name="Normal 64 3 5" xfId="4860" xr:uid="{00000000-0005-0000-0000-0000672C0000}"/>
    <cellStyle name="Normal 64 3 5 2" xfId="13901" xr:uid="{00000000-0005-0000-0000-0000682C0000}"/>
    <cellStyle name="Normal 64 3 6" xfId="9388" xr:uid="{00000000-0005-0000-0000-0000692C0000}"/>
    <cellStyle name="Normal 64 4" xfId="483" xr:uid="{00000000-0005-0000-0000-00006A2C0000}"/>
    <cellStyle name="Normal 64 4 2" xfId="1047" xr:uid="{00000000-0005-0000-0000-00006B2C0000}"/>
    <cellStyle name="Normal 64 4 2 2" xfId="2217" xr:uid="{00000000-0005-0000-0000-00006C2C0000}"/>
    <cellStyle name="Normal 64 4 2 2 2" xfId="3766" xr:uid="{00000000-0005-0000-0000-00006D2C0000}"/>
    <cellStyle name="Normal 64 4 2 2 2 2" xfId="8281" xr:uid="{00000000-0005-0000-0000-00006E2C0000}"/>
    <cellStyle name="Normal 64 4 2 2 2 2 2" xfId="17322" xr:uid="{00000000-0005-0000-0000-00006F2C0000}"/>
    <cellStyle name="Normal 64 4 2 2 2 3" xfId="12809" xr:uid="{00000000-0005-0000-0000-0000702C0000}"/>
    <cellStyle name="Normal 64 4 2 2 3" xfId="6740" xr:uid="{00000000-0005-0000-0000-0000712C0000}"/>
    <cellStyle name="Normal 64 4 2 2 3 2" xfId="15781" xr:uid="{00000000-0005-0000-0000-0000722C0000}"/>
    <cellStyle name="Normal 64 4 2 2 4" xfId="11268" xr:uid="{00000000-0005-0000-0000-0000732C0000}"/>
    <cellStyle name="Normal 64 4 2 3" xfId="3765" xr:uid="{00000000-0005-0000-0000-0000742C0000}"/>
    <cellStyle name="Normal 64 4 2 3 2" xfId="8280" xr:uid="{00000000-0005-0000-0000-0000752C0000}"/>
    <cellStyle name="Normal 64 4 2 3 2 2" xfId="17321" xr:uid="{00000000-0005-0000-0000-0000762C0000}"/>
    <cellStyle name="Normal 64 4 2 3 3" xfId="12808" xr:uid="{00000000-0005-0000-0000-0000772C0000}"/>
    <cellStyle name="Normal 64 4 2 4" xfId="5612" xr:uid="{00000000-0005-0000-0000-0000782C0000}"/>
    <cellStyle name="Normal 64 4 2 4 2" xfId="14653" xr:uid="{00000000-0005-0000-0000-0000792C0000}"/>
    <cellStyle name="Normal 64 4 2 5" xfId="10140" xr:uid="{00000000-0005-0000-0000-00007A2C0000}"/>
    <cellStyle name="Normal 64 4 3" xfId="1653" xr:uid="{00000000-0005-0000-0000-00007B2C0000}"/>
    <cellStyle name="Normal 64 4 3 2" xfId="3767" xr:uid="{00000000-0005-0000-0000-00007C2C0000}"/>
    <cellStyle name="Normal 64 4 3 2 2" xfId="8282" xr:uid="{00000000-0005-0000-0000-00007D2C0000}"/>
    <cellStyle name="Normal 64 4 3 2 2 2" xfId="17323" xr:uid="{00000000-0005-0000-0000-00007E2C0000}"/>
    <cellStyle name="Normal 64 4 3 2 3" xfId="12810" xr:uid="{00000000-0005-0000-0000-00007F2C0000}"/>
    <cellStyle name="Normal 64 4 3 3" xfId="6176" xr:uid="{00000000-0005-0000-0000-0000802C0000}"/>
    <cellStyle name="Normal 64 4 3 3 2" xfId="15217" xr:uid="{00000000-0005-0000-0000-0000812C0000}"/>
    <cellStyle name="Normal 64 4 3 4" xfId="10704" xr:uid="{00000000-0005-0000-0000-0000822C0000}"/>
    <cellStyle name="Normal 64 4 4" xfId="3764" xr:uid="{00000000-0005-0000-0000-0000832C0000}"/>
    <cellStyle name="Normal 64 4 4 2" xfId="8279" xr:uid="{00000000-0005-0000-0000-0000842C0000}"/>
    <cellStyle name="Normal 64 4 4 2 2" xfId="17320" xr:uid="{00000000-0005-0000-0000-0000852C0000}"/>
    <cellStyle name="Normal 64 4 4 3" xfId="12807" xr:uid="{00000000-0005-0000-0000-0000862C0000}"/>
    <cellStyle name="Normal 64 4 5" xfId="5048" xr:uid="{00000000-0005-0000-0000-0000872C0000}"/>
    <cellStyle name="Normal 64 4 5 2" xfId="14089" xr:uid="{00000000-0005-0000-0000-0000882C0000}"/>
    <cellStyle name="Normal 64 4 6" xfId="9576" xr:uid="{00000000-0005-0000-0000-0000892C0000}"/>
    <cellStyle name="Normal 64 5" xfId="671" xr:uid="{00000000-0005-0000-0000-00008A2C0000}"/>
    <cellStyle name="Normal 64 5 2" xfId="1841" xr:uid="{00000000-0005-0000-0000-00008B2C0000}"/>
    <cellStyle name="Normal 64 5 2 2" xfId="3769" xr:uid="{00000000-0005-0000-0000-00008C2C0000}"/>
    <cellStyle name="Normal 64 5 2 2 2" xfId="8284" xr:uid="{00000000-0005-0000-0000-00008D2C0000}"/>
    <cellStyle name="Normal 64 5 2 2 2 2" xfId="17325" xr:uid="{00000000-0005-0000-0000-00008E2C0000}"/>
    <cellStyle name="Normal 64 5 2 2 3" xfId="12812" xr:uid="{00000000-0005-0000-0000-00008F2C0000}"/>
    <cellStyle name="Normal 64 5 2 3" xfId="6364" xr:uid="{00000000-0005-0000-0000-0000902C0000}"/>
    <cellStyle name="Normal 64 5 2 3 2" xfId="15405" xr:uid="{00000000-0005-0000-0000-0000912C0000}"/>
    <cellStyle name="Normal 64 5 2 4" xfId="10892" xr:uid="{00000000-0005-0000-0000-0000922C0000}"/>
    <cellStyle name="Normal 64 5 3" xfId="3768" xr:uid="{00000000-0005-0000-0000-0000932C0000}"/>
    <cellStyle name="Normal 64 5 3 2" xfId="8283" xr:uid="{00000000-0005-0000-0000-0000942C0000}"/>
    <cellStyle name="Normal 64 5 3 2 2" xfId="17324" xr:uid="{00000000-0005-0000-0000-0000952C0000}"/>
    <cellStyle name="Normal 64 5 3 3" xfId="12811" xr:uid="{00000000-0005-0000-0000-0000962C0000}"/>
    <cellStyle name="Normal 64 5 4" xfId="5236" xr:uid="{00000000-0005-0000-0000-0000972C0000}"/>
    <cellStyle name="Normal 64 5 4 2" xfId="14277" xr:uid="{00000000-0005-0000-0000-0000982C0000}"/>
    <cellStyle name="Normal 64 5 5" xfId="9764" xr:uid="{00000000-0005-0000-0000-0000992C0000}"/>
    <cellStyle name="Normal 64 6" xfId="1277" xr:uid="{00000000-0005-0000-0000-00009A2C0000}"/>
    <cellStyle name="Normal 64 6 2" xfId="3770" xr:uid="{00000000-0005-0000-0000-00009B2C0000}"/>
    <cellStyle name="Normal 64 6 2 2" xfId="8285" xr:uid="{00000000-0005-0000-0000-00009C2C0000}"/>
    <cellStyle name="Normal 64 6 2 2 2" xfId="17326" xr:uid="{00000000-0005-0000-0000-00009D2C0000}"/>
    <cellStyle name="Normal 64 6 2 3" xfId="12813" xr:uid="{00000000-0005-0000-0000-00009E2C0000}"/>
    <cellStyle name="Normal 64 6 3" xfId="5800" xr:uid="{00000000-0005-0000-0000-00009F2C0000}"/>
    <cellStyle name="Normal 64 6 3 2" xfId="14841" xr:uid="{00000000-0005-0000-0000-0000A02C0000}"/>
    <cellStyle name="Normal 64 6 4" xfId="10328" xr:uid="{00000000-0005-0000-0000-0000A12C0000}"/>
    <cellStyle name="Normal 64 7" xfId="3747" xr:uid="{00000000-0005-0000-0000-0000A22C0000}"/>
    <cellStyle name="Normal 64 7 2" xfId="8262" xr:uid="{00000000-0005-0000-0000-0000A32C0000}"/>
    <cellStyle name="Normal 64 7 2 2" xfId="17303" xr:uid="{00000000-0005-0000-0000-0000A42C0000}"/>
    <cellStyle name="Normal 64 7 3" xfId="12790" xr:uid="{00000000-0005-0000-0000-0000A52C0000}"/>
    <cellStyle name="Normal 64 8" xfId="4672" xr:uid="{00000000-0005-0000-0000-0000A62C0000}"/>
    <cellStyle name="Normal 64 8 2" xfId="13713" xr:uid="{00000000-0005-0000-0000-0000A72C0000}"/>
    <cellStyle name="Normal 64 9" xfId="9200" xr:uid="{00000000-0005-0000-0000-0000A82C0000}"/>
    <cellStyle name="Normal 65" xfId="65" xr:uid="{00000000-0005-0000-0000-0000A92C0000}"/>
    <cellStyle name="Normal 65 2" xfId="161" xr:uid="{00000000-0005-0000-0000-0000AA2C0000}"/>
    <cellStyle name="Normal 65 2 2" xfId="390" xr:uid="{00000000-0005-0000-0000-0000AB2C0000}"/>
    <cellStyle name="Normal 65 2 2 2" xfId="954" xr:uid="{00000000-0005-0000-0000-0000AC2C0000}"/>
    <cellStyle name="Normal 65 2 2 2 2" xfId="2124" xr:uid="{00000000-0005-0000-0000-0000AD2C0000}"/>
    <cellStyle name="Normal 65 2 2 2 2 2" xfId="3775" xr:uid="{00000000-0005-0000-0000-0000AE2C0000}"/>
    <cellStyle name="Normal 65 2 2 2 2 2 2" xfId="8290" xr:uid="{00000000-0005-0000-0000-0000AF2C0000}"/>
    <cellStyle name="Normal 65 2 2 2 2 2 2 2" xfId="17331" xr:uid="{00000000-0005-0000-0000-0000B02C0000}"/>
    <cellStyle name="Normal 65 2 2 2 2 2 3" xfId="12818" xr:uid="{00000000-0005-0000-0000-0000B12C0000}"/>
    <cellStyle name="Normal 65 2 2 2 2 3" xfId="6647" xr:uid="{00000000-0005-0000-0000-0000B22C0000}"/>
    <cellStyle name="Normal 65 2 2 2 2 3 2" xfId="15688" xr:uid="{00000000-0005-0000-0000-0000B32C0000}"/>
    <cellStyle name="Normal 65 2 2 2 2 4" xfId="11175" xr:uid="{00000000-0005-0000-0000-0000B42C0000}"/>
    <cellStyle name="Normal 65 2 2 2 3" xfId="3774" xr:uid="{00000000-0005-0000-0000-0000B52C0000}"/>
    <cellStyle name="Normal 65 2 2 2 3 2" xfId="8289" xr:uid="{00000000-0005-0000-0000-0000B62C0000}"/>
    <cellStyle name="Normal 65 2 2 2 3 2 2" xfId="17330" xr:uid="{00000000-0005-0000-0000-0000B72C0000}"/>
    <cellStyle name="Normal 65 2 2 2 3 3" xfId="12817" xr:uid="{00000000-0005-0000-0000-0000B82C0000}"/>
    <cellStyle name="Normal 65 2 2 2 4" xfId="5519" xr:uid="{00000000-0005-0000-0000-0000B92C0000}"/>
    <cellStyle name="Normal 65 2 2 2 4 2" xfId="14560" xr:uid="{00000000-0005-0000-0000-0000BA2C0000}"/>
    <cellStyle name="Normal 65 2 2 2 5" xfId="10047" xr:uid="{00000000-0005-0000-0000-0000BB2C0000}"/>
    <cellStyle name="Normal 65 2 2 3" xfId="1560" xr:uid="{00000000-0005-0000-0000-0000BC2C0000}"/>
    <cellStyle name="Normal 65 2 2 3 2" xfId="3776" xr:uid="{00000000-0005-0000-0000-0000BD2C0000}"/>
    <cellStyle name="Normal 65 2 2 3 2 2" xfId="8291" xr:uid="{00000000-0005-0000-0000-0000BE2C0000}"/>
    <cellStyle name="Normal 65 2 2 3 2 2 2" xfId="17332" xr:uid="{00000000-0005-0000-0000-0000BF2C0000}"/>
    <cellStyle name="Normal 65 2 2 3 2 3" xfId="12819" xr:uid="{00000000-0005-0000-0000-0000C02C0000}"/>
    <cellStyle name="Normal 65 2 2 3 3" xfId="6083" xr:uid="{00000000-0005-0000-0000-0000C12C0000}"/>
    <cellStyle name="Normal 65 2 2 3 3 2" xfId="15124" xr:uid="{00000000-0005-0000-0000-0000C22C0000}"/>
    <cellStyle name="Normal 65 2 2 3 4" xfId="10611" xr:uid="{00000000-0005-0000-0000-0000C32C0000}"/>
    <cellStyle name="Normal 65 2 2 4" xfId="3773" xr:uid="{00000000-0005-0000-0000-0000C42C0000}"/>
    <cellStyle name="Normal 65 2 2 4 2" xfId="8288" xr:uid="{00000000-0005-0000-0000-0000C52C0000}"/>
    <cellStyle name="Normal 65 2 2 4 2 2" xfId="17329" xr:uid="{00000000-0005-0000-0000-0000C62C0000}"/>
    <cellStyle name="Normal 65 2 2 4 3" xfId="12816" xr:uid="{00000000-0005-0000-0000-0000C72C0000}"/>
    <cellStyle name="Normal 65 2 2 5" xfId="4955" xr:uid="{00000000-0005-0000-0000-0000C82C0000}"/>
    <cellStyle name="Normal 65 2 2 5 2" xfId="13996" xr:uid="{00000000-0005-0000-0000-0000C92C0000}"/>
    <cellStyle name="Normal 65 2 2 6" xfId="9483" xr:uid="{00000000-0005-0000-0000-0000CA2C0000}"/>
    <cellStyle name="Normal 65 2 3" xfId="578" xr:uid="{00000000-0005-0000-0000-0000CB2C0000}"/>
    <cellStyle name="Normal 65 2 3 2" xfId="1142" xr:uid="{00000000-0005-0000-0000-0000CC2C0000}"/>
    <cellStyle name="Normal 65 2 3 2 2" xfId="2312" xr:uid="{00000000-0005-0000-0000-0000CD2C0000}"/>
    <cellStyle name="Normal 65 2 3 2 2 2" xfId="3779" xr:uid="{00000000-0005-0000-0000-0000CE2C0000}"/>
    <cellStyle name="Normal 65 2 3 2 2 2 2" xfId="8294" xr:uid="{00000000-0005-0000-0000-0000CF2C0000}"/>
    <cellStyle name="Normal 65 2 3 2 2 2 2 2" xfId="17335" xr:uid="{00000000-0005-0000-0000-0000D02C0000}"/>
    <cellStyle name="Normal 65 2 3 2 2 2 3" xfId="12822" xr:uid="{00000000-0005-0000-0000-0000D12C0000}"/>
    <cellStyle name="Normal 65 2 3 2 2 3" xfId="6835" xr:uid="{00000000-0005-0000-0000-0000D22C0000}"/>
    <cellStyle name="Normal 65 2 3 2 2 3 2" xfId="15876" xr:uid="{00000000-0005-0000-0000-0000D32C0000}"/>
    <cellStyle name="Normal 65 2 3 2 2 4" xfId="11363" xr:uid="{00000000-0005-0000-0000-0000D42C0000}"/>
    <cellStyle name="Normal 65 2 3 2 3" xfId="3778" xr:uid="{00000000-0005-0000-0000-0000D52C0000}"/>
    <cellStyle name="Normal 65 2 3 2 3 2" xfId="8293" xr:uid="{00000000-0005-0000-0000-0000D62C0000}"/>
    <cellStyle name="Normal 65 2 3 2 3 2 2" xfId="17334" xr:uid="{00000000-0005-0000-0000-0000D72C0000}"/>
    <cellStyle name="Normal 65 2 3 2 3 3" xfId="12821" xr:uid="{00000000-0005-0000-0000-0000D82C0000}"/>
    <cellStyle name="Normal 65 2 3 2 4" xfId="5707" xr:uid="{00000000-0005-0000-0000-0000D92C0000}"/>
    <cellStyle name="Normal 65 2 3 2 4 2" xfId="14748" xr:uid="{00000000-0005-0000-0000-0000DA2C0000}"/>
    <cellStyle name="Normal 65 2 3 2 5" xfId="10235" xr:uid="{00000000-0005-0000-0000-0000DB2C0000}"/>
    <cellStyle name="Normal 65 2 3 3" xfId="1748" xr:uid="{00000000-0005-0000-0000-0000DC2C0000}"/>
    <cellStyle name="Normal 65 2 3 3 2" xfId="3780" xr:uid="{00000000-0005-0000-0000-0000DD2C0000}"/>
    <cellStyle name="Normal 65 2 3 3 2 2" xfId="8295" xr:uid="{00000000-0005-0000-0000-0000DE2C0000}"/>
    <cellStyle name="Normal 65 2 3 3 2 2 2" xfId="17336" xr:uid="{00000000-0005-0000-0000-0000DF2C0000}"/>
    <cellStyle name="Normal 65 2 3 3 2 3" xfId="12823" xr:uid="{00000000-0005-0000-0000-0000E02C0000}"/>
    <cellStyle name="Normal 65 2 3 3 3" xfId="6271" xr:uid="{00000000-0005-0000-0000-0000E12C0000}"/>
    <cellStyle name="Normal 65 2 3 3 3 2" xfId="15312" xr:uid="{00000000-0005-0000-0000-0000E22C0000}"/>
    <cellStyle name="Normal 65 2 3 3 4" xfId="10799" xr:uid="{00000000-0005-0000-0000-0000E32C0000}"/>
    <cellStyle name="Normal 65 2 3 4" xfId="3777" xr:uid="{00000000-0005-0000-0000-0000E42C0000}"/>
    <cellStyle name="Normal 65 2 3 4 2" xfId="8292" xr:uid="{00000000-0005-0000-0000-0000E52C0000}"/>
    <cellStyle name="Normal 65 2 3 4 2 2" xfId="17333" xr:uid="{00000000-0005-0000-0000-0000E62C0000}"/>
    <cellStyle name="Normal 65 2 3 4 3" xfId="12820" xr:uid="{00000000-0005-0000-0000-0000E72C0000}"/>
    <cellStyle name="Normal 65 2 3 5" xfId="5143" xr:uid="{00000000-0005-0000-0000-0000E82C0000}"/>
    <cellStyle name="Normal 65 2 3 5 2" xfId="14184" xr:uid="{00000000-0005-0000-0000-0000E92C0000}"/>
    <cellStyle name="Normal 65 2 3 6" xfId="9671" xr:uid="{00000000-0005-0000-0000-0000EA2C0000}"/>
    <cellStyle name="Normal 65 2 4" xfId="766" xr:uid="{00000000-0005-0000-0000-0000EB2C0000}"/>
    <cellStyle name="Normal 65 2 4 2" xfId="1936" xr:uid="{00000000-0005-0000-0000-0000EC2C0000}"/>
    <cellStyle name="Normal 65 2 4 2 2" xfId="3782" xr:uid="{00000000-0005-0000-0000-0000ED2C0000}"/>
    <cellStyle name="Normal 65 2 4 2 2 2" xfId="8297" xr:uid="{00000000-0005-0000-0000-0000EE2C0000}"/>
    <cellStyle name="Normal 65 2 4 2 2 2 2" xfId="17338" xr:uid="{00000000-0005-0000-0000-0000EF2C0000}"/>
    <cellStyle name="Normal 65 2 4 2 2 3" xfId="12825" xr:uid="{00000000-0005-0000-0000-0000F02C0000}"/>
    <cellStyle name="Normal 65 2 4 2 3" xfId="6459" xr:uid="{00000000-0005-0000-0000-0000F12C0000}"/>
    <cellStyle name="Normal 65 2 4 2 3 2" xfId="15500" xr:uid="{00000000-0005-0000-0000-0000F22C0000}"/>
    <cellStyle name="Normal 65 2 4 2 4" xfId="10987" xr:uid="{00000000-0005-0000-0000-0000F32C0000}"/>
    <cellStyle name="Normal 65 2 4 3" xfId="3781" xr:uid="{00000000-0005-0000-0000-0000F42C0000}"/>
    <cellStyle name="Normal 65 2 4 3 2" xfId="8296" xr:uid="{00000000-0005-0000-0000-0000F52C0000}"/>
    <cellStyle name="Normal 65 2 4 3 2 2" xfId="17337" xr:uid="{00000000-0005-0000-0000-0000F62C0000}"/>
    <cellStyle name="Normal 65 2 4 3 3" xfId="12824" xr:uid="{00000000-0005-0000-0000-0000F72C0000}"/>
    <cellStyle name="Normal 65 2 4 4" xfId="5331" xr:uid="{00000000-0005-0000-0000-0000F82C0000}"/>
    <cellStyle name="Normal 65 2 4 4 2" xfId="14372" xr:uid="{00000000-0005-0000-0000-0000F92C0000}"/>
    <cellStyle name="Normal 65 2 4 5" xfId="9859" xr:uid="{00000000-0005-0000-0000-0000FA2C0000}"/>
    <cellStyle name="Normal 65 2 5" xfId="1372" xr:uid="{00000000-0005-0000-0000-0000FB2C0000}"/>
    <cellStyle name="Normal 65 2 5 2" xfId="3783" xr:uid="{00000000-0005-0000-0000-0000FC2C0000}"/>
    <cellStyle name="Normal 65 2 5 2 2" xfId="8298" xr:uid="{00000000-0005-0000-0000-0000FD2C0000}"/>
    <cellStyle name="Normal 65 2 5 2 2 2" xfId="17339" xr:uid="{00000000-0005-0000-0000-0000FE2C0000}"/>
    <cellStyle name="Normal 65 2 5 2 3" xfId="12826" xr:uid="{00000000-0005-0000-0000-0000FF2C0000}"/>
    <cellStyle name="Normal 65 2 5 3" xfId="5895" xr:uid="{00000000-0005-0000-0000-0000002D0000}"/>
    <cellStyle name="Normal 65 2 5 3 2" xfId="14936" xr:uid="{00000000-0005-0000-0000-0000012D0000}"/>
    <cellStyle name="Normal 65 2 5 4" xfId="10423" xr:uid="{00000000-0005-0000-0000-0000022D0000}"/>
    <cellStyle name="Normal 65 2 6" xfId="3772" xr:uid="{00000000-0005-0000-0000-0000032D0000}"/>
    <cellStyle name="Normal 65 2 6 2" xfId="8287" xr:uid="{00000000-0005-0000-0000-0000042D0000}"/>
    <cellStyle name="Normal 65 2 6 2 2" xfId="17328" xr:uid="{00000000-0005-0000-0000-0000052D0000}"/>
    <cellStyle name="Normal 65 2 6 3" xfId="12815" xr:uid="{00000000-0005-0000-0000-0000062D0000}"/>
    <cellStyle name="Normal 65 2 7" xfId="4767" xr:uid="{00000000-0005-0000-0000-0000072D0000}"/>
    <cellStyle name="Normal 65 2 7 2" xfId="13808" xr:uid="{00000000-0005-0000-0000-0000082D0000}"/>
    <cellStyle name="Normal 65 2 8" xfId="9295" xr:uid="{00000000-0005-0000-0000-0000092D0000}"/>
    <cellStyle name="Normal 65 3" xfId="296" xr:uid="{00000000-0005-0000-0000-00000A2D0000}"/>
    <cellStyle name="Normal 65 3 2" xfId="860" xr:uid="{00000000-0005-0000-0000-00000B2D0000}"/>
    <cellStyle name="Normal 65 3 2 2" xfId="2030" xr:uid="{00000000-0005-0000-0000-00000C2D0000}"/>
    <cellStyle name="Normal 65 3 2 2 2" xfId="3786" xr:uid="{00000000-0005-0000-0000-00000D2D0000}"/>
    <cellStyle name="Normal 65 3 2 2 2 2" xfId="8301" xr:uid="{00000000-0005-0000-0000-00000E2D0000}"/>
    <cellStyle name="Normal 65 3 2 2 2 2 2" xfId="17342" xr:uid="{00000000-0005-0000-0000-00000F2D0000}"/>
    <cellStyle name="Normal 65 3 2 2 2 3" xfId="12829" xr:uid="{00000000-0005-0000-0000-0000102D0000}"/>
    <cellStyle name="Normal 65 3 2 2 3" xfId="6553" xr:uid="{00000000-0005-0000-0000-0000112D0000}"/>
    <cellStyle name="Normal 65 3 2 2 3 2" xfId="15594" xr:uid="{00000000-0005-0000-0000-0000122D0000}"/>
    <cellStyle name="Normal 65 3 2 2 4" xfId="11081" xr:uid="{00000000-0005-0000-0000-0000132D0000}"/>
    <cellStyle name="Normal 65 3 2 3" xfId="3785" xr:uid="{00000000-0005-0000-0000-0000142D0000}"/>
    <cellStyle name="Normal 65 3 2 3 2" xfId="8300" xr:uid="{00000000-0005-0000-0000-0000152D0000}"/>
    <cellStyle name="Normal 65 3 2 3 2 2" xfId="17341" xr:uid="{00000000-0005-0000-0000-0000162D0000}"/>
    <cellStyle name="Normal 65 3 2 3 3" xfId="12828" xr:uid="{00000000-0005-0000-0000-0000172D0000}"/>
    <cellStyle name="Normal 65 3 2 4" xfId="5425" xr:uid="{00000000-0005-0000-0000-0000182D0000}"/>
    <cellStyle name="Normal 65 3 2 4 2" xfId="14466" xr:uid="{00000000-0005-0000-0000-0000192D0000}"/>
    <cellStyle name="Normal 65 3 2 5" xfId="9953" xr:uid="{00000000-0005-0000-0000-00001A2D0000}"/>
    <cellStyle name="Normal 65 3 3" xfId="1466" xr:uid="{00000000-0005-0000-0000-00001B2D0000}"/>
    <cellStyle name="Normal 65 3 3 2" xfId="3787" xr:uid="{00000000-0005-0000-0000-00001C2D0000}"/>
    <cellStyle name="Normal 65 3 3 2 2" xfId="8302" xr:uid="{00000000-0005-0000-0000-00001D2D0000}"/>
    <cellStyle name="Normal 65 3 3 2 2 2" xfId="17343" xr:uid="{00000000-0005-0000-0000-00001E2D0000}"/>
    <cellStyle name="Normal 65 3 3 2 3" xfId="12830" xr:uid="{00000000-0005-0000-0000-00001F2D0000}"/>
    <cellStyle name="Normal 65 3 3 3" xfId="5989" xr:uid="{00000000-0005-0000-0000-0000202D0000}"/>
    <cellStyle name="Normal 65 3 3 3 2" xfId="15030" xr:uid="{00000000-0005-0000-0000-0000212D0000}"/>
    <cellStyle name="Normal 65 3 3 4" xfId="10517" xr:uid="{00000000-0005-0000-0000-0000222D0000}"/>
    <cellStyle name="Normal 65 3 4" xfId="3784" xr:uid="{00000000-0005-0000-0000-0000232D0000}"/>
    <cellStyle name="Normal 65 3 4 2" xfId="8299" xr:uid="{00000000-0005-0000-0000-0000242D0000}"/>
    <cellStyle name="Normal 65 3 4 2 2" xfId="17340" xr:uid="{00000000-0005-0000-0000-0000252D0000}"/>
    <cellStyle name="Normal 65 3 4 3" xfId="12827" xr:uid="{00000000-0005-0000-0000-0000262D0000}"/>
    <cellStyle name="Normal 65 3 5" xfId="4861" xr:uid="{00000000-0005-0000-0000-0000272D0000}"/>
    <cellStyle name="Normal 65 3 5 2" xfId="13902" xr:uid="{00000000-0005-0000-0000-0000282D0000}"/>
    <cellStyle name="Normal 65 3 6" xfId="9389" xr:uid="{00000000-0005-0000-0000-0000292D0000}"/>
    <cellStyle name="Normal 65 4" xfId="484" xr:uid="{00000000-0005-0000-0000-00002A2D0000}"/>
    <cellStyle name="Normal 65 4 2" xfId="1048" xr:uid="{00000000-0005-0000-0000-00002B2D0000}"/>
    <cellStyle name="Normal 65 4 2 2" xfId="2218" xr:uid="{00000000-0005-0000-0000-00002C2D0000}"/>
    <cellStyle name="Normal 65 4 2 2 2" xfId="3790" xr:uid="{00000000-0005-0000-0000-00002D2D0000}"/>
    <cellStyle name="Normal 65 4 2 2 2 2" xfId="8305" xr:uid="{00000000-0005-0000-0000-00002E2D0000}"/>
    <cellStyle name="Normal 65 4 2 2 2 2 2" xfId="17346" xr:uid="{00000000-0005-0000-0000-00002F2D0000}"/>
    <cellStyle name="Normal 65 4 2 2 2 3" xfId="12833" xr:uid="{00000000-0005-0000-0000-0000302D0000}"/>
    <cellStyle name="Normal 65 4 2 2 3" xfId="6741" xr:uid="{00000000-0005-0000-0000-0000312D0000}"/>
    <cellStyle name="Normal 65 4 2 2 3 2" xfId="15782" xr:uid="{00000000-0005-0000-0000-0000322D0000}"/>
    <cellStyle name="Normal 65 4 2 2 4" xfId="11269" xr:uid="{00000000-0005-0000-0000-0000332D0000}"/>
    <cellStyle name="Normal 65 4 2 3" xfId="3789" xr:uid="{00000000-0005-0000-0000-0000342D0000}"/>
    <cellStyle name="Normal 65 4 2 3 2" xfId="8304" xr:uid="{00000000-0005-0000-0000-0000352D0000}"/>
    <cellStyle name="Normal 65 4 2 3 2 2" xfId="17345" xr:uid="{00000000-0005-0000-0000-0000362D0000}"/>
    <cellStyle name="Normal 65 4 2 3 3" xfId="12832" xr:uid="{00000000-0005-0000-0000-0000372D0000}"/>
    <cellStyle name="Normal 65 4 2 4" xfId="5613" xr:uid="{00000000-0005-0000-0000-0000382D0000}"/>
    <cellStyle name="Normal 65 4 2 4 2" xfId="14654" xr:uid="{00000000-0005-0000-0000-0000392D0000}"/>
    <cellStyle name="Normal 65 4 2 5" xfId="10141" xr:uid="{00000000-0005-0000-0000-00003A2D0000}"/>
    <cellStyle name="Normal 65 4 3" xfId="1654" xr:uid="{00000000-0005-0000-0000-00003B2D0000}"/>
    <cellStyle name="Normal 65 4 3 2" xfId="3791" xr:uid="{00000000-0005-0000-0000-00003C2D0000}"/>
    <cellStyle name="Normal 65 4 3 2 2" xfId="8306" xr:uid="{00000000-0005-0000-0000-00003D2D0000}"/>
    <cellStyle name="Normal 65 4 3 2 2 2" xfId="17347" xr:uid="{00000000-0005-0000-0000-00003E2D0000}"/>
    <cellStyle name="Normal 65 4 3 2 3" xfId="12834" xr:uid="{00000000-0005-0000-0000-00003F2D0000}"/>
    <cellStyle name="Normal 65 4 3 3" xfId="6177" xr:uid="{00000000-0005-0000-0000-0000402D0000}"/>
    <cellStyle name="Normal 65 4 3 3 2" xfId="15218" xr:uid="{00000000-0005-0000-0000-0000412D0000}"/>
    <cellStyle name="Normal 65 4 3 4" xfId="10705" xr:uid="{00000000-0005-0000-0000-0000422D0000}"/>
    <cellStyle name="Normal 65 4 4" xfId="3788" xr:uid="{00000000-0005-0000-0000-0000432D0000}"/>
    <cellStyle name="Normal 65 4 4 2" xfId="8303" xr:uid="{00000000-0005-0000-0000-0000442D0000}"/>
    <cellStyle name="Normal 65 4 4 2 2" xfId="17344" xr:uid="{00000000-0005-0000-0000-0000452D0000}"/>
    <cellStyle name="Normal 65 4 4 3" xfId="12831" xr:uid="{00000000-0005-0000-0000-0000462D0000}"/>
    <cellStyle name="Normal 65 4 5" xfId="5049" xr:uid="{00000000-0005-0000-0000-0000472D0000}"/>
    <cellStyle name="Normal 65 4 5 2" xfId="14090" xr:uid="{00000000-0005-0000-0000-0000482D0000}"/>
    <cellStyle name="Normal 65 4 6" xfId="9577" xr:uid="{00000000-0005-0000-0000-0000492D0000}"/>
    <cellStyle name="Normal 65 5" xfId="672" xr:uid="{00000000-0005-0000-0000-00004A2D0000}"/>
    <cellStyle name="Normal 65 5 2" xfId="1842" xr:uid="{00000000-0005-0000-0000-00004B2D0000}"/>
    <cellStyle name="Normal 65 5 2 2" xfId="3793" xr:uid="{00000000-0005-0000-0000-00004C2D0000}"/>
    <cellStyle name="Normal 65 5 2 2 2" xfId="8308" xr:uid="{00000000-0005-0000-0000-00004D2D0000}"/>
    <cellStyle name="Normal 65 5 2 2 2 2" xfId="17349" xr:uid="{00000000-0005-0000-0000-00004E2D0000}"/>
    <cellStyle name="Normal 65 5 2 2 3" xfId="12836" xr:uid="{00000000-0005-0000-0000-00004F2D0000}"/>
    <cellStyle name="Normal 65 5 2 3" xfId="6365" xr:uid="{00000000-0005-0000-0000-0000502D0000}"/>
    <cellStyle name="Normal 65 5 2 3 2" xfId="15406" xr:uid="{00000000-0005-0000-0000-0000512D0000}"/>
    <cellStyle name="Normal 65 5 2 4" xfId="10893" xr:uid="{00000000-0005-0000-0000-0000522D0000}"/>
    <cellStyle name="Normal 65 5 3" xfId="3792" xr:uid="{00000000-0005-0000-0000-0000532D0000}"/>
    <cellStyle name="Normal 65 5 3 2" xfId="8307" xr:uid="{00000000-0005-0000-0000-0000542D0000}"/>
    <cellStyle name="Normal 65 5 3 2 2" xfId="17348" xr:uid="{00000000-0005-0000-0000-0000552D0000}"/>
    <cellStyle name="Normal 65 5 3 3" xfId="12835" xr:uid="{00000000-0005-0000-0000-0000562D0000}"/>
    <cellStyle name="Normal 65 5 4" xfId="5237" xr:uid="{00000000-0005-0000-0000-0000572D0000}"/>
    <cellStyle name="Normal 65 5 4 2" xfId="14278" xr:uid="{00000000-0005-0000-0000-0000582D0000}"/>
    <cellStyle name="Normal 65 5 5" xfId="9765" xr:uid="{00000000-0005-0000-0000-0000592D0000}"/>
    <cellStyle name="Normal 65 6" xfId="1278" xr:uid="{00000000-0005-0000-0000-00005A2D0000}"/>
    <cellStyle name="Normal 65 6 2" xfId="3794" xr:uid="{00000000-0005-0000-0000-00005B2D0000}"/>
    <cellStyle name="Normal 65 6 2 2" xfId="8309" xr:uid="{00000000-0005-0000-0000-00005C2D0000}"/>
    <cellStyle name="Normal 65 6 2 2 2" xfId="17350" xr:uid="{00000000-0005-0000-0000-00005D2D0000}"/>
    <cellStyle name="Normal 65 6 2 3" xfId="12837" xr:uid="{00000000-0005-0000-0000-00005E2D0000}"/>
    <cellStyle name="Normal 65 6 3" xfId="5801" xr:uid="{00000000-0005-0000-0000-00005F2D0000}"/>
    <cellStyle name="Normal 65 6 3 2" xfId="14842" xr:uid="{00000000-0005-0000-0000-0000602D0000}"/>
    <cellStyle name="Normal 65 6 4" xfId="10329" xr:uid="{00000000-0005-0000-0000-0000612D0000}"/>
    <cellStyle name="Normal 65 7" xfId="3771" xr:uid="{00000000-0005-0000-0000-0000622D0000}"/>
    <cellStyle name="Normal 65 7 2" xfId="8286" xr:uid="{00000000-0005-0000-0000-0000632D0000}"/>
    <cellStyle name="Normal 65 7 2 2" xfId="17327" xr:uid="{00000000-0005-0000-0000-0000642D0000}"/>
    <cellStyle name="Normal 65 7 3" xfId="12814" xr:uid="{00000000-0005-0000-0000-0000652D0000}"/>
    <cellStyle name="Normal 65 8" xfId="4673" xr:uid="{00000000-0005-0000-0000-0000662D0000}"/>
    <cellStyle name="Normal 65 8 2" xfId="13714" xr:uid="{00000000-0005-0000-0000-0000672D0000}"/>
    <cellStyle name="Normal 65 9" xfId="9201" xr:uid="{00000000-0005-0000-0000-0000682D0000}"/>
    <cellStyle name="Normal 66" xfId="66" xr:uid="{00000000-0005-0000-0000-0000692D0000}"/>
    <cellStyle name="Normal 66 2" xfId="162" xr:uid="{00000000-0005-0000-0000-00006A2D0000}"/>
    <cellStyle name="Normal 66 2 2" xfId="391" xr:uid="{00000000-0005-0000-0000-00006B2D0000}"/>
    <cellStyle name="Normal 66 2 2 2" xfId="955" xr:uid="{00000000-0005-0000-0000-00006C2D0000}"/>
    <cellStyle name="Normal 66 2 2 2 2" xfId="2125" xr:uid="{00000000-0005-0000-0000-00006D2D0000}"/>
    <cellStyle name="Normal 66 2 2 2 2 2" xfId="3799" xr:uid="{00000000-0005-0000-0000-00006E2D0000}"/>
    <cellStyle name="Normal 66 2 2 2 2 2 2" xfId="8314" xr:uid="{00000000-0005-0000-0000-00006F2D0000}"/>
    <cellStyle name="Normal 66 2 2 2 2 2 2 2" xfId="17355" xr:uid="{00000000-0005-0000-0000-0000702D0000}"/>
    <cellStyle name="Normal 66 2 2 2 2 2 3" xfId="12842" xr:uid="{00000000-0005-0000-0000-0000712D0000}"/>
    <cellStyle name="Normal 66 2 2 2 2 3" xfId="6648" xr:uid="{00000000-0005-0000-0000-0000722D0000}"/>
    <cellStyle name="Normal 66 2 2 2 2 3 2" xfId="15689" xr:uid="{00000000-0005-0000-0000-0000732D0000}"/>
    <cellStyle name="Normal 66 2 2 2 2 4" xfId="11176" xr:uid="{00000000-0005-0000-0000-0000742D0000}"/>
    <cellStyle name="Normal 66 2 2 2 3" xfId="3798" xr:uid="{00000000-0005-0000-0000-0000752D0000}"/>
    <cellStyle name="Normal 66 2 2 2 3 2" xfId="8313" xr:uid="{00000000-0005-0000-0000-0000762D0000}"/>
    <cellStyle name="Normal 66 2 2 2 3 2 2" xfId="17354" xr:uid="{00000000-0005-0000-0000-0000772D0000}"/>
    <cellStyle name="Normal 66 2 2 2 3 3" xfId="12841" xr:uid="{00000000-0005-0000-0000-0000782D0000}"/>
    <cellStyle name="Normal 66 2 2 2 4" xfId="5520" xr:uid="{00000000-0005-0000-0000-0000792D0000}"/>
    <cellStyle name="Normal 66 2 2 2 4 2" xfId="14561" xr:uid="{00000000-0005-0000-0000-00007A2D0000}"/>
    <cellStyle name="Normal 66 2 2 2 5" xfId="10048" xr:uid="{00000000-0005-0000-0000-00007B2D0000}"/>
    <cellStyle name="Normal 66 2 2 3" xfId="1561" xr:uid="{00000000-0005-0000-0000-00007C2D0000}"/>
    <cellStyle name="Normal 66 2 2 3 2" xfId="3800" xr:uid="{00000000-0005-0000-0000-00007D2D0000}"/>
    <cellStyle name="Normal 66 2 2 3 2 2" xfId="8315" xr:uid="{00000000-0005-0000-0000-00007E2D0000}"/>
    <cellStyle name="Normal 66 2 2 3 2 2 2" xfId="17356" xr:uid="{00000000-0005-0000-0000-00007F2D0000}"/>
    <cellStyle name="Normal 66 2 2 3 2 3" xfId="12843" xr:uid="{00000000-0005-0000-0000-0000802D0000}"/>
    <cellStyle name="Normal 66 2 2 3 3" xfId="6084" xr:uid="{00000000-0005-0000-0000-0000812D0000}"/>
    <cellStyle name="Normal 66 2 2 3 3 2" xfId="15125" xr:uid="{00000000-0005-0000-0000-0000822D0000}"/>
    <cellStyle name="Normal 66 2 2 3 4" xfId="10612" xr:uid="{00000000-0005-0000-0000-0000832D0000}"/>
    <cellStyle name="Normal 66 2 2 4" xfId="3797" xr:uid="{00000000-0005-0000-0000-0000842D0000}"/>
    <cellStyle name="Normal 66 2 2 4 2" xfId="8312" xr:uid="{00000000-0005-0000-0000-0000852D0000}"/>
    <cellStyle name="Normal 66 2 2 4 2 2" xfId="17353" xr:uid="{00000000-0005-0000-0000-0000862D0000}"/>
    <cellStyle name="Normal 66 2 2 4 3" xfId="12840" xr:uid="{00000000-0005-0000-0000-0000872D0000}"/>
    <cellStyle name="Normal 66 2 2 5" xfId="4956" xr:uid="{00000000-0005-0000-0000-0000882D0000}"/>
    <cellStyle name="Normal 66 2 2 5 2" xfId="13997" xr:uid="{00000000-0005-0000-0000-0000892D0000}"/>
    <cellStyle name="Normal 66 2 2 6" xfId="9484" xr:uid="{00000000-0005-0000-0000-00008A2D0000}"/>
    <cellStyle name="Normal 66 2 3" xfId="579" xr:uid="{00000000-0005-0000-0000-00008B2D0000}"/>
    <cellStyle name="Normal 66 2 3 2" xfId="1143" xr:uid="{00000000-0005-0000-0000-00008C2D0000}"/>
    <cellStyle name="Normal 66 2 3 2 2" xfId="2313" xr:uid="{00000000-0005-0000-0000-00008D2D0000}"/>
    <cellStyle name="Normal 66 2 3 2 2 2" xfId="3803" xr:uid="{00000000-0005-0000-0000-00008E2D0000}"/>
    <cellStyle name="Normal 66 2 3 2 2 2 2" xfId="8318" xr:uid="{00000000-0005-0000-0000-00008F2D0000}"/>
    <cellStyle name="Normal 66 2 3 2 2 2 2 2" xfId="17359" xr:uid="{00000000-0005-0000-0000-0000902D0000}"/>
    <cellStyle name="Normal 66 2 3 2 2 2 3" xfId="12846" xr:uid="{00000000-0005-0000-0000-0000912D0000}"/>
    <cellStyle name="Normal 66 2 3 2 2 3" xfId="6836" xr:uid="{00000000-0005-0000-0000-0000922D0000}"/>
    <cellStyle name="Normal 66 2 3 2 2 3 2" xfId="15877" xr:uid="{00000000-0005-0000-0000-0000932D0000}"/>
    <cellStyle name="Normal 66 2 3 2 2 4" xfId="11364" xr:uid="{00000000-0005-0000-0000-0000942D0000}"/>
    <cellStyle name="Normal 66 2 3 2 3" xfId="3802" xr:uid="{00000000-0005-0000-0000-0000952D0000}"/>
    <cellStyle name="Normal 66 2 3 2 3 2" xfId="8317" xr:uid="{00000000-0005-0000-0000-0000962D0000}"/>
    <cellStyle name="Normal 66 2 3 2 3 2 2" xfId="17358" xr:uid="{00000000-0005-0000-0000-0000972D0000}"/>
    <cellStyle name="Normal 66 2 3 2 3 3" xfId="12845" xr:uid="{00000000-0005-0000-0000-0000982D0000}"/>
    <cellStyle name="Normal 66 2 3 2 4" xfId="5708" xr:uid="{00000000-0005-0000-0000-0000992D0000}"/>
    <cellStyle name="Normal 66 2 3 2 4 2" xfId="14749" xr:uid="{00000000-0005-0000-0000-00009A2D0000}"/>
    <cellStyle name="Normal 66 2 3 2 5" xfId="10236" xr:uid="{00000000-0005-0000-0000-00009B2D0000}"/>
    <cellStyle name="Normal 66 2 3 3" xfId="1749" xr:uid="{00000000-0005-0000-0000-00009C2D0000}"/>
    <cellStyle name="Normal 66 2 3 3 2" xfId="3804" xr:uid="{00000000-0005-0000-0000-00009D2D0000}"/>
    <cellStyle name="Normal 66 2 3 3 2 2" xfId="8319" xr:uid="{00000000-0005-0000-0000-00009E2D0000}"/>
    <cellStyle name="Normal 66 2 3 3 2 2 2" xfId="17360" xr:uid="{00000000-0005-0000-0000-00009F2D0000}"/>
    <cellStyle name="Normal 66 2 3 3 2 3" xfId="12847" xr:uid="{00000000-0005-0000-0000-0000A02D0000}"/>
    <cellStyle name="Normal 66 2 3 3 3" xfId="6272" xr:uid="{00000000-0005-0000-0000-0000A12D0000}"/>
    <cellStyle name="Normal 66 2 3 3 3 2" xfId="15313" xr:uid="{00000000-0005-0000-0000-0000A22D0000}"/>
    <cellStyle name="Normal 66 2 3 3 4" xfId="10800" xr:uid="{00000000-0005-0000-0000-0000A32D0000}"/>
    <cellStyle name="Normal 66 2 3 4" xfId="3801" xr:uid="{00000000-0005-0000-0000-0000A42D0000}"/>
    <cellStyle name="Normal 66 2 3 4 2" xfId="8316" xr:uid="{00000000-0005-0000-0000-0000A52D0000}"/>
    <cellStyle name="Normal 66 2 3 4 2 2" xfId="17357" xr:uid="{00000000-0005-0000-0000-0000A62D0000}"/>
    <cellStyle name="Normal 66 2 3 4 3" xfId="12844" xr:uid="{00000000-0005-0000-0000-0000A72D0000}"/>
    <cellStyle name="Normal 66 2 3 5" xfId="5144" xr:uid="{00000000-0005-0000-0000-0000A82D0000}"/>
    <cellStyle name="Normal 66 2 3 5 2" xfId="14185" xr:uid="{00000000-0005-0000-0000-0000A92D0000}"/>
    <cellStyle name="Normal 66 2 3 6" xfId="9672" xr:uid="{00000000-0005-0000-0000-0000AA2D0000}"/>
    <cellStyle name="Normal 66 2 4" xfId="767" xr:uid="{00000000-0005-0000-0000-0000AB2D0000}"/>
    <cellStyle name="Normal 66 2 4 2" xfId="1937" xr:uid="{00000000-0005-0000-0000-0000AC2D0000}"/>
    <cellStyle name="Normal 66 2 4 2 2" xfId="3806" xr:uid="{00000000-0005-0000-0000-0000AD2D0000}"/>
    <cellStyle name="Normal 66 2 4 2 2 2" xfId="8321" xr:uid="{00000000-0005-0000-0000-0000AE2D0000}"/>
    <cellStyle name="Normal 66 2 4 2 2 2 2" xfId="17362" xr:uid="{00000000-0005-0000-0000-0000AF2D0000}"/>
    <cellStyle name="Normal 66 2 4 2 2 3" xfId="12849" xr:uid="{00000000-0005-0000-0000-0000B02D0000}"/>
    <cellStyle name="Normal 66 2 4 2 3" xfId="6460" xr:uid="{00000000-0005-0000-0000-0000B12D0000}"/>
    <cellStyle name="Normal 66 2 4 2 3 2" xfId="15501" xr:uid="{00000000-0005-0000-0000-0000B22D0000}"/>
    <cellStyle name="Normal 66 2 4 2 4" xfId="10988" xr:uid="{00000000-0005-0000-0000-0000B32D0000}"/>
    <cellStyle name="Normal 66 2 4 3" xfId="3805" xr:uid="{00000000-0005-0000-0000-0000B42D0000}"/>
    <cellStyle name="Normal 66 2 4 3 2" xfId="8320" xr:uid="{00000000-0005-0000-0000-0000B52D0000}"/>
    <cellStyle name="Normal 66 2 4 3 2 2" xfId="17361" xr:uid="{00000000-0005-0000-0000-0000B62D0000}"/>
    <cellStyle name="Normal 66 2 4 3 3" xfId="12848" xr:uid="{00000000-0005-0000-0000-0000B72D0000}"/>
    <cellStyle name="Normal 66 2 4 4" xfId="5332" xr:uid="{00000000-0005-0000-0000-0000B82D0000}"/>
    <cellStyle name="Normal 66 2 4 4 2" xfId="14373" xr:uid="{00000000-0005-0000-0000-0000B92D0000}"/>
    <cellStyle name="Normal 66 2 4 5" xfId="9860" xr:uid="{00000000-0005-0000-0000-0000BA2D0000}"/>
    <cellStyle name="Normal 66 2 5" xfId="1373" xr:uid="{00000000-0005-0000-0000-0000BB2D0000}"/>
    <cellStyle name="Normal 66 2 5 2" xfId="3807" xr:uid="{00000000-0005-0000-0000-0000BC2D0000}"/>
    <cellStyle name="Normal 66 2 5 2 2" xfId="8322" xr:uid="{00000000-0005-0000-0000-0000BD2D0000}"/>
    <cellStyle name="Normal 66 2 5 2 2 2" xfId="17363" xr:uid="{00000000-0005-0000-0000-0000BE2D0000}"/>
    <cellStyle name="Normal 66 2 5 2 3" xfId="12850" xr:uid="{00000000-0005-0000-0000-0000BF2D0000}"/>
    <cellStyle name="Normal 66 2 5 3" xfId="5896" xr:uid="{00000000-0005-0000-0000-0000C02D0000}"/>
    <cellStyle name="Normal 66 2 5 3 2" xfId="14937" xr:uid="{00000000-0005-0000-0000-0000C12D0000}"/>
    <cellStyle name="Normal 66 2 5 4" xfId="10424" xr:uid="{00000000-0005-0000-0000-0000C22D0000}"/>
    <cellStyle name="Normal 66 2 6" xfId="3796" xr:uid="{00000000-0005-0000-0000-0000C32D0000}"/>
    <cellStyle name="Normal 66 2 6 2" xfId="8311" xr:uid="{00000000-0005-0000-0000-0000C42D0000}"/>
    <cellStyle name="Normal 66 2 6 2 2" xfId="17352" xr:uid="{00000000-0005-0000-0000-0000C52D0000}"/>
    <cellStyle name="Normal 66 2 6 3" xfId="12839" xr:uid="{00000000-0005-0000-0000-0000C62D0000}"/>
    <cellStyle name="Normal 66 2 7" xfId="4768" xr:uid="{00000000-0005-0000-0000-0000C72D0000}"/>
    <cellStyle name="Normal 66 2 7 2" xfId="13809" xr:uid="{00000000-0005-0000-0000-0000C82D0000}"/>
    <cellStyle name="Normal 66 2 8" xfId="9296" xr:uid="{00000000-0005-0000-0000-0000C92D0000}"/>
    <cellStyle name="Normal 66 3" xfId="297" xr:uid="{00000000-0005-0000-0000-0000CA2D0000}"/>
    <cellStyle name="Normal 66 3 2" xfId="861" xr:uid="{00000000-0005-0000-0000-0000CB2D0000}"/>
    <cellStyle name="Normal 66 3 2 2" xfId="2031" xr:uid="{00000000-0005-0000-0000-0000CC2D0000}"/>
    <cellStyle name="Normal 66 3 2 2 2" xfId="3810" xr:uid="{00000000-0005-0000-0000-0000CD2D0000}"/>
    <cellStyle name="Normal 66 3 2 2 2 2" xfId="8325" xr:uid="{00000000-0005-0000-0000-0000CE2D0000}"/>
    <cellStyle name="Normal 66 3 2 2 2 2 2" xfId="17366" xr:uid="{00000000-0005-0000-0000-0000CF2D0000}"/>
    <cellStyle name="Normal 66 3 2 2 2 3" xfId="12853" xr:uid="{00000000-0005-0000-0000-0000D02D0000}"/>
    <cellStyle name="Normal 66 3 2 2 3" xfId="6554" xr:uid="{00000000-0005-0000-0000-0000D12D0000}"/>
    <cellStyle name="Normal 66 3 2 2 3 2" xfId="15595" xr:uid="{00000000-0005-0000-0000-0000D22D0000}"/>
    <cellStyle name="Normal 66 3 2 2 4" xfId="11082" xr:uid="{00000000-0005-0000-0000-0000D32D0000}"/>
    <cellStyle name="Normal 66 3 2 3" xfId="3809" xr:uid="{00000000-0005-0000-0000-0000D42D0000}"/>
    <cellStyle name="Normal 66 3 2 3 2" xfId="8324" xr:uid="{00000000-0005-0000-0000-0000D52D0000}"/>
    <cellStyle name="Normal 66 3 2 3 2 2" xfId="17365" xr:uid="{00000000-0005-0000-0000-0000D62D0000}"/>
    <cellStyle name="Normal 66 3 2 3 3" xfId="12852" xr:uid="{00000000-0005-0000-0000-0000D72D0000}"/>
    <cellStyle name="Normal 66 3 2 4" xfId="5426" xr:uid="{00000000-0005-0000-0000-0000D82D0000}"/>
    <cellStyle name="Normal 66 3 2 4 2" xfId="14467" xr:uid="{00000000-0005-0000-0000-0000D92D0000}"/>
    <cellStyle name="Normal 66 3 2 5" xfId="9954" xr:uid="{00000000-0005-0000-0000-0000DA2D0000}"/>
    <cellStyle name="Normal 66 3 3" xfId="1467" xr:uid="{00000000-0005-0000-0000-0000DB2D0000}"/>
    <cellStyle name="Normal 66 3 3 2" xfId="3811" xr:uid="{00000000-0005-0000-0000-0000DC2D0000}"/>
    <cellStyle name="Normal 66 3 3 2 2" xfId="8326" xr:uid="{00000000-0005-0000-0000-0000DD2D0000}"/>
    <cellStyle name="Normal 66 3 3 2 2 2" xfId="17367" xr:uid="{00000000-0005-0000-0000-0000DE2D0000}"/>
    <cellStyle name="Normal 66 3 3 2 3" xfId="12854" xr:uid="{00000000-0005-0000-0000-0000DF2D0000}"/>
    <cellStyle name="Normal 66 3 3 3" xfId="5990" xr:uid="{00000000-0005-0000-0000-0000E02D0000}"/>
    <cellStyle name="Normal 66 3 3 3 2" xfId="15031" xr:uid="{00000000-0005-0000-0000-0000E12D0000}"/>
    <cellStyle name="Normal 66 3 3 4" xfId="10518" xr:uid="{00000000-0005-0000-0000-0000E22D0000}"/>
    <cellStyle name="Normal 66 3 4" xfId="3808" xr:uid="{00000000-0005-0000-0000-0000E32D0000}"/>
    <cellStyle name="Normal 66 3 4 2" xfId="8323" xr:uid="{00000000-0005-0000-0000-0000E42D0000}"/>
    <cellStyle name="Normal 66 3 4 2 2" xfId="17364" xr:uid="{00000000-0005-0000-0000-0000E52D0000}"/>
    <cellStyle name="Normal 66 3 4 3" xfId="12851" xr:uid="{00000000-0005-0000-0000-0000E62D0000}"/>
    <cellStyle name="Normal 66 3 5" xfId="4862" xr:uid="{00000000-0005-0000-0000-0000E72D0000}"/>
    <cellStyle name="Normal 66 3 5 2" xfId="13903" xr:uid="{00000000-0005-0000-0000-0000E82D0000}"/>
    <cellStyle name="Normal 66 3 6" xfId="9390" xr:uid="{00000000-0005-0000-0000-0000E92D0000}"/>
    <cellStyle name="Normal 66 4" xfId="485" xr:uid="{00000000-0005-0000-0000-0000EA2D0000}"/>
    <cellStyle name="Normal 66 4 2" xfId="1049" xr:uid="{00000000-0005-0000-0000-0000EB2D0000}"/>
    <cellStyle name="Normal 66 4 2 2" xfId="2219" xr:uid="{00000000-0005-0000-0000-0000EC2D0000}"/>
    <cellStyle name="Normal 66 4 2 2 2" xfId="3814" xr:uid="{00000000-0005-0000-0000-0000ED2D0000}"/>
    <cellStyle name="Normal 66 4 2 2 2 2" xfId="8329" xr:uid="{00000000-0005-0000-0000-0000EE2D0000}"/>
    <cellStyle name="Normal 66 4 2 2 2 2 2" xfId="17370" xr:uid="{00000000-0005-0000-0000-0000EF2D0000}"/>
    <cellStyle name="Normal 66 4 2 2 2 3" xfId="12857" xr:uid="{00000000-0005-0000-0000-0000F02D0000}"/>
    <cellStyle name="Normal 66 4 2 2 3" xfId="6742" xr:uid="{00000000-0005-0000-0000-0000F12D0000}"/>
    <cellStyle name="Normal 66 4 2 2 3 2" xfId="15783" xr:uid="{00000000-0005-0000-0000-0000F22D0000}"/>
    <cellStyle name="Normal 66 4 2 2 4" xfId="11270" xr:uid="{00000000-0005-0000-0000-0000F32D0000}"/>
    <cellStyle name="Normal 66 4 2 3" xfId="3813" xr:uid="{00000000-0005-0000-0000-0000F42D0000}"/>
    <cellStyle name="Normal 66 4 2 3 2" xfId="8328" xr:uid="{00000000-0005-0000-0000-0000F52D0000}"/>
    <cellStyle name="Normal 66 4 2 3 2 2" xfId="17369" xr:uid="{00000000-0005-0000-0000-0000F62D0000}"/>
    <cellStyle name="Normal 66 4 2 3 3" xfId="12856" xr:uid="{00000000-0005-0000-0000-0000F72D0000}"/>
    <cellStyle name="Normal 66 4 2 4" xfId="5614" xr:uid="{00000000-0005-0000-0000-0000F82D0000}"/>
    <cellStyle name="Normal 66 4 2 4 2" xfId="14655" xr:uid="{00000000-0005-0000-0000-0000F92D0000}"/>
    <cellStyle name="Normal 66 4 2 5" xfId="10142" xr:uid="{00000000-0005-0000-0000-0000FA2D0000}"/>
    <cellStyle name="Normal 66 4 3" xfId="1655" xr:uid="{00000000-0005-0000-0000-0000FB2D0000}"/>
    <cellStyle name="Normal 66 4 3 2" xfId="3815" xr:uid="{00000000-0005-0000-0000-0000FC2D0000}"/>
    <cellStyle name="Normal 66 4 3 2 2" xfId="8330" xr:uid="{00000000-0005-0000-0000-0000FD2D0000}"/>
    <cellStyle name="Normal 66 4 3 2 2 2" xfId="17371" xr:uid="{00000000-0005-0000-0000-0000FE2D0000}"/>
    <cellStyle name="Normal 66 4 3 2 3" xfId="12858" xr:uid="{00000000-0005-0000-0000-0000FF2D0000}"/>
    <cellStyle name="Normal 66 4 3 3" xfId="6178" xr:uid="{00000000-0005-0000-0000-0000002E0000}"/>
    <cellStyle name="Normal 66 4 3 3 2" xfId="15219" xr:uid="{00000000-0005-0000-0000-0000012E0000}"/>
    <cellStyle name="Normal 66 4 3 4" xfId="10706" xr:uid="{00000000-0005-0000-0000-0000022E0000}"/>
    <cellStyle name="Normal 66 4 4" xfId="3812" xr:uid="{00000000-0005-0000-0000-0000032E0000}"/>
    <cellStyle name="Normal 66 4 4 2" xfId="8327" xr:uid="{00000000-0005-0000-0000-0000042E0000}"/>
    <cellStyle name="Normal 66 4 4 2 2" xfId="17368" xr:uid="{00000000-0005-0000-0000-0000052E0000}"/>
    <cellStyle name="Normal 66 4 4 3" xfId="12855" xr:uid="{00000000-0005-0000-0000-0000062E0000}"/>
    <cellStyle name="Normal 66 4 5" xfId="5050" xr:uid="{00000000-0005-0000-0000-0000072E0000}"/>
    <cellStyle name="Normal 66 4 5 2" xfId="14091" xr:uid="{00000000-0005-0000-0000-0000082E0000}"/>
    <cellStyle name="Normal 66 4 6" xfId="9578" xr:uid="{00000000-0005-0000-0000-0000092E0000}"/>
    <cellStyle name="Normal 66 5" xfId="673" xr:uid="{00000000-0005-0000-0000-00000A2E0000}"/>
    <cellStyle name="Normal 66 5 2" xfId="1843" xr:uid="{00000000-0005-0000-0000-00000B2E0000}"/>
    <cellStyle name="Normal 66 5 2 2" xfId="3817" xr:uid="{00000000-0005-0000-0000-00000C2E0000}"/>
    <cellStyle name="Normal 66 5 2 2 2" xfId="8332" xr:uid="{00000000-0005-0000-0000-00000D2E0000}"/>
    <cellStyle name="Normal 66 5 2 2 2 2" xfId="17373" xr:uid="{00000000-0005-0000-0000-00000E2E0000}"/>
    <cellStyle name="Normal 66 5 2 2 3" xfId="12860" xr:uid="{00000000-0005-0000-0000-00000F2E0000}"/>
    <cellStyle name="Normal 66 5 2 3" xfId="6366" xr:uid="{00000000-0005-0000-0000-0000102E0000}"/>
    <cellStyle name="Normal 66 5 2 3 2" xfId="15407" xr:uid="{00000000-0005-0000-0000-0000112E0000}"/>
    <cellStyle name="Normal 66 5 2 4" xfId="10894" xr:uid="{00000000-0005-0000-0000-0000122E0000}"/>
    <cellStyle name="Normal 66 5 3" xfId="3816" xr:uid="{00000000-0005-0000-0000-0000132E0000}"/>
    <cellStyle name="Normal 66 5 3 2" xfId="8331" xr:uid="{00000000-0005-0000-0000-0000142E0000}"/>
    <cellStyle name="Normal 66 5 3 2 2" xfId="17372" xr:uid="{00000000-0005-0000-0000-0000152E0000}"/>
    <cellStyle name="Normal 66 5 3 3" xfId="12859" xr:uid="{00000000-0005-0000-0000-0000162E0000}"/>
    <cellStyle name="Normal 66 5 4" xfId="5238" xr:uid="{00000000-0005-0000-0000-0000172E0000}"/>
    <cellStyle name="Normal 66 5 4 2" xfId="14279" xr:uid="{00000000-0005-0000-0000-0000182E0000}"/>
    <cellStyle name="Normal 66 5 5" xfId="9766" xr:uid="{00000000-0005-0000-0000-0000192E0000}"/>
    <cellStyle name="Normal 66 6" xfId="1279" xr:uid="{00000000-0005-0000-0000-00001A2E0000}"/>
    <cellStyle name="Normal 66 6 2" xfId="3818" xr:uid="{00000000-0005-0000-0000-00001B2E0000}"/>
    <cellStyle name="Normal 66 6 2 2" xfId="8333" xr:uid="{00000000-0005-0000-0000-00001C2E0000}"/>
    <cellStyle name="Normal 66 6 2 2 2" xfId="17374" xr:uid="{00000000-0005-0000-0000-00001D2E0000}"/>
    <cellStyle name="Normal 66 6 2 3" xfId="12861" xr:uid="{00000000-0005-0000-0000-00001E2E0000}"/>
    <cellStyle name="Normal 66 6 3" xfId="5802" xr:uid="{00000000-0005-0000-0000-00001F2E0000}"/>
    <cellStyle name="Normal 66 6 3 2" xfId="14843" xr:uid="{00000000-0005-0000-0000-0000202E0000}"/>
    <cellStyle name="Normal 66 6 4" xfId="10330" xr:uid="{00000000-0005-0000-0000-0000212E0000}"/>
    <cellStyle name="Normal 66 7" xfId="3795" xr:uid="{00000000-0005-0000-0000-0000222E0000}"/>
    <cellStyle name="Normal 66 7 2" xfId="8310" xr:uid="{00000000-0005-0000-0000-0000232E0000}"/>
    <cellStyle name="Normal 66 7 2 2" xfId="17351" xr:uid="{00000000-0005-0000-0000-0000242E0000}"/>
    <cellStyle name="Normal 66 7 3" xfId="12838" xr:uid="{00000000-0005-0000-0000-0000252E0000}"/>
    <cellStyle name="Normal 66 8" xfId="4674" xr:uid="{00000000-0005-0000-0000-0000262E0000}"/>
    <cellStyle name="Normal 66 8 2" xfId="13715" xr:uid="{00000000-0005-0000-0000-0000272E0000}"/>
    <cellStyle name="Normal 66 9" xfId="9202" xr:uid="{00000000-0005-0000-0000-0000282E0000}"/>
    <cellStyle name="Normal 67" xfId="67" xr:uid="{00000000-0005-0000-0000-0000292E0000}"/>
    <cellStyle name="Normal 67 2" xfId="163" xr:uid="{00000000-0005-0000-0000-00002A2E0000}"/>
    <cellStyle name="Normal 67 2 2" xfId="392" xr:uid="{00000000-0005-0000-0000-00002B2E0000}"/>
    <cellStyle name="Normal 67 2 2 2" xfId="956" xr:uid="{00000000-0005-0000-0000-00002C2E0000}"/>
    <cellStyle name="Normal 67 2 2 2 2" xfId="2126" xr:uid="{00000000-0005-0000-0000-00002D2E0000}"/>
    <cellStyle name="Normal 67 2 2 2 2 2" xfId="3823" xr:uid="{00000000-0005-0000-0000-00002E2E0000}"/>
    <cellStyle name="Normal 67 2 2 2 2 2 2" xfId="8338" xr:uid="{00000000-0005-0000-0000-00002F2E0000}"/>
    <cellStyle name="Normal 67 2 2 2 2 2 2 2" xfId="17379" xr:uid="{00000000-0005-0000-0000-0000302E0000}"/>
    <cellStyle name="Normal 67 2 2 2 2 2 3" xfId="12866" xr:uid="{00000000-0005-0000-0000-0000312E0000}"/>
    <cellStyle name="Normal 67 2 2 2 2 3" xfId="6649" xr:uid="{00000000-0005-0000-0000-0000322E0000}"/>
    <cellStyle name="Normal 67 2 2 2 2 3 2" xfId="15690" xr:uid="{00000000-0005-0000-0000-0000332E0000}"/>
    <cellStyle name="Normal 67 2 2 2 2 4" xfId="11177" xr:uid="{00000000-0005-0000-0000-0000342E0000}"/>
    <cellStyle name="Normal 67 2 2 2 3" xfId="3822" xr:uid="{00000000-0005-0000-0000-0000352E0000}"/>
    <cellStyle name="Normal 67 2 2 2 3 2" xfId="8337" xr:uid="{00000000-0005-0000-0000-0000362E0000}"/>
    <cellStyle name="Normal 67 2 2 2 3 2 2" xfId="17378" xr:uid="{00000000-0005-0000-0000-0000372E0000}"/>
    <cellStyle name="Normal 67 2 2 2 3 3" xfId="12865" xr:uid="{00000000-0005-0000-0000-0000382E0000}"/>
    <cellStyle name="Normal 67 2 2 2 4" xfId="5521" xr:uid="{00000000-0005-0000-0000-0000392E0000}"/>
    <cellStyle name="Normal 67 2 2 2 4 2" xfId="14562" xr:uid="{00000000-0005-0000-0000-00003A2E0000}"/>
    <cellStyle name="Normal 67 2 2 2 5" xfId="10049" xr:uid="{00000000-0005-0000-0000-00003B2E0000}"/>
    <cellStyle name="Normal 67 2 2 3" xfId="1562" xr:uid="{00000000-0005-0000-0000-00003C2E0000}"/>
    <cellStyle name="Normal 67 2 2 3 2" xfId="3824" xr:uid="{00000000-0005-0000-0000-00003D2E0000}"/>
    <cellStyle name="Normal 67 2 2 3 2 2" xfId="8339" xr:uid="{00000000-0005-0000-0000-00003E2E0000}"/>
    <cellStyle name="Normal 67 2 2 3 2 2 2" xfId="17380" xr:uid="{00000000-0005-0000-0000-00003F2E0000}"/>
    <cellStyle name="Normal 67 2 2 3 2 3" xfId="12867" xr:uid="{00000000-0005-0000-0000-0000402E0000}"/>
    <cellStyle name="Normal 67 2 2 3 3" xfId="6085" xr:uid="{00000000-0005-0000-0000-0000412E0000}"/>
    <cellStyle name="Normal 67 2 2 3 3 2" xfId="15126" xr:uid="{00000000-0005-0000-0000-0000422E0000}"/>
    <cellStyle name="Normal 67 2 2 3 4" xfId="10613" xr:uid="{00000000-0005-0000-0000-0000432E0000}"/>
    <cellStyle name="Normal 67 2 2 4" xfId="3821" xr:uid="{00000000-0005-0000-0000-0000442E0000}"/>
    <cellStyle name="Normal 67 2 2 4 2" xfId="8336" xr:uid="{00000000-0005-0000-0000-0000452E0000}"/>
    <cellStyle name="Normal 67 2 2 4 2 2" xfId="17377" xr:uid="{00000000-0005-0000-0000-0000462E0000}"/>
    <cellStyle name="Normal 67 2 2 4 3" xfId="12864" xr:uid="{00000000-0005-0000-0000-0000472E0000}"/>
    <cellStyle name="Normal 67 2 2 5" xfId="4957" xr:uid="{00000000-0005-0000-0000-0000482E0000}"/>
    <cellStyle name="Normal 67 2 2 5 2" xfId="13998" xr:uid="{00000000-0005-0000-0000-0000492E0000}"/>
    <cellStyle name="Normal 67 2 2 6" xfId="9485" xr:uid="{00000000-0005-0000-0000-00004A2E0000}"/>
    <cellStyle name="Normal 67 2 3" xfId="580" xr:uid="{00000000-0005-0000-0000-00004B2E0000}"/>
    <cellStyle name="Normal 67 2 3 2" xfId="1144" xr:uid="{00000000-0005-0000-0000-00004C2E0000}"/>
    <cellStyle name="Normal 67 2 3 2 2" xfId="2314" xr:uid="{00000000-0005-0000-0000-00004D2E0000}"/>
    <cellStyle name="Normal 67 2 3 2 2 2" xfId="3827" xr:uid="{00000000-0005-0000-0000-00004E2E0000}"/>
    <cellStyle name="Normal 67 2 3 2 2 2 2" xfId="8342" xr:uid="{00000000-0005-0000-0000-00004F2E0000}"/>
    <cellStyle name="Normal 67 2 3 2 2 2 2 2" xfId="17383" xr:uid="{00000000-0005-0000-0000-0000502E0000}"/>
    <cellStyle name="Normal 67 2 3 2 2 2 3" xfId="12870" xr:uid="{00000000-0005-0000-0000-0000512E0000}"/>
    <cellStyle name="Normal 67 2 3 2 2 3" xfId="6837" xr:uid="{00000000-0005-0000-0000-0000522E0000}"/>
    <cellStyle name="Normal 67 2 3 2 2 3 2" xfId="15878" xr:uid="{00000000-0005-0000-0000-0000532E0000}"/>
    <cellStyle name="Normal 67 2 3 2 2 4" xfId="11365" xr:uid="{00000000-0005-0000-0000-0000542E0000}"/>
    <cellStyle name="Normal 67 2 3 2 3" xfId="3826" xr:uid="{00000000-0005-0000-0000-0000552E0000}"/>
    <cellStyle name="Normal 67 2 3 2 3 2" xfId="8341" xr:uid="{00000000-0005-0000-0000-0000562E0000}"/>
    <cellStyle name="Normal 67 2 3 2 3 2 2" xfId="17382" xr:uid="{00000000-0005-0000-0000-0000572E0000}"/>
    <cellStyle name="Normal 67 2 3 2 3 3" xfId="12869" xr:uid="{00000000-0005-0000-0000-0000582E0000}"/>
    <cellStyle name="Normal 67 2 3 2 4" xfId="5709" xr:uid="{00000000-0005-0000-0000-0000592E0000}"/>
    <cellStyle name="Normal 67 2 3 2 4 2" xfId="14750" xr:uid="{00000000-0005-0000-0000-00005A2E0000}"/>
    <cellStyle name="Normal 67 2 3 2 5" xfId="10237" xr:uid="{00000000-0005-0000-0000-00005B2E0000}"/>
    <cellStyle name="Normal 67 2 3 3" xfId="1750" xr:uid="{00000000-0005-0000-0000-00005C2E0000}"/>
    <cellStyle name="Normal 67 2 3 3 2" xfId="3828" xr:uid="{00000000-0005-0000-0000-00005D2E0000}"/>
    <cellStyle name="Normal 67 2 3 3 2 2" xfId="8343" xr:uid="{00000000-0005-0000-0000-00005E2E0000}"/>
    <cellStyle name="Normal 67 2 3 3 2 2 2" xfId="17384" xr:uid="{00000000-0005-0000-0000-00005F2E0000}"/>
    <cellStyle name="Normal 67 2 3 3 2 3" xfId="12871" xr:uid="{00000000-0005-0000-0000-0000602E0000}"/>
    <cellStyle name="Normal 67 2 3 3 3" xfId="6273" xr:uid="{00000000-0005-0000-0000-0000612E0000}"/>
    <cellStyle name="Normal 67 2 3 3 3 2" xfId="15314" xr:uid="{00000000-0005-0000-0000-0000622E0000}"/>
    <cellStyle name="Normal 67 2 3 3 4" xfId="10801" xr:uid="{00000000-0005-0000-0000-0000632E0000}"/>
    <cellStyle name="Normal 67 2 3 4" xfId="3825" xr:uid="{00000000-0005-0000-0000-0000642E0000}"/>
    <cellStyle name="Normal 67 2 3 4 2" xfId="8340" xr:uid="{00000000-0005-0000-0000-0000652E0000}"/>
    <cellStyle name="Normal 67 2 3 4 2 2" xfId="17381" xr:uid="{00000000-0005-0000-0000-0000662E0000}"/>
    <cellStyle name="Normal 67 2 3 4 3" xfId="12868" xr:uid="{00000000-0005-0000-0000-0000672E0000}"/>
    <cellStyle name="Normal 67 2 3 5" xfId="5145" xr:uid="{00000000-0005-0000-0000-0000682E0000}"/>
    <cellStyle name="Normal 67 2 3 5 2" xfId="14186" xr:uid="{00000000-0005-0000-0000-0000692E0000}"/>
    <cellStyle name="Normal 67 2 3 6" xfId="9673" xr:uid="{00000000-0005-0000-0000-00006A2E0000}"/>
    <cellStyle name="Normal 67 2 4" xfId="768" xr:uid="{00000000-0005-0000-0000-00006B2E0000}"/>
    <cellStyle name="Normal 67 2 4 2" xfId="1938" xr:uid="{00000000-0005-0000-0000-00006C2E0000}"/>
    <cellStyle name="Normal 67 2 4 2 2" xfId="3830" xr:uid="{00000000-0005-0000-0000-00006D2E0000}"/>
    <cellStyle name="Normal 67 2 4 2 2 2" xfId="8345" xr:uid="{00000000-0005-0000-0000-00006E2E0000}"/>
    <cellStyle name="Normal 67 2 4 2 2 2 2" xfId="17386" xr:uid="{00000000-0005-0000-0000-00006F2E0000}"/>
    <cellStyle name="Normal 67 2 4 2 2 3" xfId="12873" xr:uid="{00000000-0005-0000-0000-0000702E0000}"/>
    <cellStyle name="Normal 67 2 4 2 3" xfId="6461" xr:uid="{00000000-0005-0000-0000-0000712E0000}"/>
    <cellStyle name="Normal 67 2 4 2 3 2" xfId="15502" xr:uid="{00000000-0005-0000-0000-0000722E0000}"/>
    <cellStyle name="Normal 67 2 4 2 4" xfId="10989" xr:uid="{00000000-0005-0000-0000-0000732E0000}"/>
    <cellStyle name="Normal 67 2 4 3" xfId="3829" xr:uid="{00000000-0005-0000-0000-0000742E0000}"/>
    <cellStyle name="Normal 67 2 4 3 2" xfId="8344" xr:uid="{00000000-0005-0000-0000-0000752E0000}"/>
    <cellStyle name="Normal 67 2 4 3 2 2" xfId="17385" xr:uid="{00000000-0005-0000-0000-0000762E0000}"/>
    <cellStyle name="Normal 67 2 4 3 3" xfId="12872" xr:uid="{00000000-0005-0000-0000-0000772E0000}"/>
    <cellStyle name="Normal 67 2 4 4" xfId="5333" xr:uid="{00000000-0005-0000-0000-0000782E0000}"/>
    <cellStyle name="Normal 67 2 4 4 2" xfId="14374" xr:uid="{00000000-0005-0000-0000-0000792E0000}"/>
    <cellStyle name="Normal 67 2 4 5" xfId="9861" xr:uid="{00000000-0005-0000-0000-00007A2E0000}"/>
    <cellStyle name="Normal 67 2 5" xfId="1374" xr:uid="{00000000-0005-0000-0000-00007B2E0000}"/>
    <cellStyle name="Normal 67 2 5 2" xfId="3831" xr:uid="{00000000-0005-0000-0000-00007C2E0000}"/>
    <cellStyle name="Normal 67 2 5 2 2" xfId="8346" xr:uid="{00000000-0005-0000-0000-00007D2E0000}"/>
    <cellStyle name="Normal 67 2 5 2 2 2" xfId="17387" xr:uid="{00000000-0005-0000-0000-00007E2E0000}"/>
    <cellStyle name="Normal 67 2 5 2 3" xfId="12874" xr:uid="{00000000-0005-0000-0000-00007F2E0000}"/>
    <cellStyle name="Normal 67 2 5 3" xfId="5897" xr:uid="{00000000-0005-0000-0000-0000802E0000}"/>
    <cellStyle name="Normal 67 2 5 3 2" xfId="14938" xr:uid="{00000000-0005-0000-0000-0000812E0000}"/>
    <cellStyle name="Normal 67 2 5 4" xfId="10425" xr:uid="{00000000-0005-0000-0000-0000822E0000}"/>
    <cellStyle name="Normal 67 2 6" xfId="3820" xr:uid="{00000000-0005-0000-0000-0000832E0000}"/>
    <cellStyle name="Normal 67 2 6 2" xfId="8335" xr:uid="{00000000-0005-0000-0000-0000842E0000}"/>
    <cellStyle name="Normal 67 2 6 2 2" xfId="17376" xr:uid="{00000000-0005-0000-0000-0000852E0000}"/>
    <cellStyle name="Normal 67 2 6 3" xfId="12863" xr:uid="{00000000-0005-0000-0000-0000862E0000}"/>
    <cellStyle name="Normal 67 2 7" xfId="4769" xr:uid="{00000000-0005-0000-0000-0000872E0000}"/>
    <cellStyle name="Normal 67 2 7 2" xfId="13810" xr:uid="{00000000-0005-0000-0000-0000882E0000}"/>
    <cellStyle name="Normal 67 2 8" xfId="9297" xr:uid="{00000000-0005-0000-0000-0000892E0000}"/>
    <cellStyle name="Normal 67 3" xfId="298" xr:uid="{00000000-0005-0000-0000-00008A2E0000}"/>
    <cellStyle name="Normal 67 3 2" xfId="862" xr:uid="{00000000-0005-0000-0000-00008B2E0000}"/>
    <cellStyle name="Normal 67 3 2 2" xfId="2032" xr:uid="{00000000-0005-0000-0000-00008C2E0000}"/>
    <cellStyle name="Normal 67 3 2 2 2" xfId="3834" xr:uid="{00000000-0005-0000-0000-00008D2E0000}"/>
    <cellStyle name="Normal 67 3 2 2 2 2" xfId="8349" xr:uid="{00000000-0005-0000-0000-00008E2E0000}"/>
    <cellStyle name="Normal 67 3 2 2 2 2 2" xfId="17390" xr:uid="{00000000-0005-0000-0000-00008F2E0000}"/>
    <cellStyle name="Normal 67 3 2 2 2 3" xfId="12877" xr:uid="{00000000-0005-0000-0000-0000902E0000}"/>
    <cellStyle name="Normal 67 3 2 2 3" xfId="6555" xr:uid="{00000000-0005-0000-0000-0000912E0000}"/>
    <cellStyle name="Normal 67 3 2 2 3 2" xfId="15596" xr:uid="{00000000-0005-0000-0000-0000922E0000}"/>
    <cellStyle name="Normal 67 3 2 2 4" xfId="11083" xr:uid="{00000000-0005-0000-0000-0000932E0000}"/>
    <cellStyle name="Normal 67 3 2 3" xfId="3833" xr:uid="{00000000-0005-0000-0000-0000942E0000}"/>
    <cellStyle name="Normal 67 3 2 3 2" xfId="8348" xr:uid="{00000000-0005-0000-0000-0000952E0000}"/>
    <cellStyle name="Normal 67 3 2 3 2 2" xfId="17389" xr:uid="{00000000-0005-0000-0000-0000962E0000}"/>
    <cellStyle name="Normal 67 3 2 3 3" xfId="12876" xr:uid="{00000000-0005-0000-0000-0000972E0000}"/>
    <cellStyle name="Normal 67 3 2 4" xfId="5427" xr:uid="{00000000-0005-0000-0000-0000982E0000}"/>
    <cellStyle name="Normal 67 3 2 4 2" xfId="14468" xr:uid="{00000000-0005-0000-0000-0000992E0000}"/>
    <cellStyle name="Normal 67 3 2 5" xfId="9955" xr:uid="{00000000-0005-0000-0000-00009A2E0000}"/>
    <cellStyle name="Normal 67 3 3" xfId="1468" xr:uid="{00000000-0005-0000-0000-00009B2E0000}"/>
    <cellStyle name="Normal 67 3 3 2" xfId="3835" xr:uid="{00000000-0005-0000-0000-00009C2E0000}"/>
    <cellStyle name="Normal 67 3 3 2 2" xfId="8350" xr:uid="{00000000-0005-0000-0000-00009D2E0000}"/>
    <cellStyle name="Normal 67 3 3 2 2 2" xfId="17391" xr:uid="{00000000-0005-0000-0000-00009E2E0000}"/>
    <cellStyle name="Normal 67 3 3 2 3" xfId="12878" xr:uid="{00000000-0005-0000-0000-00009F2E0000}"/>
    <cellStyle name="Normal 67 3 3 3" xfId="5991" xr:uid="{00000000-0005-0000-0000-0000A02E0000}"/>
    <cellStyle name="Normal 67 3 3 3 2" xfId="15032" xr:uid="{00000000-0005-0000-0000-0000A12E0000}"/>
    <cellStyle name="Normal 67 3 3 4" xfId="10519" xr:uid="{00000000-0005-0000-0000-0000A22E0000}"/>
    <cellStyle name="Normal 67 3 4" xfId="3832" xr:uid="{00000000-0005-0000-0000-0000A32E0000}"/>
    <cellStyle name="Normal 67 3 4 2" xfId="8347" xr:uid="{00000000-0005-0000-0000-0000A42E0000}"/>
    <cellStyle name="Normal 67 3 4 2 2" xfId="17388" xr:uid="{00000000-0005-0000-0000-0000A52E0000}"/>
    <cellStyle name="Normal 67 3 4 3" xfId="12875" xr:uid="{00000000-0005-0000-0000-0000A62E0000}"/>
    <cellStyle name="Normal 67 3 5" xfId="4863" xr:uid="{00000000-0005-0000-0000-0000A72E0000}"/>
    <cellStyle name="Normal 67 3 5 2" xfId="13904" xr:uid="{00000000-0005-0000-0000-0000A82E0000}"/>
    <cellStyle name="Normal 67 3 6" xfId="9391" xr:uid="{00000000-0005-0000-0000-0000A92E0000}"/>
    <cellStyle name="Normal 67 4" xfId="486" xr:uid="{00000000-0005-0000-0000-0000AA2E0000}"/>
    <cellStyle name="Normal 67 4 2" xfId="1050" xr:uid="{00000000-0005-0000-0000-0000AB2E0000}"/>
    <cellStyle name="Normal 67 4 2 2" xfId="2220" xr:uid="{00000000-0005-0000-0000-0000AC2E0000}"/>
    <cellStyle name="Normal 67 4 2 2 2" xfId="3838" xr:uid="{00000000-0005-0000-0000-0000AD2E0000}"/>
    <cellStyle name="Normal 67 4 2 2 2 2" xfId="8353" xr:uid="{00000000-0005-0000-0000-0000AE2E0000}"/>
    <cellStyle name="Normal 67 4 2 2 2 2 2" xfId="17394" xr:uid="{00000000-0005-0000-0000-0000AF2E0000}"/>
    <cellStyle name="Normal 67 4 2 2 2 3" xfId="12881" xr:uid="{00000000-0005-0000-0000-0000B02E0000}"/>
    <cellStyle name="Normal 67 4 2 2 3" xfId="6743" xr:uid="{00000000-0005-0000-0000-0000B12E0000}"/>
    <cellStyle name="Normal 67 4 2 2 3 2" xfId="15784" xr:uid="{00000000-0005-0000-0000-0000B22E0000}"/>
    <cellStyle name="Normal 67 4 2 2 4" xfId="11271" xr:uid="{00000000-0005-0000-0000-0000B32E0000}"/>
    <cellStyle name="Normal 67 4 2 3" xfId="3837" xr:uid="{00000000-0005-0000-0000-0000B42E0000}"/>
    <cellStyle name="Normal 67 4 2 3 2" xfId="8352" xr:uid="{00000000-0005-0000-0000-0000B52E0000}"/>
    <cellStyle name="Normal 67 4 2 3 2 2" xfId="17393" xr:uid="{00000000-0005-0000-0000-0000B62E0000}"/>
    <cellStyle name="Normal 67 4 2 3 3" xfId="12880" xr:uid="{00000000-0005-0000-0000-0000B72E0000}"/>
    <cellStyle name="Normal 67 4 2 4" xfId="5615" xr:uid="{00000000-0005-0000-0000-0000B82E0000}"/>
    <cellStyle name="Normal 67 4 2 4 2" xfId="14656" xr:uid="{00000000-0005-0000-0000-0000B92E0000}"/>
    <cellStyle name="Normal 67 4 2 5" xfId="10143" xr:uid="{00000000-0005-0000-0000-0000BA2E0000}"/>
    <cellStyle name="Normal 67 4 3" xfId="1656" xr:uid="{00000000-0005-0000-0000-0000BB2E0000}"/>
    <cellStyle name="Normal 67 4 3 2" xfId="3839" xr:uid="{00000000-0005-0000-0000-0000BC2E0000}"/>
    <cellStyle name="Normal 67 4 3 2 2" xfId="8354" xr:uid="{00000000-0005-0000-0000-0000BD2E0000}"/>
    <cellStyle name="Normal 67 4 3 2 2 2" xfId="17395" xr:uid="{00000000-0005-0000-0000-0000BE2E0000}"/>
    <cellStyle name="Normal 67 4 3 2 3" xfId="12882" xr:uid="{00000000-0005-0000-0000-0000BF2E0000}"/>
    <cellStyle name="Normal 67 4 3 3" xfId="6179" xr:uid="{00000000-0005-0000-0000-0000C02E0000}"/>
    <cellStyle name="Normal 67 4 3 3 2" xfId="15220" xr:uid="{00000000-0005-0000-0000-0000C12E0000}"/>
    <cellStyle name="Normal 67 4 3 4" xfId="10707" xr:uid="{00000000-0005-0000-0000-0000C22E0000}"/>
    <cellStyle name="Normal 67 4 4" xfId="3836" xr:uid="{00000000-0005-0000-0000-0000C32E0000}"/>
    <cellStyle name="Normal 67 4 4 2" xfId="8351" xr:uid="{00000000-0005-0000-0000-0000C42E0000}"/>
    <cellStyle name="Normal 67 4 4 2 2" xfId="17392" xr:uid="{00000000-0005-0000-0000-0000C52E0000}"/>
    <cellStyle name="Normal 67 4 4 3" xfId="12879" xr:uid="{00000000-0005-0000-0000-0000C62E0000}"/>
    <cellStyle name="Normal 67 4 5" xfId="5051" xr:uid="{00000000-0005-0000-0000-0000C72E0000}"/>
    <cellStyle name="Normal 67 4 5 2" xfId="14092" xr:uid="{00000000-0005-0000-0000-0000C82E0000}"/>
    <cellStyle name="Normal 67 4 6" xfId="9579" xr:uid="{00000000-0005-0000-0000-0000C92E0000}"/>
    <cellStyle name="Normal 67 5" xfId="674" xr:uid="{00000000-0005-0000-0000-0000CA2E0000}"/>
    <cellStyle name="Normal 67 5 2" xfId="1844" xr:uid="{00000000-0005-0000-0000-0000CB2E0000}"/>
    <cellStyle name="Normal 67 5 2 2" xfId="3841" xr:uid="{00000000-0005-0000-0000-0000CC2E0000}"/>
    <cellStyle name="Normal 67 5 2 2 2" xfId="8356" xr:uid="{00000000-0005-0000-0000-0000CD2E0000}"/>
    <cellStyle name="Normal 67 5 2 2 2 2" xfId="17397" xr:uid="{00000000-0005-0000-0000-0000CE2E0000}"/>
    <cellStyle name="Normal 67 5 2 2 3" xfId="12884" xr:uid="{00000000-0005-0000-0000-0000CF2E0000}"/>
    <cellStyle name="Normal 67 5 2 3" xfId="6367" xr:uid="{00000000-0005-0000-0000-0000D02E0000}"/>
    <cellStyle name="Normal 67 5 2 3 2" xfId="15408" xr:uid="{00000000-0005-0000-0000-0000D12E0000}"/>
    <cellStyle name="Normal 67 5 2 4" xfId="10895" xr:uid="{00000000-0005-0000-0000-0000D22E0000}"/>
    <cellStyle name="Normal 67 5 3" xfId="3840" xr:uid="{00000000-0005-0000-0000-0000D32E0000}"/>
    <cellStyle name="Normal 67 5 3 2" xfId="8355" xr:uid="{00000000-0005-0000-0000-0000D42E0000}"/>
    <cellStyle name="Normal 67 5 3 2 2" xfId="17396" xr:uid="{00000000-0005-0000-0000-0000D52E0000}"/>
    <cellStyle name="Normal 67 5 3 3" xfId="12883" xr:uid="{00000000-0005-0000-0000-0000D62E0000}"/>
    <cellStyle name="Normal 67 5 4" xfId="5239" xr:uid="{00000000-0005-0000-0000-0000D72E0000}"/>
    <cellStyle name="Normal 67 5 4 2" xfId="14280" xr:uid="{00000000-0005-0000-0000-0000D82E0000}"/>
    <cellStyle name="Normal 67 5 5" xfId="9767" xr:uid="{00000000-0005-0000-0000-0000D92E0000}"/>
    <cellStyle name="Normal 67 6" xfId="1280" xr:uid="{00000000-0005-0000-0000-0000DA2E0000}"/>
    <cellStyle name="Normal 67 6 2" xfId="3842" xr:uid="{00000000-0005-0000-0000-0000DB2E0000}"/>
    <cellStyle name="Normal 67 6 2 2" xfId="8357" xr:uid="{00000000-0005-0000-0000-0000DC2E0000}"/>
    <cellStyle name="Normal 67 6 2 2 2" xfId="17398" xr:uid="{00000000-0005-0000-0000-0000DD2E0000}"/>
    <cellStyle name="Normal 67 6 2 3" xfId="12885" xr:uid="{00000000-0005-0000-0000-0000DE2E0000}"/>
    <cellStyle name="Normal 67 6 3" xfId="5803" xr:uid="{00000000-0005-0000-0000-0000DF2E0000}"/>
    <cellStyle name="Normal 67 6 3 2" xfId="14844" xr:uid="{00000000-0005-0000-0000-0000E02E0000}"/>
    <cellStyle name="Normal 67 6 4" xfId="10331" xr:uid="{00000000-0005-0000-0000-0000E12E0000}"/>
    <cellStyle name="Normal 67 7" xfId="3819" xr:uid="{00000000-0005-0000-0000-0000E22E0000}"/>
    <cellStyle name="Normal 67 7 2" xfId="8334" xr:uid="{00000000-0005-0000-0000-0000E32E0000}"/>
    <cellStyle name="Normal 67 7 2 2" xfId="17375" xr:uid="{00000000-0005-0000-0000-0000E42E0000}"/>
    <cellStyle name="Normal 67 7 3" xfId="12862" xr:uid="{00000000-0005-0000-0000-0000E52E0000}"/>
    <cellStyle name="Normal 67 8" xfId="4675" xr:uid="{00000000-0005-0000-0000-0000E62E0000}"/>
    <cellStyle name="Normal 67 8 2" xfId="13716" xr:uid="{00000000-0005-0000-0000-0000E72E0000}"/>
    <cellStyle name="Normal 67 9" xfId="9203" xr:uid="{00000000-0005-0000-0000-0000E82E0000}"/>
    <cellStyle name="Normal 68" xfId="68" xr:uid="{00000000-0005-0000-0000-0000E92E0000}"/>
    <cellStyle name="Normal 68 2" xfId="164" xr:uid="{00000000-0005-0000-0000-0000EA2E0000}"/>
    <cellStyle name="Normal 68 2 2" xfId="393" xr:uid="{00000000-0005-0000-0000-0000EB2E0000}"/>
    <cellStyle name="Normal 68 2 2 2" xfId="957" xr:uid="{00000000-0005-0000-0000-0000EC2E0000}"/>
    <cellStyle name="Normal 68 2 2 2 2" xfId="2127" xr:uid="{00000000-0005-0000-0000-0000ED2E0000}"/>
    <cellStyle name="Normal 68 2 2 2 2 2" xfId="3847" xr:uid="{00000000-0005-0000-0000-0000EE2E0000}"/>
    <cellStyle name="Normal 68 2 2 2 2 2 2" xfId="8362" xr:uid="{00000000-0005-0000-0000-0000EF2E0000}"/>
    <cellStyle name="Normal 68 2 2 2 2 2 2 2" xfId="17403" xr:uid="{00000000-0005-0000-0000-0000F02E0000}"/>
    <cellStyle name="Normal 68 2 2 2 2 2 3" xfId="12890" xr:uid="{00000000-0005-0000-0000-0000F12E0000}"/>
    <cellStyle name="Normal 68 2 2 2 2 3" xfId="6650" xr:uid="{00000000-0005-0000-0000-0000F22E0000}"/>
    <cellStyle name="Normal 68 2 2 2 2 3 2" xfId="15691" xr:uid="{00000000-0005-0000-0000-0000F32E0000}"/>
    <cellStyle name="Normal 68 2 2 2 2 4" xfId="11178" xr:uid="{00000000-0005-0000-0000-0000F42E0000}"/>
    <cellStyle name="Normal 68 2 2 2 3" xfId="3846" xr:uid="{00000000-0005-0000-0000-0000F52E0000}"/>
    <cellStyle name="Normal 68 2 2 2 3 2" xfId="8361" xr:uid="{00000000-0005-0000-0000-0000F62E0000}"/>
    <cellStyle name="Normal 68 2 2 2 3 2 2" xfId="17402" xr:uid="{00000000-0005-0000-0000-0000F72E0000}"/>
    <cellStyle name="Normal 68 2 2 2 3 3" xfId="12889" xr:uid="{00000000-0005-0000-0000-0000F82E0000}"/>
    <cellStyle name="Normal 68 2 2 2 4" xfId="5522" xr:uid="{00000000-0005-0000-0000-0000F92E0000}"/>
    <cellStyle name="Normal 68 2 2 2 4 2" xfId="14563" xr:uid="{00000000-0005-0000-0000-0000FA2E0000}"/>
    <cellStyle name="Normal 68 2 2 2 5" xfId="10050" xr:uid="{00000000-0005-0000-0000-0000FB2E0000}"/>
    <cellStyle name="Normal 68 2 2 3" xfId="1563" xr:uid="{00000000-0005-0000-0000-0000FC2E0000}"/>
    <cellStyle name="Normal 68 2 2 3 2" xfId="3848" xr:uid="{00000000-0005-0000-0000-0000FD2E0000}"/>
    <cellStyle name="Normal 68 2 2 3 2 2" xfId="8363" xr:uid="{00000000-0005-0000-0000-0000FE2E0000}"/>
    <cellStyle name="Normal 68 2 2 3 2 2 2" xfId="17404" xr:uid="{00000000-0005-0000-0000-0000FF2E0000}"/>
    <cellStyle name="Normal 68 2 2 3 2 3" xfId="12891" xr:uid="{00000000-0005-0000-0000-0000002F0000}"/>
    <cellStyle name="Normal 68 2 2 3 3" xfId="6086" xr:uid="{00000000-0005-0000-0000-0000012F0000}"/>
    <cellStyle name="Normal 68 2 2 3 3 2" xfId="15127" xr:uid="{00000000-0005-0000-0000-0000022F0000}"/>
    <cellStyle name="Normal 68 2 2 3 4" xfId="10614" xr:uid="{00000000-0005-0000-0000-0000032F0000}"/>
    <cellStyle name="Normal 68 2 2 4" xfId="3845" xr:uid="{00000000-0005-0000-0000-0000042F0000}"/>
    <cellStyle name="Normal 68 2 2 4 2" xfId="8360" xr:uid="{00000000-0005-0000-0000-0000052F0000}"/>
    <cellStyle name="Normal 68 2 2 4 2 2" xfId="17401" xr:uid="{00000000-0005-0000-0000-0000062F0000}"/>
    <cellStyle name="Normal 68 2 2 4 3" xfId="12888" xr:uid="{00000000-0005-0000-0000-0000072F0000}"/>
    <cellStyle name="Normal 68 2 2 5" xfId="4958" xr:uid="{00000000-0005-0000-0000-0000082F0000}"/>
    <cellStyle name="Normal 68 2 2 5 2" xfId="13999" xr:uid="{00000000-0005-0000-0000-0000092F0000}"/>
    <cellStyle name="Normal 68 2 2 6" xfId="9486" xr:uid="{00000000-0005-0000-0000-00000A2F0000}"/>
    <cellStyle name="Normal 68 2 3" xfId="581" xr:uid="{00000000-0005-0000-0000-00000B2F0000}"/>
    <cellStyle name="Normal 68 2 3 2" xfId="1145" xr:uid="{00000000-0005-0000-0000-00000C2F0000}"/>
    <cellStyle name="Normal 68 2 3 2 2" xfId="2315" xr:uid="{00000000-0005-0000-0000-00000D2F0000}"/>
    <cellStyle name="Normal 68 2 3 2 2 2" xfId="3851" xr:uid="{00000000-0005-0000-0000-00000E2F0000}"/>
    <cellStyle name="Normal 68 2 3 2 2 2 2" xfId="8366" xr:uid="{00000000-0005-0000-0000-00000F2F0000}"/>
    <cellStyle name="Normal 68 2 3 2 2 2 2 2" xfId="17407" xr:uid="{00000000-0005-0000-0000-0000102F0000}"/>
    <cellStyle name="Normal 68 2 3 2 2 2 3" xfId="12894" xr:uid="{00000000-0005-0000-0000-0000112F0000}"/>
    <cellStyle name="Normal 68 2 3 2 2 3" xfId="6838" xr:uid="{00000000-0005-0000-0000-0000122F0000}"/>
    <cellStyle name="Normal 68 2 3 2 2 3 2" xfId="15879" xr:uid="{00000000-0005-0000-0000-0000132F0000}"/>
    <cellStyle name="Normal 68 2 3 2 2 4" xfId="11366" xr:uid="{00000000-0005-0000-0000-0000142F0000}"/>
    <cellStyle name="Normal 68 2 3 2 3" xfId="3850" xr:uid="{00000000-0005-0000-0000-0000152F0000}"/>
    <cellStyle name="Normal 68 2 3 2 3 2" xfId="8365" xr:uid="{00000000-0005-0000-0000-0000162F0000}"/>
    <cellStyle name="Normal 68 2 3 2 3 2 2" xfId="17406" xr:uid="{00000000-0005-0000-0000-0000172F0000}"/>
    <cellStyle name="Normal 68 2 3 2 3 3" xfId="12893" xr:uid="{00000000-0005-0000-0000-0000182F0000}"/>
    <cellStyle name="Normal 68 2 3 2 4" xfId="5710" xr:uid="{00000000-0005-0000-0000-0000192F0000}"/>
    <cellStyle name="Normal 68 2 3 2 4 2" xfId="14751" xr:uid="{00000000-0005-0000-0000-00001A2F0000}"/>
    <cellStyle name="Normal 68 2 3 2 5" xfId="10238" xr:uid="{00000000-0005-0000-0000-00001B2F0000}"/>
    <cellStyle name="Normal 68 2 3 3" xfId="1751" xr:uid="{00000000-0005-0000-0000-00001C2F0000}"/>
    <cellStyle name="Normal 68 2 3 3 2" xfId="3852" xr:uid="{00000000-0005-0000-0000-00001D2F0000}"/>
    <cellStyle name="Normal 68 2 3 3 2 2" xfId="8367" xr:uid="{00000000-0005-0000-0000-00001E2F0000}"/>
    <cellStyle name="Normal 68 2 3 3 2 2 2" xfId="17408" xr:uid="{00000000-0005-0000-0000-00001F2F0000}"/>
    <cellStyle name="Normal 68 2 3 3 2 3" xfId="12895" xr:uid="{00000000-0005-0000-0000-0000202F0000}"/>
    <cellStyle name="Normal 68 2 3 3 3" xfId="6274" xr:uid="{00000000-0005-0000-0000-0000212F0000}"/>
    <cellStyle name="Normal 68 2 3 3 3 2" xfId="15315" xr:uid="{00000000-0005-0000-0000-0000222F0000}"/>
    <cellStyle name="Normal 68 2 3 3 4" xfId="10802" xr:uid="{00000000-0005-0000-0000-0000232F0000}"/>
    <cellStyle name="Normal 68 2 3 4" xfId="3849" xr:uid="{00000000-0005-0000-0000-0000242F0000}"/>
    <cellStyle name="Normal 68 2 3 4 2" xfId="8364" xr:uid="{00000000-0005-0000-0000-0000252F0000}"/>
    <cellStyle name="Normal 68 2 3 4 2 2" xfId="17405" xr:uid="{00000000-0005-0000-0000-0000262F0000}"/>
    <cellStyle name="Normal 68 2 3 4 3" xfId="12892" xr:uid="{00000000-0005-0000-0000-0000272F0000}"/>
    <cellStyle name="Normal 68 2 3 5" xfId="5146" xr:uid="{00000000-0005-0000-0000-0000282F0000}"/>
    <cellStyle name="Normal 68 2 3 5 2" xfId="14187" xr:uid="{00000000-0005-0000-0000-0000292F0000}"/>
    <cellStyle name="Normal 68 2 3 6" xfId="9674" xr:uid="{00000000-0005-0000-0000-00002A2F0000}"/>
    <cellStyle name="Normal 68 2 4" xfId="769" xr:uid="{00000000-0005-0000-0000-00002B2F0000}"/>
    <cellStyle name="Normal 68 2 4 2" xfId="1939" xr:uid="{00000000-0005-0000-0000-00002C2F0000}"/>
    <cellStyle name="Normal 68 2 4 2 2" xfId="3854" xr:uid="{00000000-0005-0000-0000-00002D2F0000}"/>
    <cellStyle name="Normal 68 2 4 2 2 2" xfId="8369" xr:uid="{00000000-0005-0000-0000-00002E2F0000}"/>
    <cellStyle name="Normal 68 2 4 2 2 2 2" xfId="17410" xr:uid="{00000000-0005-0000-0000-00002F2F0000}"/>
    <cellStyle name="Normal 68 2 4 2 2 3" xfId="12897" xr:uid="{00000000-0005-0000-0000-0000302F0000}"/>
    <cellStyle name="Normal 68 2 4 2 3" xfId="6462" xr:uid="{00000000-0005-0000-0000-0000312F0000}"/>
    <cellStyle name="Normal 68 2 4 2 3 2" xfId="15503" xr:uid="{00000000-0005-0000-0000-0000322F0000}"/>
    <cellStyle name="Normal 68 2 4 2 4" xfId="10990" xr:uid="{00000000-0005-0000-0000-0000332F0000}"/>
    <cellStyle name="Normal 68 2 4 3" xfId="3853" xr:uid="{00000000-0005-0000-0000-0000342F0000}"/>
    <cellStyle name="Normal 68 2 4 3 2" xfId="8368" xr:uid="{00000000-0005-0000-0000-0000352F0000}"/>
    <cellStyle name="Normal 68 2 4 3 2 2" xfId="17409" xr:uid="{00000000-0005-0000-0000-0000362F0000}"/>
    <cellStyle name="Normal 68 2 4 3 3" xfId="12896" xr:uid="{00000000-0005-0000-0000-0000372F0000}"/>
    <cellStyle name="Normal 68 2 4 4" xfId="5334" xr:uid="{00000000-0005-0000-0000-0000382F0000}"/>
    <cellStyle name="Normal 68 2 4 4 2" xfId="14375" xr:uid="{00000000-0005-0000-0000-0000392F0000}"/>
    <cellStyle name="Normal 68 2 4 5" xfId="9862" xr:uid="{00000000-0005-0000-0000-00003A2F0000}"/>
    <cellStyle name="Normal 68 2 5" xfId="1375" xr:uid="{00000000-0005-0000-0000-00003B2F0000}"/>
    <cellStyle name="Normal 68 2 5 2" xfId="3855" xr:uid="{00000000-0005-0000-0000-00003C2F0000}"/>
    <cellStyle name="Normal 68 2 5 2 2" xfId="8370" xr:uid="{00000000-0005-0000-0000-00003D2F0000}"/>
    <cellStyle name="Normal 68 2 5 2 2 2" xfId="17411" xr:uid="{00000000-0005-0000-0000-00003E2F0000}"/>
    <cellStyle name="Normal 68 2 5 2 3" xfId="12898" xr:uid="{00000000-0005-0000-0000-00003F2F0000}"/>
    <cellStyle name="Normal 68 2 5 3" xfId="5898" xr:uid="{00000000-0005-0000-0000-0000402F0000}"/>
    <cellStyle name="Normal 68 2 5 3 2" xfId="14939" xr:uid="{00000000-0005-0000-0000-0000412F0000}"/>
    <cellStyle name="Normal 68 2 5 4" xfId="10426" xr:uid="{00000000-0005-0000-0000-0000422F0000}"/>
    <cellStyle name="Normal 68 2 6" xfId="3844" xr:uid="{00000000-0005-0000-0000-0000432F0000}"/>
    <cellStyle name="Normal 68 2 6 2" xfId="8359" xr:uid="{00000000-0005-0000-0000-0000442F0000}"/>
    <cellStyle name="Normal 68 2 6 2 2" xfId="17400" xr:uid="{00000000-0005-0000-0000-0000452F0000}"/>
    <cellStyle name="Normal 68 2 6 3" xfId="12887" xr:uid="{00000000-0005-0000-0000-0000462F0000}"/>
    <cellStyle name="Normal 68 2 7" xfId="4770" xr:uid="{00000000-0005-0000-0000-0000472F0000}"/>
    <cellStyle name="Normal 68 2 7 2" xfId="13811" xr:uid="{00000000-0005-0000-0000-0000482F0000}"/>
    <cellStyle name="Normal 68 2 8" xfId="9298" xr:uid="{00000000-0005-0000-0000-0000492F0000}"/>
    <cellStyle name="Normal 68 3" xfId="299" xr:uid="{00000000-0005-0000-0000-00004A2F0000}"/>
    <cellStyle name="Normal 68 3 2" xfId="863" xr:uid="{00000000-0005-0000-0000-00004B2F0000}"/>
    <cellStyle name="Normal 68 3 2 2" xfId="2033" xr:uid="{00000000-0005-0000-0000-00004C2F0000}"/>
    <cellStyle name="Normal 68 3 2 2 2" xfId="3858" xr:uid="{00000000-0005-0000-0000-00004D2F0000}"/>
    <cellStyle name="Normal 68 3 2 2 2 2" xfId="8373" xr:uid="{00000000-0005-0000-0000-00004E2F0000}"/>
    <cellStyle name="Normal 68 3 2 2 2 2 2" xfId="17414" xr:uid="{00000000-0005-0000-0000-00004F2F0000}"/>
    <cellStyle name="Normal 68 3 2 2 2 3" xfId="12901" xr:uid="{00000000-0005-0000-0000-0000502F0000}"/>
    <cellStyle name="Normal 68 3 2 2 3" xfId="6556" xr:uid="{00000000-0005-0000-0000-0000512F0000}"/>
    <cellStyle name="Normal 68 3 2 2 3 2" xfId="15597" xr:uid="{00000000-0005-0000-0000-0000522F0000}"/>
    <cellStyle name="Normal 68 3 2 2 4" xfId="11084" xr:uid="{00000000-0005-0000-0000-0000532F0000}"/>
    <cellStyle name="Normal 68 3 2 3" xfId="3857" xr:uid="{00000000-0005-0000-0000-0000542F0000}"/>
    <cellStyle name="Normal 68 3 2 3 2" xfId="8372" xr:uid="{00000000-0005-0000-0000-0000552F0000}"/>
    <cellStyle name="Normal 68 3 2 3 2 2" xfId="17413" xr:uid="{00000000-0005-0000-0000-0000562F0000}"/>
    <cellStyle name="Normal 68 3 2 3 3" xfId="12900" xr:uid="{00000000-0005-0000-0000-0000572F0000}"/>
    <cellStyle name="Normal 68 3 2 4" xfId="5428" xr:uid="{00000000-0005-0000-0000-0000582F0000}"/>
    <cellStyle name="Normal 68 3 2 4 2" xfId="14469" xr:uid="{00000000-0005-0000-0000-0000592F0000}"/>
    <cellStyle name="Normal 68 3 2 5" xfId="9956" xr:uid="{00000000-0005-0000-0000-00005A2F0000}"/>
    <cellStyle name="Normal 68 3 3" xfId="1469" xr:uid="{00000000-0005-0000-0000-00005B2F0000}"/>
    <cellStyle name="Normal 68 3 3 2" xfId="3859" xr:uid="{00000000-0005-0000-0000-00005C2F0000}"/>
    <cellStyle name="Normal 68 3 3 2 2" xfId="8374" xr:uid="{00000000-0005-0000-0000-00005D2F0000}"/>
    <cellStyle name="Normal 68 3 3 2 2 2" xfId="17415" xr:uid="{00000000-0005-0000-0000-00005E2F0000}"/>
    <cellStyle name="Normal 68 3 3 2 3" xfId="12902" xr:uid="{00000000-0005-0000-0000-00005F2F0000}"/>
    <cellStyle name="Normal 68 3 3 3" xfId="5992" xr:uid="{00000000-0005-0000-0000-0000602F0000}"/>
    <cellStyle name="Normal 68 3 3 3 2" xfId="15033" xr:uid="{00000000-0005-0000-0000-0000612F0000}"/>
    <cellStyle name="Normal 68 3 3 4" xfId="10520" xr:uid="{00000000-0005-0000-0000-0000622F0000}"/>
    <cellStyle name="Normal 68 3 4" xfId="3856" xr:uid="{00000000-0005-0000-0000-0000632F0000}"/>
    <cellStyle name="Normal 68 3 4 2" xfId="8371" xr:uid="{00000000-0005-0000-0000-0000642F0000}"/>
    <cellStyle name="Normal 68 3 4 2 2" xfId="17412" xr:uid="{00000000-0005-0000-0000-0000652F0000}"/>
    <cellStyle name="Normal 68 3 4 3" xfId="12899" xr:uid="{00000000-0005-0000-0000-0000662F0000}"/>
    <cellStyle name="Normal 68 3 5" xfId="4864" xr:uid="{00000000-0005-0000-0000-0000672F0000}"/>
    <cellStyle name="Normal 68 3 5 2" xfId="13905" xr:uid="{00000000-0005-0000-0000-0000682F0000}"/>
    <cellStyle name="Normal 68 3 6" xfId="9392" xr:uid="{00000000-0005-0000-0000-0000692F0000}"/>
    <cellStyle name="Normal 68 4" xfId="487" xr:uid="{00000000-0005-0000-0000-00006A2F0000}"/>
    <cellStyle name="Normal 68 4 2" xfId="1051" xr:uid="{00000000-0005-0000-0000-00006B2F0000}"/>
    <cellStyle name="Normal 68 4 2 2" xfId="2221" xr:uid="{00000000-0005-0000-0000-00006C2F0000}"/>
    <cellStyle name="Normal 68 4 2 2 2" xfId="3862" xr:uid="{00000000-0005-0000-0000-00006D2F0000}"/>
    <cellStyle name="Normal 68 4 2 2 2 2" xfId="8377" xr:uid="{00000000-0005-0000-0000-00006E2F0000}"/>
    <cellStyle name="Normal 68 4 2 2 2 2 2" xfId="17418" xr:uid="{00000000-0005-0000-0000-00006F2F0000}"/>
    <cellStyle name="Normal 68 4 2 2 2 3" xfId="12905" xr:uid="{00000000-0005-0000-0000-0000702F0000}"/>
    <cellStyle name="Normal 68 4 2 2 3" xfId="6744" xr:uid="{00000000-0005-0000-0000-0000712F0000}"/>
    <cellStyle name="Normal 68 4 2 2 3 2" xfId="15785" xr:uid="{00000000-0005-0000-0000-0000722F0000}"/>
    <cellStyle name="Normal 68 4 2 2 4" xfId="11272" xr:uid="{00000000-0005-0000-0000-0000732F0000}"/>
    <cellStyle name="Normal 68 4 2 3" xfId="3861" xr:uid="{00000000-0005-0000-0000-0000742F0000}"/>
    <cellStyle name="Normal 68 4 2 3 2" xfId="8376" xr:uid="{00000000-0005-0000-0000-0000752F0000}"/>
    <cellStyle name="Normal 68 4 2 3 2 2" xfId="17417" xr:uid="{00000000-0005-0000-0000-0000762F0000}"/>
    <cellStyle name="Normal 68 4 2 3 3" xfId="12904" xr:uid="{00000000-0005-0000-0000-0000772F0000}"/>
    <cellStyle name="Normal 68 4 2 4" xfId="5616" xr:uid="{00000000-0005-0000-0000-0000782F0000}"/>
    <cellStyle name="Normal 68 4 2 4 2" xfId="14657" xr:uid="{00000000-0005-0000-0000-0000792F0000}"/>
    <cellStyle name="Normal 68 4 2 5" xfId="10144" xr:uid="{00000000-0005-0000-0000-00007A2F0000}"/>
    <cellStyle name="Normal 68 4 3" xfId="1657" xr:uid="{00000000-0005-0000-0000-00007B2F0000}"/>
    <cellStyle name="Normal 68 4 3 2" xfId="3863" xr:uid="{00000000-0005-0000-0000-00007C2F0000}"/>
    <cellStyle name="Normal 68 4 3 2 2" xfId="8378" xr:uid="{00000000-0005-0000-0000-00007D2F0000}"/>
    <cellStyle name="Normal 68 4 3 2 2 2" xfId="17419" xr:uid="{00000000-0005-0000-0000-00007E2F0000}"/>
    <cellStyle name="Normal 68 4 3 2 3" xfId="12906" xr:uid="{00000000-0005-0000-0000-00007F2F0000}"/>
    <cellStyle name="Normal 68 4 3 3" xfId="6180" xr:uid="{00000000-0005-0000-0000-0000802F0000}"/>
    <cellStyle name="Normal 68 4 3 3 2" xfId="15221" xr:uid="{00000000-0005-0000-0000-0000812F0000}"/>
    <cellStyle name="Normal 68 4 3 4" xfId="10708" xr:uid="{00000000-0005-0000-0000-0000822F0000}"/>
    <cellStyle name="Normal 68 4 4" xfId="3860" xr:uid="{00000000-0005-0000-0000-0000832F0000}"/>
    <cellStyle name="Normal 68 4 4 2" xfId="8375" xr:uid="{00000000-0005-0000-0000-0000842F0000}"/>
    <cellStyle name="Normal 68 4 4 2 2" xfId="17416" xr:uid="{00000000-0005-0000-0000-0000852F0000}"/>
    <cellStyle name="Normal 68 4 4 3" xfId="12903" xr:uid="{00000000-0005-0000-0000-0000862F0000}"/>
    <cellStyle name="Normal 68 4 5" xfId="5052" xr:uid="{00000000-0005-0000-0000-0000872F0000}"/>
    <cellStyle name="Normal 68 4 5 2" xfId="14093" xr:uid="{00000000-0005-0000-0000-0000882F0000}"/>
    <cellStyle name="Normal 68 4 6" xfId="9580" xr:uid="{00000000-0005-0000-0000-0000892F0000}"/>
    <cellStyle name="Normal 68 5" xfId="675" xr:uid="{00000000-0005-0000-0000-00008A2F0000}"/>
    <cellStyle name="Normal 68 5 2" xfId="1845" xr:uid="{00000000-0005-0000-0000-00008B2F0000}"/>
    <cellStyle name="Normal 68 5 2 2" xfId="3865" xr:uid="{00000000-0005-0000-0000-00008C2F0000}"/>
    <cellStyle name="Normal 68 5 2 2 2" xfId="8380" xr:uid="{00000000-0005-0000-0000-00008D2F0000}"/>
    <cellStyle name="Normal 68 5 2 2 2 2" xfId="17421" xr:uid="{00000000-0005-0000-0000-00008E2F0000}"/>
    <cellStyle name="Normal 68 5 2 2 3" xfId="12908" xr:uid="{00000000-0005-0000-0000-00008F2F0000}"/>
    <cellStyle name="Normal 68 5 2 3" xfId="6368" xr:uid="{00000000-0005-0000-0000-0000902F0000}"/>
    <cellStyle name="Normal 68 5 2 3 2" xfId="15409" xr:uid="{00000000-0005-0000-0000-0000912F0000}"/>
    <cellStyle name="Normal 68 5 2 4" xfId="10896" xr:uid="{00000000-0005-0000-0000-0000922F0000}"/>
    <cellStyle name="Normal 68 5 3" xfId="3864" xr:uid="{00000000-0005-0000-0000-0000932F0000}"/>
    <cellStyle name="Normal 68 5 3 2" xfId="8379" xr:uid="{00000000-0005-0000-0000-0000942F0000}"/>
    <cellStyle name="Normal 68 5 3 2 2" xfId="17420" xr:uid="{00000000-0005-0000-0000-0000952F0000}"/>
    <cellStyle name="Normal 68 5 3 3" xfId="12907" xr:uid="{00000000-0005-0000-0000-0000962F0000}"/>
    <cellStyle name="Normal 68 5 4" xfId="5240" xr:uid="{00000000-0005-0000-0000-0000972F0000}"/>
    <cellStyle name="Normal 68 5 4 2" xfId="14281" xr:uid="{00000000-0005-0000-0000-0000982F0000}"/>
    <cellStyle name="Normal 68 5 5" xfId="9768" xr:uid="{00000000-0005-0000-0000-0000992F0000}"/>
    <cellStyle name="Normal 68 6" xfId="1281" xr:uid="{00000000-0005-0000-0000-00009A2F0000}"/>
    <cellStyle name="Normal 68 6 2" xfId="3866" xr:uid="{00000000-0005-0000-0000-00009B2F0000}"/>
    <cellStyle name="Normal 68 6 2 2" xfId="8381" xr:uid="{00000000-0005-0000-0000-00009C2F0000}"/>
    <cellStyle name="Normal 68 6 2 2 2" xfId="17422" xr:uid="{00000000-0005-0000-0000-00009D2F0000}"/>
    <cellStyle name="Normal 68 6 2 3" xfId="12909" xr:uid="{00000000-0005-0000-0000-00009E2F0000}"/>
    <cellStyle name="Normal 68 6 3" xfId="5804" xr:uid="{00000000-0005-0000-0000-00009F2F0000}"/>
    <cellStyle name="Normal 68 6 3 2" xfId="14845" xr:uid="{00000000-0005-0000-0000-0000A02F0000}"/>
    <cellStyle name="Normal 68 6 4" xfId="10332" xr:uid="{00000000-0005-0000-0000-0000A12F0000}"/>
    <cellStyle name="Normal 68 7" xfId="3843" xr:uid="{00000000-0005-0000-0000-0000A22F0000}"/>
    <cellStyle name="Normal 68 7 2" xfId="8358" xr:uid="{00000000-0005-0000-0000-0000A32F0000}"/>
    <cellStyle name="Normal 68 7 2 2" xfId="17399" xr:uid="{00000000-0005-0000-0000-0000A42F0000}"/>
    <cellStyle name="Normal 68 7 3" xfId="12886" xr:uid="{00000000-0005-0000-0000-0000A52F0000}"/>
    <cellStyle name="Normal 68 8" xfId="4676" xr:uid="{00000000-0005-0000-0000-0000A62F0000}"/>
    <cellStyle name="Normal 68 8 2" xfId="13717" xr:uid="{00000000-0005-0000-0000-0000A72F0000}"/>
    <cellStyle name="Normal 68 9" xfId="9204" xr:uid="{00000000-0005-0000-0000-0000A82F0000}"/>
    <cellStyle name="Normal 69" xfId="69" xr:uid="{00000000-0005-0000-0000-0000A92F0000}"/>
    <cellStyle name="Normal 69 2" xfId="165" xr:uid="{00000000-0005-0000-0000-0000AA2F0000}"/>
    <cellStyle name="Normal 69 2 2" xfId="394" xr:uid="{00000000-0005-0000-0000-0000AB2F0000}"/>
    <cellStyle name="Normal 69 2 2 2" xfId="958" xr:uid="{00000000-0005-0000-0000-0000AC2F0000}"/>
    <cellStyle name="Normal 69 2 2 2 2" xfId="2128" xr:uid="{00000000-0005-0000-0000-0000AD2F0000}"/>
    <cellStyle name="Normal 69 2 2 2 2 2" xfId="3871" xr:uid="{00000000-0005-0000-0000-0000AE2F0000}"/>
    <cellStyle name="Normal 69 2 2 2 2 2 2" xfId="8386" xr:uid="{00000000-0005-0000-0000-0000AF2F0000}"/>
    <cellStyle name="Normal 69 2 2 2 2 2 2 2" xfId="17427" xr:uid="{00000000-0005-0000-0000-0000B02F0000}"/>
    <cellStyle name="Normal 69 2 2 2 2 2 3" xfId="12914" xr:uid="{00000000-0005-0000-0000-0000B12F0000}"/>
    <cellStyle name="Normal 69 2 2 2 2 3" xfId="6651" xr:uid="{00000000-0005-0000-0000-0000B22F0000}"/>
    <cellStyle name="Normal 69 2 2 2 2 3 2" xfId="15692" xr:uid="{00000000-0005-0000-0000-0000B32F0000}"/>
    <cellStyle name="Normal 69 2 2 2 2 4" xfId="11179" xr:uid="{00000000-0005-0000-0000-0000B42F0000}"/>
    <cellStyle name="Normal 69 2 2 2 3" xfId="3870" xr:uid="{00000000-0005-0000-0000-0000B52F0000}"/>
    <cellStyle name="Normal 69 2 2 2 3 2" xfId="8385" xr:uid="{00000000-0005-0000-0000-0000B62F0000}"/>
    <cellStyle name="Normal 69 2 2 2 3 2 2" xfId="17426" xr:uid="{00000000-0005-0000-0000-0000B72F0000}"/>
    <cellStyle name="Normal 69 2 2 2 3 3" xfId="12913" xr:uid="{00000000-0005-0000-0000-0000B82F0000}"/>
    <cellStyle name="Normal 69 2 2 2 4" xfId="5523" xr:uid="{00000000-0005-0000-0000-0000B92F0000}"/>
    <cellStyle name="Normal 69 2 2 2 4 2" xfId="14564" xr:uid="{00000000-0005-0000-0000-0000BA2F0000}"/>
    <cellStyle name="Normal 69 2 2 2 5" xfId="10051" xr:uid="{00000000-0005-0000-0000-0000BB2F0000}"/>
    <cellStyle name="Normal 69 2 2 3" xfId="1564" xr:uid="{00000000-0005-0000-0000-0000BC2F0000}"/>
    <cellStyle name="Normal 69 2 2 3 2" xfId="3872" xr:uid="{00000000-0005-0000-0000-0000BD2F0000}"/>
    <cellStyle name="Normal 69 2 2 3 2 2" xfId="8387" xr:uid="{00000000-0005-0000-0000-0000BE2F0000}"/>
    <cellStyle name="Normal 69 2 2 3 2 2 2" xfId="17428" xr:uid="{00000000-0005-0000-0000-0000BF2F0000}"/>
    <cellStyle name="Normal 69 2 2 3 2 3" xfId="12915" xr:uid="{00000000-0005-0000-0000-0000C02F0000}"/>
    <cellStyle name="Normal 69 2 2 3 3" xfId="6087" xr:uid="{00000000-0005-0000-0000-0000C12F0000}"/>
    <cellStyle name="Normal 69 2 2 3 3 2" xfId="15128" xr:uid="{00000000-0005-0000-0000-0000C22F0000}"/>
    <cellStyle name="Normal 69 2 2 3 4" xfId="10615" xr:uid="{00000000-0005-0000-0000-0000C32F0000}"/>
    <cellStyle name="Normal 69 2 2 4" xfId="3869" xr:uid="{00000000-0005-0000-0000-0000C42F0000}"/>
    <cellStyle name="Normal 69 2 2 4 2" xfId="8384" xr:uid="{00000000-0005-0000-0000-0000C52F0000}"/>
    <cellStyle name="Normal 69 2 2 4 2 2" xfId="17425" xr:uid="{00000000-0005-0000-0000-0000C62F0000}"/>
    <cellStyle name="Normal 69 2 2 4 3" xfId="12912" xr:uid="{00000000-0005-0000-0000-0000C72F0000}"/>
    <cellStyle name="Normal 69 2 2 5" xfId="4959" xr:uid="{00000000-0005-0000-0000-0000C82F0000}"/>
    <cellStyle name="Normal 69 2 2 5 2" xfId="14000" xr:uid="{00000000-0005-0000-0000-0000C92F0000}"/>
    <cellStyle name="Normal 69 2 2 6" xfId="9487" xr:uid="{00000000-0005-0000-0000-0000CA2F0000}"/>
    <cellStyle name="Normal 69 2 3" xfId="582" xr:uid="{00000000-0005-0000-0000-0000CB2F0000}"/>
    <cellStyle name="Normal 69 2 3 2" xfId="1146" xr:uid="{00000000-0005-0000-0000-0000CC2F0000}"/>
    <cellStyle name="Normal 69 2 3 2 2" xfId="2316" xr:uid="{00000000-0005-0000-0000-0000CD2F0000}"/>
    <cellStyle name="Normal 69 2 3 2 2 2" xfId="3875" xr:uid="{00000000-0005-0000-0000-0000CE2F0000}"/>
    <cellStyle name="Normal 69 2 3 2 2 2 2" xfId="8390" xr:uid="{00000000-0005-0000-0000-0000CF2F0000}"/>
    <cellStyle name="Normal 69 2 3 2 2 2 2 2" xfId="17431" xr:uid="{00000000-0005-0000-0000-0000D02F0000}"/>
    <cellStyle name="Normal 69 2 3 2 2 2 3" xfId="12918" xr:uid="{00000000-0005-0000-0000-0000D12F0000}"/>
    <cellStyle name="Normal 69 2 3 2 2 3" xfId="6839" xr:uid="{00000000-0005-0000-0000-0000D22F0000}"/>
    <cellStyle name="Normal 69 2 3 2 2 3 2" xfId="15880" xr:uid="{00000000-0005-0000-0000-0000D32F0000}"/>
    <cellStyle name="Normal 69 2 3 2 2 4" xfId="11367" xr:uid="{00000000-0005-0000-0000-0000D42F0000}"/>
    <cellStyle name="Normal 69 2 3 2 3" xfId="3874" xr:uid="{00000000-0005-0000-0000-0000D52F0000}"/>
    <cellStyle name="Normal 69 2 3 2 3 2" xfId="8389" xr:uid="{00000000-0005-0000-0000-0000D62F0000}"/>
    <cellStyle name="Normal 69 2 3 2 3 2 2" xfId="17430" xr:uid="{00000000-0005-0000-0000-0000D72F0000}"/>
    <cellStyle name="Normal 69 2 3 2 3 3" xfId="12917" xr:uid="{00000000-0005-0000-0000-0000D82F0000}"/>
    <cellStyle name="Normal 69 2 3 2 4" xfId="5711" xr:uid="{00000000-0005-0000-0000-0000D92F0000}"/>
    <cellStyle name="Normal 69 2 3 2 4 2" xfId="14752" xr:uid="{00000000-0005-0000-0000-0000DA2F0000}"/>
    <cellStyle name="Normal 69 2 3 2 5" xfId="10239" xr:uid="{00000000-0005-0000-0000-0000DB2F0000}"/>
    <cellStyle name="Normal 69 2 3 3" xfId="1752" xr:uid="{00000000-0005-0000-0000-0000DC2F0000}"/>
    <cellStyle name="Normal 69 2 3 3 2" xfId="3876" xr:uid="{00000000-0005-0000-0000-0000DD2F0000}"/>
    <cellStyle name="Normal 69 2 3 3 2 2" xfId="8391" xr:uid="{00000000-0005-0000-0000-0000DE2F0000}"/>
    <cellStyle name="Normal 69 2 3 3 2 2 2" xfId="17432" xr:uid="{00000000-0005-0000-0000-0000DF2F0000}"/>
    <cellStyle name="Normal 69 2 3 3 2 3" xfId="12919" xr:uid="{00000000-0005-0000-0000-0000E02F0000}"/>
    <cellStyle name="Normal 69 2 3 3 3" xfId="6275" xr:uid="{00000000-0005-0000-0000-0000E12F0000}"/>
    <cellStyle name="Normal 69 2 3 3 3 2" xfId="15316" xr:uid="{00000000-0005-0000-0000-0000E22F0000}"/>
    <cellStyle name="Normal 69 2 3 3 4" xfId="10803" xr:uid="{00000000-0005-0000-0000-0000E32F0000}"/>
    <cellStyle name="Normal 69 2 3 4" xfId="3873" xr:uid="{00000000-0005-0000-0000-0000E42F0000}"/>
    <cellStyle name="Normal 69 2 3 4 2" xfId="8388" xr:uid="{00000000-0005-0000-0000-0000E52F0000}"/>
    <cellStyle name="Normal 69 2 3 4 2 2" xfId="17429" xr:uid="{00000000-0005-0000-0000-0000E62F0000}"/>
    <cellStyle name="Normal 69 2 3 4 3" xfId="12916" xr:uid="{00000000-0005-0000-0000-0000E72F0000}"/>
    <cellStyle name="Normal 69 2 3 5" xfId="5147" xr:uid="{00000000-0005-0000-0000-0000E82F0000}"/>
    <cellStyle name="Normal 69 2 3 5 2" xfId="14188" xr:uid="{00000000-0005-0000-0000-0000E92F0000}"/>
    <cellStyle name="Normal 69 2 3 6" xfId="9675" xr:uid="{00000000-0005-0000-0000-0000EA2F0000}"/>
    <cellStyle name="Normal 69 2 4" xfId="770" xr:uid="{00000000-0005-0000-0000-0000EB2F0000}"/>
    <cellStyle name="Normal 69 2 4 2" xfId="1940" xr:uid="{00000000-0005-0000-0000-0000EC2F0000}"/>
    <cellStyle name="Normal 69 2 4 2 2" xfId="3878" xr:uid="{00000000-0005-0000-0000-0000ED2F0000}"/>
    <cellStyle name="Normal 69 2 4 2 2 2" xfId="8393" xr:uid="{00000000-0005-0000-0000-0000EE2F0000}"/>
    <cellStyle name="Normal 69 2 4 2 2 2 2" xfId="17434" xr:uid="{00000000-0005-0000-0000-0000EF2F0000}"/>
    <cellStyle name="Normal 69 2 4 2 2 3" xfId="12921" xr:uid="{00000000-0005-0000-0000-0000F02F0000}"/>
    <cellStyle name="Normal 69 2 4 2 3" xfId="6463" xr:uid="{00000000-0005-0000-0000-0000F12F0000}"/>
    <cellStyle name="Normal 69 2 4 2 3 2" xfId="15504" xr:uid="{00000000-0005-0000-0000-0000F22F0000}"/>
    <cellStyle name="Normal 69 2 4 2 4" xfId="10991" xr:uid="{00000000-0005-0000-0000-0000F32F0000}"/>
    <cellStyle name="Normal 69 2 4 3" xfId="3877" xr:uid="{00000000-0005-0000-0000-0000F42F0000}"/>
    <cellStyle name="Normal 69 2 4 3 2" xfId="8392" xr:uid="{00000000-0005-0000-0000-0000F52F0000}"/>
    <cellStyle name="Normal 69 2 4 3 2 2" xfId="17433" xr:uid="{00000000-0005-0000-0000-0000F62F0000}"/>
    <cellStyle name="Normal 69 2 4 3 3" xfId="12920" xr:uid="{00000000-0005-0000-0000-0000F72F0000}"/>
    <cellStyle name="Normal 69 2 4 4" xfId="5335" xr:uid="{00000000-0005-0000-0000-0000F82F0000}"/>
    <cellStyle name="Normal 69 2 4 4 2" xfId="14376" xr:uid="{00000000-0005-0000-0000-0000F92F0000}"/>
    <cellStyle name="Normal 69 2 4 5" xfId="9863" xr:uid="{00000000-0005-0000-0000-0000FA2F0000}"/>
    <cellStyle name="Normal 69 2 5" xfId="1376" xr:uid="{00000000-0005-0000-0000-0000FB2F0000}"/>
    <cellStyle name="Normal 69 2 5 2" xfId="3879" xr:uid="{00000000-0005-0000-0000-0000FC2F0000}"/>
    <cellStyle name="Normal 69 2 5 2 2" xfId="8394" xr:uid="{00000000-0005-0000-0000-0000FD2F0000}"/>
    <cellStyle name="Normal 69 2 5 2 2 2" xfId="17435" xr:uid="{00000000-0005-0000-0000-0000FE2F0000}"/>
    <cellStyle name="Normal 69 2 5 2 3" xfId="12922" xr:uid="{00000000-0005-0000-0000-0000FF2F0000}"/>
    <cellStyle name="Normal 69 2 5 3" xfId="5899" xr:uid="{00000000-0005-0000-0000-000000300000}"/>
    <cellStyle name="Normal 69 2 5 3 2" xfId="14940" xr:uid="{00000000-0005-0000-0000-000001300000}"/>
    <cellStyle name="Normal 69 2 5 4" xfId="10427" xr:uid="{00000000-0005-0000-0000-000002300000}"/>
    <cellStyle name="Normal 69 2 6" xfId="3868" xr:uid="{00000000-0005-0000-0000-000003300000}"/>
    <cellStyle name="Normal 69 2 6 2" xfId="8383" xr:uid="{00000000-0005-0000-0000-000004300000}"/>
    <cellStyle name="Normal 69 2 6 2 2" xfId="17424" xr:uid="{00000000-0005-0000-0000-000005300000}"/>
    <cellStyle name="Normal 69 2 6 3" xfId="12911" xr:uid="{00000000-0005-0000-0000-000006300000}"/>
    <cellStyle name="Normal 69 2 7" xfId="4771" xr:uid="{00000000-0005-0000-0000-000007300000}"/>
    <cellStyle name="Normal 69 2 7 2" xfId="13812" xr:uid="{00000000-0005-0000-0000-000008300000}"/>
    <cellStyle name="Normal 69 2 8" xfId="9299" xr:uid="{00000000-0005-0000-0000-000009300000}"/>
    <cellStyle name="Normal 69 3" xfId="300" xr:uid="{00000000-0005-0000-0000-00000A300000}"/>
    <cellStyle name="Normal 69 3 2" xfId="864" xr:uid="{00000000-0005-0000-0000-00000B300000}"/>
    <cellStyle name="Normal 69 3 2 2" xfId="2034" xr:uid="{00000000-0005-0000-0000-00000C300000}"/>
    <cellStyle name="Normal 69 3 2 2 2" xfId="3882" xr:uid="{00000000-0005-0000-0000-00000D300000}"/>
    <cellStyle name="Normal 69 3 2 2 2 2" xfId="8397" xr:uid="{00000000-0005-0000-0000-00000E300000}"/>
    <cellStyle name="Normal 69 3 2 2 2 2 2" xfId="17438" xr:uid="{00000000-0005-0000-0000-00000F300000}"/>
    <cellStyle name="Normal 69 3 2 2 2 3" xfId="12925" xr:uid="{00000000-0005-0000-0000-000010300000}"/>
    <cellStyle name="Normal 69 3 2 2 3" xfId="6557" xr:uid="{00000000-0005-0000-0000-000011300000}"/>
    <cellStyle name="Normal 69 3 2 2 3 2" xfId="15598" xr:uid="{00000000-0005-0000-0000-000012300000}"/>
    <cellStyle name="Normal 69 3 2 2 4" xfId="11085" xr:uid="{00000000-0005-0000-0000-000013300000}"/>
    <cellStyle name="Normal 69 3 2 3" xfId="3881" xr:uid="{00000000-0005-0000-0000-000014300000}"/>
    <cellStyle name="Normal 69 3 2 3 2" xfId="8396" xr:uid="{00000000-0005-0000-0000-000015300000}"/>
    <cellStyle name="Normal 69 3 2 3 2 2" xfId="17437" xr:uid="{00000000-0005-0000-0000-000016300000}"/>
    <cellStyle name="Normal 69 3 2 3 3" xfId="12924" xr:uid="{00000000-0005-0000-0000-000017300000}"/>
    <cellStyle name="Normal 69 3 2 4" xfId="5429" xr:uid="{00000000-0005-0000-0000-000018300000}"/>
    <cellStyle name="Normal 69 3 2 4 2" xfId="14470" xr:uid="{00000000-0005-0000-0000-000019300000}"/>
    <cellStyle name="Normal 69 3 2 5" xfId="9957" xr:uid="{00000000-0005-0000-0000-00001A300000}"/>
    <cellStyle name="Normal 69 3 3" xfId="1470" xr:uid="{00000000-0005-0000-0000-00001B300000}"/>
    <cellStyle name="Normal 69 3 3 2" xfId="3883" xr:uid="{00000000-0005-0000-0000-00001C300000}"/>
    <cellStyle name="Normal 69 3 3 2 2" xfId="8398" xr:uid="{00000000-0005-0000-0000-00001D300000}"/>
    <cellStyle name="Normal 69 3 3 2 2 2" xfId="17439" xr:uid="{00000000-0005-0000-0000-00001E300000}"/>
    <cellStyle name="Normal 69 3 3 2 3" xfId="12926" xr:uid="{00000000-0005-0000-0000-00001F300000}"/>
    <cellStyle name="Normal 69 3 3 3" xfId="5993" xr:uid="{00000000-0005-0000-0000-000020300000}"/>
    <cellStyle name="Normal 69 3 3 3 2" xfId="15034" xr:uid="{00000000-0005-0000-0000-000021300000}"/>
    <cellStyle name="Normal 69 3 3 4" xfId="10521" xr:uid="{00000000-0005-0000-0000-000022300000}"/>
    <cellStyle name="Normal 69 3 4" xfId="3880" xr:uid="{00000000-0005-0000-0000-000023300000}"/>
    <cellStyle name="Normal 69 3 4 2" xfId="8395" xr:uid="{00000000-0005-0000-0000-000024300000}"/>
    <cellStyle name="Normal 69 3 4 2 2" xfId="17436" xr:uid="{00000000-0005-0000-0000-000025300000}"/>
    <cellStyle name="Normal 69 3 4 3" xfId="12923" xr:uid="{00000000-0005-0000-0000-000026300000}"/>
    <cellStyle name="Normal 69 3 5" xfId="4865" xr:uid="{00000000-0005-0000-0000-000027300000}"/>
    <cellStyle name="Normal 69 3 5 2" xfId="13906" xr:uid="{00000000-0005-0000-0000-000028300000}"/>
    <cellStyle name="Normal 69 3 6" xfId="9393" xr:uid="{00000000-0005-0000-0000-000029300000}"/>
    <cellStyle name="Normal 69 4" xfId="488" xr:uid="{00000000-0005-0000-0000-00002A300000}"/>
    <cellStyle name="Normal 69 4 2" xfId="1052" xr:uid="{00000000-0005-0000-0000-00002B300000}"/>
    <cellStyle name="Normal 69 4 2 2" xfId="2222" xr:uid="{00000000-0005-0000-0000-00002C300000}"/>
    <cellStyle name="Normal 69 4 2 2 2" xfId="3886" xr:uid="{00000000-0005-0000-0000-00002D300000}"/>
    <cellStyle name="Normal 69 4 2 2 2 2" xfId="8401" xr:uid="{00000000-0005-0000-0000-00002E300000}"/>
    <cellStyle name="Normal 69 4 2 2 2 2 2" xfId="17442" xr:uid="{00000000-0005-0000-0000-00002F300000}"/>
    <cellStyle name="Normal 69 4 2 2 2 3" xfId="12929" xr:uid="{00000000-0005-0000-0000-000030300000}"/>
    <cellStyle name="Normal 69 4 2 2 3" xfId="6745" xr:uid="{00000000-0005-0000-0000-000031300000}"/>
    <cellStyle name="Normal 69 4 2 2 3 2" xfId="15786" xr:uid="{00000000-0005-0000-0000-000032300000}"/>
    <cellStyle name="Normal 69 4 2 2 4" xfId="11273" xr:uid="{00000000-0005-0000-0000-000033300000}"/>
    <cellStyle name="Normal 69 4 2 3" xfId="3885" xr:uid="{00000000-0005-0000-0000-000034300000}"/>
    <cellStyle name="Normal 69 4 2 3 2" xfId="8400" xr:uid="{00000000-0005-0000-0000-000035300000}"/>
    <cellStyle name="Normal 69 4 2 3 2 2" xfId="17441" xr:uid="{00000000-0005-0000-0000-000036300000}"/>
    <cellStyle name="Normal 69 4 2 3 3" xfId="12928" xr:uid="{00000000-0005-0000-0000-000037300000}"/>
    <cellStyle name="Normal 69 4 2 4" xfId="5617" xr:uid="{00000000-0005-0000-0000-000038300000}"/>
    <cellStyle name="Normal 69 4 2 4 2" xfId="14658" xr:uid="{00000000-0005-0000-0000-000039300000}"/>
    <cellStyle name="Normal 69 4 2 5" xfId="10145" xr:uid="{00000000-0005-0000-0000-00003A300000}"/>
    <cellStyle name="Normal 69 4 3" xfId="1658" xr:uid="{00000000-0005-0000-0000-00003B300000}"/>
    <cellStyle name="Normal 69 4 3 2" xfId="3887" xr:uid="{00000000-0005-0000-0000-00003C300000}"/>
    <cellStyle name="Normal 69 4 3 2 2" xfId="8402" xr:uid="{00000000-0005-0000-0000-00003D300000}"/>
    <cellStyle name="Normal 69 4 3 2 2 2" xfId="17443" xr:uid="{00000000-0005-0000-0000-00003E300000}"/>
    <cellStyle name="Normal 69 4 3 2 3" xfId="12930" xr:uid="{00000000-0005-0000-0000-00003F300000}"/>
    <cellStyle name="Normal 69 4 3 3" xfId="6181" xr:uid="{00000000-0005-0000-0000-000040300000}"/>
    <cellStyle name="Normal 69 4 3 3 2" xfId="15222" xr:uid="{00000000-0005-0000-0000-000041300000}"/>
    <cellStyle name="Normal 69 4 3 4" xfId="10709" xr:uid="{00000000-0005-0000-0000-000042300000}"/>
    <cellStyle name="Normal 69 4 4" xfId="3884" xr:uid="{00000000-0005-0000-0000-000043300000}"/>
    <cellStyle name="Normal 69 4 4 2" xfId="8399" xr:uid="{00000000-0005-0000-0000-000044300000}"/>
    <cellStyle name="Normal 69 4 4 2 2" xfId="17440" xr:uid="{00000000-0005-0000-0000-000045300000}"/>
    <cellStyle name="Normal 69 4 4 3" xfId="12927" xr:uid="{00000000-0005-0000-0000-000046300000}"/>
    <cellStyle name="Normal 69 4 5" xfId="5053" xr:uid="{00000000-0005-0000-0000-000047300000}"/>
    <cellStyle name="Normal 69 4 5 2" xfId="14094" xr:uid="{00000000-0005-0000-0000-000048300000}"/>
    <cellStyle name="Normal 69 4 6" xfId="9581" xr:uid="{00000000-0005-0000-0000-000049300000}"/>
    <cellStyle name="Normal 69 5" xfId="676" xr:uid="{00000000-0005-0000-0000-00004A300000}"/>
    <cellStyle name="Normal 69 5 2" xfId="1846" xr:uid="{00000000-0005-0000-0000-00004B300000}"/>
    <cellStyle name="Normal 69 5 2 2" xfId="3889" xr:uid="{00000000-0005-0000-0000-00004C300000}"/>
    <cellStyle name="Normal 69 5 2 2 2" xfId="8404" xr:uid="{00000000-0005-0000-0000-00004D300000}"/>
    <cellStyle name="Normal 69 5 2 2 2 2" xfId="17445" xr:uid="{00000000-0005-0000-0000-00004E300000}"/>
    <cellStyle name="Normal 69 5 2 2 3" xfId="12932" xr:uid="{00000000-0005-0000-0000-00004F300000}"/>
    <cellStyle name="Normal 69 5 2 3" xfId="6369" xr:uid="{00000000-0005-0000-0000-000050300000}"/>
    <cellStyle name="Normal 69 5 2 3 2" xfId="15410" xr:uid="{00000000-0005-0000-0000-000051300000}"/>
    <cellStyle name="Normal 69 5 2 4" xfId="10897" xr:uid="{00000000-0005-0000-0000-000052300000}"/>
    <cellStyle name="Normal 69 5 3" xfId="3888" xr:uid="{00000000-0005-0000-0000-000053300000}"/>
    <cellStyle name="Normal 69 5 3 2" xfId="8403" xr:uid="{00000000-0005-0000-0000-000054300000}"/>
    <cellStyle name="Normal 69 5 3 2 2" xfId="17444" xr:uid="{00000000-0005-0000-0000-000055300000}"/>
    <cellStyle name="Normal 69 5 3 3" xfId="12931" xr:uid="{00000000-0005-0000-0000-000056300000}"/>
    <cellStyle name="Normal 69 5 4" xfId="5241" xr:uid="{00000000-0005-0000-0000-000057300000}"/>
    <cellStyle name="Normal 69 5 4 2" xfId="14282" xr:uid="{00000000-0005-0000-0000-000058300000}"/>
    <cellStyle name="Normal 69 5 5" xfId="9769" xr:uid="{00000000-0005-0000-0000-000059300000}"/>
    <cellStyle name="Normal 69 6" xfId="1282" xr:uid="{00000000-0005-0000-0000-00005A300000}"/>
    <cellStyle name="Normal 69 6 2" xfId="3890" xr:uid="{00000000-0005-0000-0000-00005B300000}"/>
    <cellStyle name="Normal 69 6 2 2" xfId="8405" xr:uid="{00000000-0005-0000-0000-00005C300000}"/>
    <cellStyle name="Normal 69 6 2 2 2" xfId="17446" xr:uid="{00000000-0005-0000-0000-00005D300000}"/>
    <cellStyle name="Normal 69 6 2 3" xfId="12933" xr:uid="{00000000-0005-0000-0000-00005E300000}"/>
    <cellStyle name="Normal 69 6 3" xfId="5805" xr:uid="{00000000-0005-0000-0000-00005F300000}"/>
    <cellStyle name="Normal 69 6 3 2" xfId="14846" xr:uid="{00000000-0005-0000-0000-000060300000}"/>
    <cellStyle name="Normal 69 6 4" xfId="10333" xr:uid="{00000000-0005-0000-0000-000061300000}"/>
    <cellStyle name="Normal 69 7" xfId="3867" xr:uid="{00000000-0005-0000-0000-000062300000}"/>
    <cellStyle name="Normal 69 7 2" xfId="8382" xr:uid="{00000000-0005-0000-0000-000063300000}"/>
    <cellStyle name="Normal 69 7 2 2" xfId="17423" xr:uid="{00000000-0005-0000-0000-000064300000}"/>
    <cellStyle name="Normal 69 7 3" xfId="12910" xr:uid="{00000000-0005-0000-0000-000065300000}"/>
    <cellStyle name="Normal 69 8" xfId="4677" xr:uid="{00000000-0005-0000-0000-000066300000}"/>
    <cellStyle name="Normal 69 8 2" xfId="13718" xr:uid="{00000000-0005-0000-0000-000067300000}"/>
    <cellStyle name="Normal 69 9" xfId="9205" xr:uid="{00000000-0005-0000-0000-000068300000}"/>
    <cellStyle name="Normal 7" xfId="3891" xr:uid="{00000000-0005-0000-0000-000069300000}"/>
    <cellStyle name="Normal 7 2" xfId="9132" xr:uid="{00000000-0005-0000-0000-00006A300000}"/>
    <cellStyle name="Normal 7 2 2" xfId="18171" xr:uid="{00000000-0005-0000-0000-00006B300000}"/>
    <cellStyle name="Normal 70" xfId="70" xr:uid="{00000000-0005-0000-0000-00006C300000}"/>
    <cellStyle name="Normal 70 2" xfId="166" xr:uid="{00000000-0005-0000-0000-00006D300000}"/>
    <cellStyle name="Normal 70 2 2" xfId="395" xr:uid="{00000000-0005-0000-0000-00006E300000}"/>
    <cellStyle name="Normal 70 2 2 2" xfId="959" xr:uid="{00000000-0005-0000-0000-00006F300000}"/>
    <cellStyle name="Normal 70 2 2 2 2" xfId="2129" xr:uid="{00000000-0005-0000-0000-000070300000}"/>
    <cellStyle name="Normal 70 2 2 2 2 2" xfId="3896" xr:uid="{00000000-0005-0000-0000-000071300000}"/>
    <cellStyle name="Normal 70 2 2 2 2 2 2" xfId="8410" xr:uid="{00000000-0005-0000-0000-000072300000}"/>
    <cellStyle name="Normal 70 2 2 2 2 2 2 2" xfId="17451" xr:uid="{00000000-0005-0000-0000-000073300000}"/>
    <cellStyle name="Normal 70 2 2 2 2 2 3" xfId="12938" xr:uid="{00000000-0005-0000-0000-000074300000}"/>
    <cellStyle name="Normal 70 2 2 2 2 3" xfId="6652" xr:uid="{00000000-0005-0000-0000-000075300000}"/>
    <cellStyle name="Normal 70 2 2 2 2 3 2" xfId="15693" xr:uid="{00000000-0005-0000-0000-000076300000}"/>
    <cellStyle name="Normal 70 2 2 2 2 4" xfId="11180" xr:uid="{00000000-0005-0000-0000-000077300000}"/>
    <cellStyle name="Normal 70 2 2 2 3" xfId="3895" xr:uid="{00000000-0005-0000-0000-000078300000}"/>
    <cellStyle name="Normal 70 2 2 2 3 2" xfId="8409" xr:uid="{00000000-0005-0000-0000-000079300000}"/>
    <cellStyle name="Normal 70 2 2 2 3 2 2" xfId="17450" xr:uid="{00000000-0005-0000-0000-00007A300000}"/>
    <cellStyle name="Normal 70 2 2 2 3 3" xfId="12937" xr:uid="{00000000-0005-0000-0000-00007B300000}"/>
    <cellStyle name="Normal 70 2 2 2 4" xfId="5524" xr:uid="{00000000-0005-0000-0000-00007C300000}"/>
    <cellStyle name="Normal 70 2 2 2 4 2" xfId="14565" xr:uid="{00000000-0005-0000-0000-00007D300000}"/>
    <cellStyle name="Normal 70 2 2 2 5" xfId="10052" xr:uid="{00000000-0005-0000-0000-00007E300000}"/>
    <cellStyle name="Normal 70 2 2 3" xfId="1565" xr:uid="{00000000-0005-0000-0000-00007F300000}"/>
    <cellStyle name="Normal 70 2 2 3 2" xfId="3897" xr:uid="{00000000-0005-0000-0000-000080300000}"/>
    <cellStyle name="Normal 70 2 2 3 2 2" xfId="8411" xr:uid="{00000000-0005-0000-0000-000081300000}"/>
    <cellStyle name="Normal 70 2 2 3 2 2 2" xfId="17452" xr:uid="{00000000-0005-0000-0000-000082300000}"/>
    <cellStyle name="Normal 70 2 2 3 2 3" xfId="12939" xr:uid="{00000000-0005-0000-0000-000083300000}"/>
    <cellStyle name="Normal 70 2 2 3 3" xfId="6088" xr:uid="{00000000-0005-0000-0000-000084300000}"/>
    <cellStyle name="Normal 70 2 2 3 3 2" xfId="15129" xr:uid="{00000000-0005-0000-0000-000085300000}"/>
    <cellStyle name="Normal 70 2 2 3 4" xfId="10616" xr:uid="{00000000-0005-0000-0000-000086300000}"/>
    <cellStyle name="Normal 70 2 2 4" xfId="3894" xr:uid="{00000000-0005-0000-0000-000087300000}"/>
    <cellStyle name="Normal 70 2 2 4 2" xfId="8408" xr:uid="{00000000-0005-0000-0000-000088300000}"/>
    <cellStyle name="Normal 70 2 2 4 2 2" xfId="17449" xr:uid="{00000000-0005-0000-0000-000089300000}"/>
    <cellStyle name="Normal 70 2 2 4 3" xfId="12936" xr:uid="{00000000-0005-0000-0000-00008A300000}"/>
    <cellStyle name="Normal 70 2 2 5" xfId="4960" xr:uid="{00000000-0005-0000-0000-00008B300000}"/>
    <cellStyle name="Normal 70 2 2 5 2" xfId="14001" xr:uid="{00000000-0005-0000-0000-00008C300000}"/>
    <cellStyle name="Normal 70 2 2 6" xfId="9488" xr:uid="{00000000-0005-0000-0000-00008D300000}"/>
    <cellStyle name="Normal 70 2 3" xfId="583" xr:uid="{00000000-0005-0000-0000-00008E300000}"/>
    <cellStyle name="Normal 70 2 3 2" xfId="1147" xr:uid="{00000000-0005-0000-0000-00008F300000}"/>
    <cellStyle name="Normal 70 2 3 2 2" xfId="2317" xr:uid="{00000000-0005-0000-0000-000090300000}"/>
    <cellStyle name="Normal 70 2 3 2 2 2" xfId="3900" xr:uid="{00000000-0005-0000-0000-000091300000}"/>
    <cellStyle name="Normal 70 2 3 2 2 2 2" xfId="8414" xr:uid="{00000000-0005-0000-0000-000092300000}"/>
    <cellStyle name="Normal 70 2 3 2 2 2 2 2" xfId="17455" xr:uid="{00000000-0005-0000-0000-000093300000}"/>
    <cellStyle name="Normal 70 2 3 2 2 2 3" xfId="12942" xr:uid="{00000000-0005-0000-0000-000094300000}"/>
    <cellStyle name="Normal 70 2 3 2 2 3" xfId="6840" xr:uid="{00000000-0005-0000-0000-000095300000}"/>
    <cellStyle name="Normal 70 2 3 2 2 3 2" xfId="15881" xr:uid="{00000000-0005-0000-0000-000096300000}"/>
    <cellStyle name="Normal 70 2 3 2 2 4" xfId="11368" xr:uid="{00000000-0005-0000-0000-000097300000}"/>
    <cellStyle name="Normal 70 2 3 2 3" xfId="3899" xr:uid="{00000000-0005-0000-0000-000098300000}"/>
    <cellStyle name="Normal 70 2 3 2 3 2" xfId="8413" xr:uid="{00000000-0005-0000-0000-000099300000}"/>
    <cellStyle name="Normal 70 2 3 2 3 2 2" xfId="17454" xr:uid="{00000000-0005-0000-0000-00009A300000}"/>
    <cellStyle name="Normal 70 2 3 2 3 3" xfId="12941" xr:uid="{00000000-0005-0000-0000-00009B300000}"/>
    <cellStyle name="Normal 70 2 3 2 4" xfId="5712" xr:uid="{00000000-0005-0000-0000-00009C300000}"/>
    <cellStyle name="Normal 70 2 3 2 4 2" xfId="14753" xr:uid="{00000000-0005-0000-0000-00009D300000}"/>
    <cellStyle name="Normal 70 2 3 2 5" xfId="10240" xr:uid="{00000000-0005-0000-0000-00009E300000}"/>
    <cellStyle name="Normal 70 2 3 3" xfId="1753" xr:uid="{00000000-0005-0000-0000-00009F300000}"/>
    <cellStyle name="Normal 70 2 3 3 2" xfId="3901" xr:uid="{00000000-0005-0000-0000-0000A0300000}"/>
    <cellStyle name="Normal 70 2 3 3 2 2" xfId="8415" xr:uid="{00000000-0005-0000-0000-0000A1300000}"/>
    <cellStyle name="Normal 70 2 3 3 2 2 2" xfId="17456" xr:uid="{00000000-0005-0000-0000-0000A2300000}"/>
    <cellStyle name="Normal 70 2 3 3 2 3" xfId="12943" xr:uid="{00000000-0005-0000-0000-0000A3300000}"/>
    <cellStyle name="Normal 70 2 3 3 3" xfId="6276" xr:uid="{00000000-0005-0000-0000-0000A4300000}"/>
    <cellStyle name="Normal 70 2 3 3 3 2" xfId="15317" xr:uid="{00000000-0005-0000-0000-0000A5300000}"/>
    <cellStyle name="Normal 70 2 3 3 4" xfId="10804" xr:uid="{00000000-0005-0000-0000-0000A6300000}"/>
    <cellStyle name="Normal 70 2 3 4" xfId="3898" xr:uid="{00000000-0005-0000-0000-0000A7300000}"/>
    <cellStyle name="Normal 70 2 3 4 2" xfId="8412" xr:uid="{00000000-0005-0000-0000-0000A8300000}"/>
    <cellStyle name="Normal 70 2 3 4 2 2" xfId="17453" xr:uid="{00000000-0005-0000-0000-0000A9300000}"/>
    <cellStyle name="Normal 70 2 3 4 3" xfId="12940" xr:uid="{00000000-0005-0000-0000-0000AA300000}"/>
    <cellStyle name="Normal 70 2 3 5" xfId="5148" xr:uid="{00000000-0005-0000-0000-0000AB300000}"/>
    <cellStyle name="Normal 70 2 3 5 2" xfId="14189" xr:uid="{00000000-0005-0000-0000-0000AC300000}"/>
    <cellStyle name="Normal 70 2 3 6" xfId="9676" xr:uid="{00000000-0005-0000-0000-0000AD300000}"/>
    <cellStyle name="Normal 70 2 4" xfId="771" xr:uid="{00000000-0005-0000-0000-0000AE300000}"/>
    <cellStyle name="Normal 70 2 4 2" xfId="1941" xr:uid="{00000000-0005-0000-0000-0000AF300000}"/>
    <cellStyle name="Normal 70 2 4 2 2" xfId="3903" xr:uid="{00000000-0005-0000-0000-0000B0300000}"/>
    <cellStyle name="Normal 70 2 4 2 2 2" xfId="8417" xr:uid="{00000000-0005-0000-0000-0000B1300000}"/>
    <cellStyle name="Normal 70 2 4 2 2 2 2" xfId="17458" xr:uid="{00000000-0005-0000-0000-0000B2300000}"/>
    <cellStyle name="Normal 70 2 4 2 2 3" xfId="12945" xr:uid="{00000000-0005-0000-0000-0000B3300000}"/>
    <cellStyle name="Normal 70 2 4 2 3" xfId="6464" xr:uid="{00000000-0005-0000-0000-0000B4300000}"/>
    <cellStyle name="Normal 70 2 4 2 3 2" xfId="15505" xr:uid="{00000000-0005-0000-0000-0000B5300000}"/>
    <cellStyle name="Normal 70 2 4 2 4" xfId="10992" xr:uid="{00000000-0005-0000-0000-0000B6300000}"/>
    <cellStyle name="Normal 70 2 4 3" xfId="3902" xr:uid="{00000000-0005-0000-0000-0000B7300000}"/>
    <cellStyle name="Normal 70 2 4 3 2" xfId="8416" xr:uid="{00000000-0005-0000-0000-0000B8300000}"/>
    <cellStyle name="Normal 70 2 4 3 2 2" xfId="17457" xr:uid="{00000000-0005-0000-0000-0000B9300000}"/>
    <cellStyle name="Normal 70 2 4 3 3" xfId="12944" xr:uid="{00000000-0005-0000-0000-0000BA300000}"/>
    <cellStyle name="Normal 70 2 4 4" xfId="5336" xr:uid="{00000000-0005-0000-0000-0000BB300000}"/>
    <cellStyle name="Normal 70 2 4 4 2" xfId="14377" xr:uid="{00000000-0005-0000-0000-0000BC300000}"/>
    <cellStyle name="Normal 70 2 4 5" xfId="9864" xr:uid="{00000000-0005-0000-0000-0000BD300000}"/>
    <cellStyle name="Normal 70 2 5" xfId="1377" xr:uid="{00000000-0005-0000-0000-0000BE300000}"/>
    <cellStyle name="Normal 70 2 5 2" xfId="3904" xr:uid="{00000000-0005-0000-0000-0000BF300000}"/>
    <cellStyle name="Normal 70 2 5 2 2" xfId="8418" xr:uid="{00000000-0005-0000-0000-0000C0300000}"/>
    <cellStyle name="Normal 70 2 5 2 2 2" xfId="17459" xr:uid="{00000000-0005-0000-0000-0000C1300000}"/>
    <cellStyle name="Normal 70 2 5 2 3" xfId="12946" xr:uid="{00000000-0005-0000-0000-0000C2300000}"/>
    <cellStyle name="Normal 70 2 5 3" xfId="5900" xr:uid="{00000000-0005-0000-0000-0000C3300000}"/>
    <cellStyle name="Normal 70 2 5 3 2" xfId="14941" xr:uid="{00000000-0005-0000-0000-0000C4300000}"/>
    <cellStyle name="Normal 70 2 5 4" xfId="10428" xr:uid="{00000000-0005-0000-0000-0000C5300000}"/>
    <cellStyle name="Normal 70 2 6" xfId="3893" xr:uid="{00000000-0005-0000-0000-0000C6300000}"/>
    <cellStyle name="Normal 70 2 6 2" xfId="8407" xr:uid="{00000000-0005-0000-0000-0000C7300000}"/>
    <cellStyle name="Normal 70 2 6 2 2" xfId="17448" xr:uid="{00000000-0005-0000-0000-0000C8300000}"/>
    <cellStyle name="Normal 70 2 6 3" xfId="12935" xr:uid="{00000000-0005-0000-0000-0000C9300000}"/>
    <cellStyle name="Normal 70 2 7" xfId="4772" xr:uid="{00000000-0005-0000-0000-0000CA300000}"/>
    <cellStyle name="Normal 70 2 7 2" xfId="13813" xr:uid="{00000000-0005-0000-0000-0000CB300000}"/>
    <cellStyle name="Normal 70 2 8" xfId="9300" xr:uid="{00000000-0005-0000-0000-0000CC300000}"/>
    <cellStyle name="Normal 70 3" xfId="301" xr:uid="{00000000-0005-0000-0000-0000CD300000}"/>
    <cellStyle name="Normal 70 3 2" xfId="865" xr:uid="{00000000-0005-0000-0000-0000CE300000}"/>
    <cellStyle name="Normal 70 3 2 2" xfId="2035" xr:uid="{00000000-0005-0000-0000-0000CF300000}"/>
    <cellStyle name="Normal 70 3 2 2 2" xfId="3907" xr:uid="{00000000-0005-0000-0000-0000D0300000}"/>
    <cellStyle name="Normal 70 3 2 2 2 2" xfId="8421" xr:uid="{00000000-0005-0000-0000-0000D1300000}"/>
    <cellStyle name="Normal 70 3 2 2 2 2 2" xfId="17462" xr:uid="{00000000-0005-0000-0000-0000D2300000}"/>
    <cellStyle name="Normal 70 3 2 2 2 3" xfId="12949" xr:uid="{00000000-0005-0000-0000-0000D3300000}"/>
    <cellStyle name="Normal 70 3 2 2 3" xfId="6558" xr:uid="{00000000-0005-0000-0000-0000D4300000}"/>
    <cellStyle name="Normal 70 3 2 2 3 2" xfId="15599" xr:uid="{00000000-0005-0000-0000-0000D5300000}"/>
    <cellStyle name="Normal 70 3 2 2 4" xfId="11086" xr:uid="{00000000-0005-0000-0000-0000D6300000}"/>
    <cellStyle name="Normal 70 3 2 3" xfId="3906" xr:uid="{00000000-0005-0000-0000-0000D7300000}"/>
    <cellStyle name="Normal 70 3 2 3 2" xfId="8420" xr:uid="{00000000-0005-0000-0000-0000D8300000}"/>
    <cellStyle name="Normal 70 3 2 3 2 2" xfId="17461" xr:uid="{00000000-0005-0000-0000-0000D9300000}"/>
    <cellStyle name="Normal 70 3 2 3 3" xfId="12948" xr:uid="{00000000-0005-0000-0000-0000DA300000}"/>
    <cellStyle name="Normal 70 3 2 4" xfId="5430" xr:uid="{00000000-0005-0000-0000-0000DB300000}"/>
    <cellStyle name="Normal 70 3 2 4 2" xfId="14471" xr:uid="{00000000-0005-0000-0000-0000DC300000}"/>
    <cellStyle name="Normal 70 3 2 5" xfId="9958" xr:uid="{00000000-0005-0000-0000-0000DD300000}"/>
    <cellStyle name="Normal 70 3 3" xfId="1471" xr:uid="{00000000-0005-0000-0000-0000DE300000}"/>
    <cellStyle name="Normal 70 3 3 2" xfId="3908" xr:uid="{00000000-0005-0000-0000-0000DF300000}"/>
    <cellStyle name="Normal 70 3 3 2 2" xfId="8422" xr:uid="{00000000-0005-0000-0000-0000E0300000}"/>
    <cellStyle name="Normal 70 3 3 2 2 2" xfId="17463" xr:uid="{00000000-0005-0000-0000-0000E1300000}"/>
    <cellStyle name="Normal 70 3 3 2 3" xfId="12950" xr:uid="{00000000-0005-0000-0000-0000E2300000}"/>
    <cellStyle name="Normal 70 3 3 3" xfId="5994" xr:uid="{00000000-0005-0000-0000-0000E3300000}"/>
    <cellStyle name="Normal 70 3 3 3 2" xfId="15035" xr:uid="{00000000-0005-0000-0000-0000E4300000}"/>
    <cellStyle name="Normal 70 3 3 4" xfId="10522" xr:uid="{00000000-0005-0000-0000-0000E5300000}"/>
    <cellStyle name="Normal 70 3 4" xfId="3905" xr:uid="{00000000-0005-0000-0000-0000E6300000}"/>
    <cellStyle name="Normal 70 3 4 2" xfId="8419" xr:uid="{00000000-0005-0000-0000-0000E7300000}"/>
    <cellStyle name="Normal 70 3 4 2 2" xfId="17460" xr:uid="{00000000-0005-0000-0000-0000E8300000}"/>
    <cellStyle name="Normal 70 3 4 3" xfId="12947" xr:uid="{00000000-0005-0000-0000-0000E9300000}"/>
    <cellStyle name="Normal 70 3 5" xfId="4866" xr:uid="{00000000-0005-0000-0000-0000EA300000}"/>
    <cellStyle name="Normal 70 3 5 2" xfId="13907" xr:uid="{00000000-0005-0000-0000-0000EB300000}"/>
    <cellStyle name="Normal 70 3 6" xfId="9394" xr:uid="{00000000-0005-0000-0000-0000EC300000}"/>
    <cellStyle name="Normal 70 4" xfId="489" xr:uid="{00000000-0005-0000-0000-0000ED300000}"/>
    <cellStyle name="Normal 70 4 2" xfId="1053" xr:uid="{00000000-0005-0000-0000-0000EE300000}"/>
    <cellStyle name="Normal 70 4 2 2" xfId="2223" xr:uid="{00000000-0005-0000-0000-0000EF300000}"/>
    <cellStyle name="Normal 70 4 2 2 2" xfId="3911" xr:uid="{00000000-0005-0000-0000-0000F0300000}"/>
    <cellStyle name="Normal 70 4 2 2 2 2" xfId="8425" xr:uid="{00000000-0005-0000-0000-0000F1300000}"/>
    <cellStyle name="Normal 70 4 2 2 2 2 2" xfId="17466" xr:uid="{00000000-0005-0000-0000-0000F2300000}"/>
    <cellStyle name="Normal 70 4 2 2 2 3" xfId="12953" xr:uid="{00000000-0005-0000-0000-0000F3300000}"/>
    <cellStyle name="Normal 70 4 2 2 3" xfId="6746" xr:uid="{00000000-0005-0000-0000-0000F4300000}"/>
    <cellStyle name="Normal 70 4 2 2 3 2" xfId="15787" xr:uid="{00000000-0005-0000-0000-0000F5300000}"/>
    <cellStyle name="Normal 70 4 2 2 4" xfId="11274" xr:uid="{00000000-0005-0000-0000-0000F6300000}"/>
    <cellStyle name="Normal 70 4 2 3" xfId="3910" xr:uid="{00000000-0005-0000-0000-0000F7300000}"/>
    <cellStyle name="Normal 70 4 2 3 2" xfId="8424" xr:uid="{00000000-0005-0000-0000-0000F8300000}"/>
    <cellStyle name="Normal 70 4 2 3 2 2" xfId="17465" xr:uid="{00000000-0005-0000-0000-0000F9300000}"/>
    <cellStyle name="Normal 70 4 2 3 3" xfId="12952" xr:uid="{00000000-0005-0000-0000-0000FA300000}"/>
    <cellStyle name="Normal 70 4 2 4" xfId="5618" xr:uid="{00000000-0005-0000-0000-0000FB300000}"/>
    <cellStyle name="Normal 70 4 2 4 2" xfId="14659" xr:uid="{00000000-0005-0000-0000-0000FC300000}"/>
    <cellStyle name="Normal 70 4 2 5" xfId="10146" xr:uid="{00000000-0005-0000-0000-0000FD300000}"/>
    <cellStyle name="Normal 70 4 3" xfId="1659" xr:uid="{00000000-0005-0000-0000-0000FE300000}"/>
    <cellStyle name="Normal 70 4 3 2" xfId="3912" xr:uid="{00000000-0005-0000-0000-0000FF300000}"/>
    <cellStyle name="Normal 70 4 3 2 2" xfId="8426" xr:uid="{00000000-0005-0000-0000-000000310000}"/>
    <cellStyle name="Normal 70 4 3 2 2 2" xfId="17467" xr:uid="{00000000-0005-0000-0000-000001310000}"/>
    <cellStyle name="Normal 70 4 3 2 3" xfId="12954" xr:uid="{00000000-0005-0000-0000-000002310000}"/>
    <cellStyle name="Normal 70 4 3 3" xfId="6182" xr:uid="{00000000-0005-0000-0000-000003310000}"/>
    <cellStyle name="Normal 70 4 3 3 2" xfId="15223" xr:uid="{00000000-0005-0000-0000-000004310000}"/>
    <cellStyle name="Normal 70 4 3 4" xfId="10710" xr:uid="{00000000-0005-0000-0000-000005310000}"/>
    <cellStyle name="Normal 70 4 4" xfId="3909" xr:uid="{00000000-0005-0000-0000-000006310000}"/>
    <cellStyle name="Normal 70 4 4 2" xfId="8423" xr:uid="{00000000-0005-0000-0000-000007310000}"/>
    <cellStyle name="Normal 70 4 4 2 2" xfId="17464" xr:uid="{00000000-0005-0000-0000-000008310000}"/>
    <cellStyle name="Normal 70 4 4 3" xfId="12951" xr:uid="{00000000-0005-0000-0000-000009310000}"/>
    <cellStyle name="Normal 70 4 5" xfId="5054" xr:uid="{00000000-0005-0000-0000-00000A310000}"/>
    <cellStyle name="Normal 70 4 5 2" xfId="14095" xr:uid="{00000000-0005-0000-0000-00000B310000}"/>
    <cellStyle name="Normal 70 4 6" xfId="9582" xr:uid="{00000000-0005-0000-0000-00000C310000}"/>
    <cellStyle name="Normal 70 5" xfId="677" xr:uid="{00000000-0005-0000-0000-00000D310000}"/>
    <cellStyle name="Normal 70 5 2" xfId="1847" xr:uid="{00000000-0005-0000-0000-00000E310000}"/>
    <cellStyle name="Normal 70 5 2 2" xfId="3914" xr:uid="{00000000-0005-0000-0000-00000F310000}"/>
    <cellStyle name="Normal 70 5 2 2 2" xfId="8428" xr:uid="{00000000-0005-0000-0000-000010310000}"/>
    <cellStyle name="Normal 70 5 2 2 2 2" xfId="17469" xr:uid="{00000000-0005-0000-0000-000011310000}"/>
    <cellStyle name="Normal 70 5 2 2 3" xfId="12956" xr:uid="{00000000-0005-0000-0000-000012310000}"/>
    <cellStyle name="Normal 70 5 2 3" xfId="6370" xr:uid="{00000000-0005-0000-0000-000013310000}"/>
    <cellStyle name="Normal 70 5 2 3 2" xfId="15411" xr:uid="{00000000-0005-0000-0000-000014310000}"/>
    <cellStyle name="Normal 70 5 2 4" xfId="10898" xr:uid="{00000000-0005-0000-0000-000015310000}"/>
    <cellStyle name="Normal 70 5 3" xfId="3913" xr:uid="{00000000-0005-0000-0000-000016310000}"/>
    <cellStyle name="Normal 70 5 3 2" xfId="8427" xr:uid="{00000000-0005-0000-0000-000017310000}"/>
    <cellStyle name="Normal 70 5 3 2 2" xfId="17468" xr:uid="{00000000-0005-0000-0000-000018310000}"/>
    <cellStyle name="Normal 70 5 3 3" xfId="12955" xr:uid="{00000000-0005-0000-0000-000019310000}"/>
    <cellStyle name="Normal 70 5 4" xfId="5242" xr:uid="{00000000-0005-0000-0000-00001A310000}"/>
    <cellStyle name="Normal 70 5 4 2" xfId="14283" xr:uid="{00000000-0005-0000-0000-00001B310000}"/>
    <cellStyle name="Normal 70 5 5" xfId="9770" xr:uid="{00000000-0005-0000-0000-00001C310000}"/>
    <cellStyle name="Normal 70 6" xfId="1283" xr:uid="{00000000-0005-0000-0000-00001D310000}"/>
    <cellStyle name="Normal 70 6 2" xfId="3915" xr:uid="{00000000-0005-0000-0000-00001E310000}"/>
    <cellStyle name="Normal 70 6 2 2" xfId="8429" xr:uid="{00000000-0005-0000-0000-00001F310000}"/>
    <cellStyle name="Normal 70 6 2 2 2" xfId="17470" xr:uid="{00000000-0005-0000-0000-000020310000}"/>
    <cellStyle name="Normal 70 6 2 3" xfId="12957" xr:uid="{00000000-0005-0000-0000-000021310000}"/>
    <cellStyle name="Normal 70 6 3" xfId="5806" xr:uid="{00000000-0005-0000-0000-000022310000}"/>
    <cellStyle name="Normal 70 6 3 2" xfId="14847" xr:uid="{00000000-0005-0000-0000-000023310000}"/>
    <cellStyle name="Normal 70 6 4" xfId="10334" xr:uid="{00000000-0005-0000-0000-000024310000}"/>
    <cellStyle name="Normal 70 7" xfId="3892" xr:uid="{00000000-0005-0000-0000-000025310000}"/>
    <cellStyle name="Normal 70 7 2" xfId="8406" xr:uid="{00000000-0005-0000-0000-000026310000}"/>
    <cellStyle name="Normal 70 7 2 2" xfId="17447" xr:uid="{00000000-0005-0000-0000-000027310000}"/>
    <cellStyle name="Normal 70 7 3" xfId="12934" xr:uid="{00000000-0005-0000-0000-000028310000}"/>
    <cellStyle name="Normal 70 8" xfId="4678" xr:uid="{00000000-0005-0000-0000-000029310000}"/>
    <cellStyle name="Normal 70 8 2" xfId="13719" xr:uid="{00000000-0005-0000-0000-00002A310000}"/>
    <cellStyle name="Normal 70 9" xfId="9206" xr:uid="{00000000-0005-0000-0000-00002B310000}"/>
    <cellStyle name="Normal 71" xfId="71" xr:uid="{00000000-0005-0000-0000-00002C310000}"/>
    <cellStyle name="Normal 71 2" xfId="167" xr:uid="{00000000-0005-0000-0000-00002D310000}"/>
    <cellStyle name="Normal 71 2 2" xfId="396" xr:uid="{00000000-0005-0000-0000-00002E310000}"/>
    <cellStyle name="Normal 71 2 2 2" xfId="960" xr:uid="{00000000-0005-0000-0000-00002F310000}"/>
    <cellStyle name="Normal 71 2 2 2 2" xfId="2130" xr:uid="{00000000-0005-0000-0000-000030310000}"/>
    <cellStyle name="Normal 71 2 2 2 2 2" xfId="3920" xr:uid="{00000000-0005-0000-0000-000031310000}"/>
    <cellStyle name="Normal 71 2 2 2 2 2 2" xfId="8434" xr:uid="{00000000-0005-0000-0000-000032310000}"/>
    <cellStyle name="Normal 71 2 2 2 2 2 2 2" xfId="17475" xr:uid="{00000000-0005-0000-0000-000033310000}"/>
    <cellStyle name="Normal 71 2 2 2 2 2 3" xfId="12962" xr:uid="{00000000-0005-0000-0000-000034310000}"/>
    <cellStyle name="Normal 71 2 2 2 2 3" xfId="6653" xr:uid="{00000000-0005-0000-0000-000035310000}"/>
    <cellStyle name="Normal 71 2 2 2 2 3 2" xfId="15694" xr:uid="{00000000-0005-0000-0000-000036310000}"/>
    <cellStyle name="Normal 71 2 2 2 2 4" xfId="11181" xr:uid="{00000000-0005-0000-0000-000037310000}"/>
    <cellStyle name="Normal 71 2 2 2 3" xfId="3919" xr:uid="{00000000-0005-0000-0000-000038310000}"/>
    <cellStyle name="Normal 71 2 2 2 3 2" xfId="8433" xr:uid="{00000000-0005-0000-0000-000039310000}"/>
    <cellStyle name="Normal 71 2 2 2 3 2 2" xfId="17474" xr:uid="{00000000-0005-0000-0000-00003A310000}"/>
    <cellStyle name="Normal 71 2 2 2 3 3" xfId="12961" xr:uid="{00000000-0005-0000-0000-00003B310000}"/>
    <cellStyle name="Normal 71 2 2 2 4" xfId="5525" xr:uid="{00000000-0005-0000-0000-00003C310000}"/>
    <cellStyle name="Normal 71 2 2 2 4 2" xfId="14566" xr:uid="{00000000-0005-0000-0000-00003D310000}"/>
    <cellStyle name="Normal 71 2 2 2 5" xfId="10053" xr:uid="{00000000-0005-0000-0000-00003E310000}"/>
    <cellStyle name="Normal 71 2 2 3" xfId="1566" xr:uid="{00000000-0005-0000-0000-00003F310000}"/>
    <cellStyle name="Normal 71 2 2 3 2" xfId="3921" xr:uid="{00000000-0005-0000-0000-000040310000}"/>
    <cellStyle name="Normal 71 2 2 3 2 2" xfId="8435" xr:uid="{00000000-0005-0000-0000-000041310000}"/>
    <cellStyle name="Normal 71 2 2 3 2 2 2" xfId="17476" xr:uid="{00000000-0005-0000-0000-000042310000}"/>
    <cellStyle name="Normal 71 2 2 3 2 3" xfId="12963" xr:uid="{00000000-0005-0000-0000-000043310000}"/>
    <cellStyle name="Normal 71 2 2 3 3" xfId="6089" xr:uid="{00000000-0005-0000-0000-000044310000}"/>
    <cellStyle name="Normal 71 2 2 3 3 2" xfId="15130" xr:uid="{00000000-0005-0000-0000-000045310000}"/>
    <cellStyle name="Normal 71 2 2 3 4" xfId="10617" xr:uid="{00000000-0005-0000-0000-000046310000}"/>
    <cellStyle name="Normal 71 2 2 4" xfId="3918" xr:uid="{00000000-0005-0000-0000-000047310000}"/>
    <cellStyle name="Normal 71 2 2 4 2" xfId="8432" xr:uid="{00000000-0005-0000-0000-000048310000}"/>
    <cellStyle name="Normal 71 2 2 4 2 2" xfId="17473" xr:uid="{00000000-0005-0000-0000-000049310000}"/>
    <cellStyle name="Normal 71 2 2 4 3" xfId="12960" xr:uid="{00000000-0005-0000-0000-00004A310000}"/>
    <cellStyle name="Normal 71 2 2 5" xfId="4961" xr:uid="{00000000-0005-0000-0000-00004B310000}"/>
    <cellStyle name="Normal 71 2 2 5 2" xfId="14002" xr:uid="{00000000-0005-0000-0000-00004C310000}"/>
    <cellStyle name="Normal 71 2 2 6" xfId="9489" xr:uid="{00000000-0005-0000-0000-00004D310000}"/>
    <cellStyle name="Normal 71 2 3" xfId="584" xr:uid="{00000000-0005-0000-0000-00004E310000}"/>
    <cellStyle name="Normal 71 2 3 2" xfId="1148" xr:uid="{00000000-0005-0000-0000-00004F310000}"/>
    <cellStyle name="Normal 71 2 3 2 2" xfId="2318" xr:uid="{00000000-0005-0000-0000-000050310000}"/>
    <cellStyle name="Normal 71 2 3 2 2 2" xfId="3924" xr:uid="{00000000-0005-0000-0000-000051310000}"/>
    <cellStyle name="Normal 71 2 3 2 2 2 2" xfId="8438" xr:uid="{00000000-0005-0000-0000-000052310000}"/>
    <cellStyle name="Normal 71 2 3 2 2 2 2 2" xfId="17479" xr:uid="{00000000-0005-0000-0000-000053310000}"/>
    <cellStyle name="Normal 71 2 3 2 2 2 3" xfId="12966" xr:uid="{00000000-0005-0000-0000-000054310000}"/>
    <cellStyle name="Normal 71 2 3 2 2 3" xfId="6841" xr:uid="{00000000-0005-0000-0000-000055310000}"/>
    <cellStyle name="Normal 71 2 3 2 2 3 2" xfId="15882" xr:uid="{00000000-0005-0000-0000-000056310000}"/>
    <cellStyle name="Normal 71 2 3 2 2 4" xfId="11369" xr:uid="{00000000-0005-0000-0000-000057310000}"/>
    <cellStyle name="Normal 71 2 3 2 3" xfId="3923" xr:uid="{00000000-0005-0000-0000-000058310000}"/>
    <cellStyle name="Normal 71 2 3 2 3 2" xfId="8437" xr:uid="{00000000-0005-0000-0000-000059310000}"/>
    <cellStyle name="Normal 71 2 3 2 3 2 2" xfId="17478" xr:uid="{00000000-0005-0000-0000-00005A310000}"/>
    <cellStyle name="Normal 71 2 3 2 3 3" xfId="12965" xr:uid="{00000000-0005-0000-0000-00005B310000}"/>
    <cellStyle name="Normal 71 2 3 2 4" xfId="5713" xr:uid="{00000000-0005-0000-0000-00005C310000}"/>
    <cellStyle name="Normal 71 2 3 2 4 2" xfId="14754" xr:uid="{00000000-0005-0000-0000-00005D310000}"/>
    <cellStyle name="Normal 71 2 3 2 5" xfId="10241" xr:uid="{00000000-0005-0000-0000-00005E310000}"/>
    <cellStyle name="Normal 71 2 3 3" xfId="1754" xr:uid="{00000000-0005-0000-0000-00005F310000}"/>
    <cellStyle name="Normal 71 2 3 3 2" xfId="3925" xr:uid="{00000000-0005-0000-0000-000060310000}"/>
    <cellStyle name="Normal 71 2 3 3 2 2" xfId="8439" xr:uid="{00000000-0005-0000-0000-000061310000}"/>
    <cellStyle name="Normal 71 2 3 3 2 2 2" xfId="17480" xr:uid="{00000000-0005-0000-0000-000062310000}"/>
    <cellStyle name="Normal 71 2 3 3 2 3" xfId="12967" xr:uid="{00000000-0005-0000-0000-000063310000}"/>
    <cellStyle name="Normal 71 2 3 3 3" xfId="6277" xr:uid="{00000000-0005-0000-0000-000064310000}"/>
    <cellStyle name="Normal 71 2 3 3 3 2" xfId="15318" xr:uid="{00000000-0005-0000-0000-000065310000}"/>
    <cellStyle name="Normal 71 2 3 3 4" xfId="10805" xr:uid="{00000000-0005-0000-0000-000066310000}"/>
    <cellStyle name="Normal 71 2 3 4" xfId="3922" xr:uid="{00000000-0005-0000-0000-000067310000}"/>
    <cellStyle name="Normal 71 2 3 4 2" xfId="8436" xr:uid="{00000000-0005-0000-0000-000068310000}"/>
    <cellStyle name="Normal 71 2 3 4 2 2" xfId="17477" xr:uid="{00000000-0005-0000-0000-000069310000}"/>
    <cellStyle name="Normal 71 2 3 4 3" xfId="12964" xr:uid="{00000000-0005-0000-0000-00006A310000}"/>
    <cellStyle name="Normal 71 2 3 5" xfId="5149" xr:uid="{00000000-0005-0000-0000-00006B310000}"/>
    <cellStyle name="Normal 71 2 3 5 2" xfId="14190" xr:uid="{00000000-0005-0000-0000-00006C310000}"/>
    <cellStyle name="Normal 71 2 3 6" xfId="9677" xr:uid="{00000000-0005-0000-0000-00006D310000}"/>
    <cellStyle name="Normal 71 2 4" xfId="772" xr:uid="{00000000-0005-0000-0000-00006E310000}"/>
    <cellStyle name="Normal 71 2 4 2" xfId="1942" xr:uid="{00000000-0005-0000-0000-00006F310000}"/>
    <cellStyle name="Normal 71 2 4 2 2" xfId="3927" xr:uid="{00000000-0005-0000-0000-000070310000}"/>
    <cellStyle name="Normal 71 2 4 2 2 2" xfId="8441" xr:uid="{00000000-0005-0000-0000-000071310000}"/>
    <cellStyle name="Normal 71 2 4 2 2 2 2" xfId="17482" xr:uid="{00000000-0005-0000-0000-000072310000}"/>
    <cellStyle name="Normal 71 2 4 2 2 3" xfId="12969" xr:uid="{00000000-0005-0000-0000-000073310000}"/>
    <cellStyle name="Normal 71 2 4 2 3" xfId="6465" xr:uid="{00000000-0005-0000-0000-000074310000}"/>
    <cellStyle name="Normal 71 2 4 2 3 2" xfId="15506" xr:uid="{00000000-0005-0000-0000-000075310000}"/>
    <cellStyle name="Normal 71 2 4 2 4" xfId="10993" xr:uid="{00000000-0005-0000-0000-000076310000}"/>
    <cellStyle name="Normal 71 2 4 3" xfId="3926" xr:uid="{00000000-0005-0000-0000-000077310000}"/>
    <cellStyle name="Normal 71 2 4 3 2" xfId="8440" xr:uid="{00000000-0005-0000-0000-000078310000}"/>
    <cellStyle name="Normal 71 2 4 3 2 2" xfId="17481" xr:uid="{00000000-0005-0000-0000-000079310000}"/>
    <cellStyle name="Normal 71 2 4 3 3" xfId="12968" xr:uid="{00000000-0005-0000-0000-00007A310000}"/>
    <cellStyle name="Normal 71 2 4 4" xfId="5337" xr:uid="{00000000-0005-0000-0000-00007B310000}"/>
    <cellStyle name="Normal 71 2 4 4 2" xfId="14378" xr:uid="{00000000-0005-0000-0000-00007C310000}"/>
    <cellStyle name="Normal 71 2 4 5" xfId="9865" xr:uid="{00000000-0005-0000-0000-00007D310000}"/>
    <cellStyle name="Normal 71 2 5" xfId="1378" xr:uid="{00000000-0005-0000-0000-00007E310000}"/>
    <cellStyle name="Normal 71 2 5 2" xfId="3928" xr:uid="{00000000-0005-0000-0000-00007F310000}"/>
    <cellStyle name="Normal 71 2 5 2 2" xfId="8442" xr:uid="{00000000-0005-0000-0000-000080310000}"/>
    <cellStyle name="Normal 71 2 5 2 2 2" xfId="17483" xr:uid="{00000000-0005-0000-0000-000081310000}"/>
    <cellStyle name="Normal 71 2 5 2 3" xfId="12970" xr:uid="{00000000-0005-0000-0000-000082310000}"/>
    <cellStyle name="Normal 71 2 5 3" xfId="5901" xr:uid="{00000000-0005-0000-0000-000083310000}"/>
    <cellStyle name="Normal 71 2 5 3 2" xfId="14942" xr:uid="{00000000-0005-0000-0000-000084310000}"/>
    <cellStyle name="Normal 71 2 5 4" xfId="10429" xr:uid="{00000000-0005-0000-0000-000085310000}"/>
    <cellStyle name="Normal 71 2 6" xfId="3917" xr:uid="{00000000-0005-0000-0000-000086310000}"/>
    <cellStyle name="Normal 71 2 6 2" xfId="8431" xr:uid="{00000000-0005-0000-0000-000087310000}"/>
    <cellStyle name="Normal 71 2 6 2 2" xfId="17472" xr:uid="{00000000-0005-0000-0000-000088310000}"/>
    <cellStyle name="Normal 71 2 6 3" xfId="12959" xr:uid="{00000000-0005-0000-0000-000089310000}"/>
    <cellStyle name="Normal 71 2 7" xfId="4773" xr:uid="{00000000-0005-0000-0000-00008A310000}"/>
    <cellStyle name="Normal 71 2 7 2" xfId="13814" xr:uid="{00000000-0005-0000-0000-00008B310000}"/>
    <cellStyle name="Normal 71 2 8" xfId="9301" xr:uid="{00000000-0005-0000-0000-00008C310000}"/>
    <cellStyle name="Normal 71 3" xfId="302" xr:uid="{00000000-0005-0000-0000-00008D310000}"/>
    <cellStyle name="Normal 71 3 2" xfId="866" xr:uid="{00000000-0005-0000-0000-00008E310000}"/>
    <cellStyle name="Normal 71 3 2 2" xfId="2036" xr:uid="{00000000-0005-0000-0000-00008F310000}"/>
    <cellStyle name="Normal 71 3 2 2 2" xfId="3931" xr:uid="{00000000-0005-0000-0000-000090310000}"/>
    <cellStyle name="Normal 71 3 2 2 2 2" xfId="8445" xr:uid="{00000000-0005-0000-0000-000091310000}"/>
    <cellStyle name="Normal 71 3 2 2 2 2 2" xfId="17486" xr:uid="{00000000-0005-0000-0000-000092310000}"/>
    <cellStyle name="Normal 71 3 2 2 2 3" xfId="12973" xr:uid="{00000000-0005-0000-0000-000093310000}"/>
    <cellStyle name="Normal 71 3 2 2 3" xfId="6559" xr:uid="{00000000-0005-0000-0000-000094310000}"/>
    <cellStyle name="Normal 71 3 2 2 3 2" xfId="15600" xr:uid="{00000000-0005-0000-0000-000095310000}"/>
    <cellStyle name="Normal 71 3 2 2 4" xfId="11087" xr:uid="{00000000-0005-0000-0000-000096310000}"/>
    <cellStyle name="Normal 71 3 2 3" xfId="3930" xr:uid="{00000000-0005-0000-0000-000097310000}"/>
    <cellStyle name="Normal 71 3 2 3 2" xfId="8444" xr:uid="{00000000-0005-0000-0000-000098310000}"/>
    <cellStyle name="Normal 71 3 2 3 2 2" xfId="17485" xr:uid="{00000000-0005-0000-0000-000099310000}"/>
    <cellStyle name="Normal 71 3 2 3 3" xfId="12972" xr:uid="{00000000-0005-0000-0000-00009A310000}"/>
    <cellStyle name="Normal 71 3 2 4" xfId="5431" xr:uid="{00000000-0005-0000-0000-00009B310000}"/>
    <cellStyle name="Normal 71 3 2 4 2" xfId="14472" xr:uid="{00000000-0005-0000-0000-00009C310000}"/>
    <cellStyle name="Normal 71 3 2 5" xfId="9959" xr:uid="{00000000-0005-0000-0000-00009D310000}"/>
    <cellStyle name="Normal 71 3 3" xfId="1472" xr:uid="{00000000-0005-0000-0000-00009E310000}"/>
    <cellStyle name="Normal 71 3 3 2" xfId="3932" xr:uid="{00000000-0005-0000-0000-00009F310000}"/>
    <cellStyle name="Normal 71 3 3 2 2" xfId="8446" xr:uid="{00000000-0005-0000-0000-0000A0310000}"/>
    <cellStyle name="Normal 71 3 3 2 2 2" xfId="17487" xr:uid="{00000000-0005-0000-0000-0000A1310000}"/>
    <cellStyle name="Normal 71 3 3 2 3" xfId="12974" xr:uid="{00000000-0005-0000-0000-0000A2310000}"/>
    <cellStyle name="Normal 71 3 3 3" xfId="5995" xr:uid="{00000000-0005-0000-0000-0000A3310000}"/>
    <cellStyle name="Normal 71 3 3 3 2" xfId="15036" xr:uid="{00000000-0005-0000-0000-0000A4310000}"/>
    <cellStyle name="Normal 71 3 3 4" xfId="10523" xr:uid="{00000000-0005-0000-0000-0000A5310000}"/>
    <cellStyle name="Normal 71 3 4" xfId="3929" xr:uid="{00000000-0005-0000-0000-0000A6310000}"/>
    <cellStyle name="Normal 71 3 4 2" xfId="8443" xr:uid="{00000000-0005-0000-0000-0000A7310000}"/>
    <cellStyle name="Normal 71 3 4 2 2" xfId="17484" xr:uid="{00000000-0005-0000-0000-0000A8310000}"/>
    <cellStyle name="Normal 71 3 4 3" xfId="12971" xr:uid="{00000000-0005-0000-0000-0000A9310000}"/>
    <cellStyle name="Normal 71 3 5" xfId="4867" xr:uid="{00000000-0005-0000-0000-0000AA310000}"/>
    <cellStyle name="Normal 71 3 5 2" xfId="13908" xr:uid="{00000000-0005-0000-0000-0000AB310000}"/>
    <cellStyle name="Normal 71 3 6" xfId="9395" xr:uid="{00000000-0005-0000-0000-0000AC310000}"/>
    <cellStyle name="Normal 71 4" xfId="490" xr:uid="{00000000-0005-0000-0000-0000AD310000}"/>
    <cellStyle name="Normal 71 4 2" xfId="1054" xr:uid="{00000000-0005-0000-0000-0000AE310000}"/>
    <cellStyle name="Normal 71 4 2 2" xfId="2224" xr:uid="{00000000-0005-0000-0000-0000AF310000}"/>
    <cellStyle name="Normal 71 4 2 2 2" xfId="3935" xr:uid="{00000000-0005-0000-0000-0000B0310000}"/>
    <cellStyle name="Normal 71 4 2 2 2 2" xfId="8449" xr:uid="{00000000-0005-0000-0000-0000B1310000}"/>
    <cellStyle name="Normal 71 4 2 2 2 2 2" xfId="17490" xr:uid="{00000000-0005-0000-0000-0000B2310000}"/>
    <cellStyle name="Normal 71 4 2 2 2 3" xfId="12977" xr:uid="{00000000-0005-0000-0000-0000B3310000}"/>
    <cellStyle name="Normal 71 4 2 2 3" xfId="6747" xr:uid="{00000000-0005-0000-0000-0000B4310000}"/>
    <cellStyle name="Normal 71 4 2 2 3 2" xfId="15788" xr:uid="{00000000-0005-0000-0000-0000B5310000}"/>
    <cellStyle name="Normal 71 4 2 2 4" xfId="11275" xr:uid="{00000000-0005-0000-0000-0000B6310000}"/>
    <cellStyle name="Normal 71 4 2 3" xfId="3934" xr:uid="{00000000-0005-0000-0000-0000B7310000}"/>
    <cellStyle name="Normal 71 4 2 3 2" xfId="8448" xr:uid="{00000000-0005-0000-0000-0000B8310000}"/>
    <cellStyle name="Normal 71 4 2 3 2 2" xfId="17489" xr:uid="{00000000-0005-0000-0000-0000B9310000}"/>
    <cellStyle name="Normal 71 4 2 3 3" xfId="12976" xr:uid="{00000000-0005-0000-0000-0000BA310000}"/>
    <cellStyle name="Normal 71 4 2 4" xfId="5619" xr:uid="{00000000-0005-0000-0000-0000BB310000}"/>
    <cellStyle name="Normal 71 4 2 4 2" xfId="14660" xr:uid="{00000000-0005-0000-0000-0000BC310000}"/>
    <cellStyle name="Normal 71 4 2 5" xfId="10147" xr:uid="{00000000-0005-0000-0000-0000BD310000}"/>
    <cellStyle name="Normal 71 4 3" xfId="1660" xr:uid="{00000000-0005-0000-0000-0000BE310000}"/>
    <cellStyle name="Normal 71 4 3 2" xfId="3936" xr:uid="{00000000-0005-0000-0000-0000BF310000}"/>
    <cellStyle name="Normal 71 4 3 2 2" xfId="8450" xr:uid="{00000000-0005-0000-0000-0000C0310000}"/>
    <cellStyle name="Normal 71 4 3 2 2 2" xfId="17491" xr:uid="{00000000-0005-0000-0000-0000C1310000}"/>
    <cellStyle name="Normal 71 4 3 2 3" xfId="12978" xr:uid="{00000000-0005-0000-0000-0000C2310000}"/>
    <cellStyle name="Normal 71 4 3 3" xfId="6183" xr:uid="{00000000-0005-0000-0000-0000C3310000}"/>
    <cellStyle name="Normal 71 4 3 3 2" xfId="15224" xr:uid="{00000000-0005-0000-0000-0000C4310000}"/>
    <cellStyle name="Normal 71 4 3 4" xfId="10711" xr:uid="{00000000-0005-0000-0000-0000C5310000}"/>
    <cellStyle name="Normal 71 4 4" xfId="3933" xr:uid="{00000000-0005-0000-0000-0000C6310000}"/>
    <cellStyle name="Normal 71 4 4 2" xfId="8447" xr:uid="{00000000-0005-0000-0000-0000C7310000}"/>
    <cellStyle name="Normal 71 4 4 2 2" xfId="17488" xr:uid="{00000000-0005-0000-0000-0000C8310000}"/>
    <cellStyle name="Normal 71 4 4 3" xfId="12975" xr:uid="{00000000-0005-0000-0000-0000C9310000}"/>
    <cellStyle name="Normal 71 4 5" xfId="5055" xr:uid="{00000000-0005-0000-0000-0000CA310000}"/>
    <cellStyle name="Normal 71 4 5 2" xfId="14096" xr:uid="{00000000-0005-0000-0000-0000CB310000}"/>
    <cellStyle name="Normal 71 4 6" xfId="9583" xr:uid="{00000000-0005-0000-0000-0000CC310000}"/>
    <cellStyle name="Normal 71 5" xfId="678" xr:uid="{00000000-0005-0000-0000-0000CD310000}"/>
    <cellStyle name="Normal 71 5 2" xfId="1848" xr:uid="{00000000-0005-0000-0000-0000CE310000}"/>
    <cellStyle name="Normal 71 5 2 2" xfId="3938" xr:uid="{00000000-0005-0000-0000-0000CF310000}"/>
    <cellStyle name="Normal 71 5 2 2 2" xfId="8452" xr:uid="{00000000-0005-0000-0000-0000D0310000}"/>
    <cellStyle name="Normal 71 5 2 2 2 2" xfId="17493" xr:uid="{00000000-0005-0000-0000-0000D1310000}"/>
    <cellStyle name="Normal 71 5 2 2 3" xfId="12980" xr:uid="{00000000-0005-0000-0000-0000D2310000}"/>
    <cellStyle name="Normal 71 5 2 3" xfId="6371" xr:uid="{00000000-0005-0000-0000-0000D3310000}"/>
    <cellStyle name="Normal 71 5 2 3 2" xfId="15412" xr:uid="{00000000-0005-0000-0000-0000D4310000}"/>
    <cellStyle name="Normal 71 5 2 4" xfId="10899" xr:uid="{00000000-0005-0000-0000-0000D5310000}"/>
    <cellStyle name="Normal 71 5 3" xfId="3937" xr:uid="{00000000-0005-0000-0000-0000D6310000}"/>
    <cellStyle name="Normal 71 5 3 2" xfId="8451" xr:uid="{00000000-0005-0000-0000-0000D7310000}"/>
    <cellStyle name="Normal 71 5 3 2 2" xfId="17492" xr:uid="{00000000-0005-0000-0000-0000D8310000}"/>
    <cellStyle name="Normal 71 5 3 3" xfId="12979" xr:uid="{00000000-0005-0000-0000-0000D9310000}"/>
    <cellStyle name="Normal 71 5 4" xfId="5243" xr:uid="{00000000-0005-0000-0000-0000DA310000}"/>
    <cellStyle name="Normal 71 5 4 2" xfId="14284" xr:uid="{00000000-0005-0000-0000-0000DB310000}"/>
    <cellStyle name="Normal 71 5 5" xfId="9771" xr:uid="{00000000-0005-0000-0000-0000DC310000}"/>
    <cellStyle name="Normal 71 6" xfId="1284" xr:uid="{00000000-0005-0000-0000-0000DD310000}"/>
    <cellStyle name="Normal 71 6 2" xfId="3939" xr:uid="{00000000-0005-0000-0000-0000DE310000}"/>
    <cellStyle name="Normal 71 6 2 2" xfId="8453" xr:uid="{00000000-0005-0000-0000-0000DF310000}"/>
    <cellStyle name="Normal 71 6 2 2 2" xfId="17494" xr:uid="{00000000-0005-0000-0000-0000E0310000}"/>
    <cellStyle name="Normal 71 6 2 3" xfId="12981" xr:uid="{00000000-0005-0000-0000-0000E1310000}"/>
    <cellStyle name="Normal 71 6 3" xfId="5807" xr:uid="{00000000-0005-0000-0000-0000E2310000}"/>
    <cellStyle name="Normal 71 6 3 2" xfId="14848" xr:uid="{00000000-0005-0000-0000-0000E3310000}"/>
    <cellStyle name="Normal 71 6 4" xfId="10335" xr:uid="{00000000-0005-0000-0000-0000E4310000}"/>
    <cellStyle name="Normal 71 7" xfId="3916" xr:uid="{00000000-0005-0000-0000-0000E5310000}"/>
    <cellStyle name="Normal 71 7 2" xfId="8430" xr:uid="{00000000-0005-0000-0000-0000E6310000}"/>
    <cellStyle name="Normal 71 7 2 2" xfId="17471" xr:uid="{00000000-0005-0000-0000-0000E7310000}"/>
    <cellStyle name="Normal 71 7 3" xfId="12958" xr:uid="{00000000-0005-0000-0000-0000E8310000}"/>
    <cellStyle name="Normal 71 8" xfId="4679" xr:uid="{00000000-0005-0000-0000-0000E9310000}"/>
    <cellStyle name="Normal 71 8 2" xfId="13720" xr:uid="{00000000-0005-0000-0000-0000EA310000}"/>
    <cellStyle name="Normal 71 9" xfId="9207" xr:uid="{00000000-0005-0000-0000-0000EB310000}"/>
    <cellStyle name="Normal 72" xfId="72" xr:uid="{00000000-0005-0000-0000-0000EC310000}"/>
    <cellStyle name="Normal 72 2" xfId="168" xr:uid="{00000000-0005-0000-0000-0000ED310000}"/>
    <cellStyle name="Normal 72 2 2" xfId="397" xr:uid="{00000000-0005-0000-0000-0000EE310000}"/>
    <cellStyle name="Normal 72 2 2 2" xfId="961" xr:uid="{00000000-0005-0000-0000-0000EF310000}"/>
    <cellStyle name="Normal 72 2 2 2 2" xfId="2131" xr:uid="{00000000-0005-0000-0000-0000F0310000}"/>
    <cellStyle name="Normal 72 2 2 2 2 2" xfId="3944" xr:uid="{00000000-0005-0000-0000-0000F1310000}"/>
    <cellStyle name="Normal 72 2 2 2 2 2 2" xfId="8458" xr:uid="{00000000-0005-0000-0000-0000F2310000}"/>
    <cellStyle name="Normal 72 2 2 2 2 2 2 2" xfId="17499" xr:uid="{00000000-0005-0000-0000-0000F3310000}"/>
    <cellStyle name="Normal 72 2 2 2 2 2 3" xfId="12986" xr:uid="{00000000-0005-0000-0000-0000F4310000}"/>
    <cellStyle name="Normal 72 2 2 2 2 3" xfId="6654" xr:uid="{00000000-0005-0000-0000-0000F5310000}"/>
    <cellStyle name="Normal 72 2 2 2 2 3 2" xfId="15695" xr:uid="{00000000-0005-0000-0000-0000F6310000}"/>
    <cellStyle name="Normal 72 2 2 2 2 4" xfId="11182" xr:uid="{00000000-0005-0000-0000-0000F7310000}"/>
    <cellStyle name="Normal 72 2 2 2 3" xfId="3943" xr:uid="{00000000-0005-0000-0000-0000F8310000}"/>
    <cellStyle name="Normal 72 2 2 2 3 2" xfId="8457" xr:uid="{00000000-0005-0000-0000-0000F9310000}"/>
    <cellStyle name="Normal 72 2 2 2 3 2 2" xfId="17498" xr:uid="{00000000-0005-0000-0000-0000FA310000}"/>
    <cellStyle name="Normal 72 2 2 2 3 3" xfId="12985" xr:uid="{00000000-0005-0000-0000-0000FB310000}"/>
    <cellStyle name="Normal 72 2 2 2 4" xfId="5526" xr:uid="{00000000-0005-0000-0000-0000FC310000}"/>
    <cellStyle name="Normal 72 2 2 2 4 2" xfId="14567" xr:uid="{00000000-0005-0000-0000-0000FD310000}"/>
    <cellStyle name="Normal 72 2 2 2 5" xfId="10054" xr:uid="{00000000-0005-0000-0000-0000FE310000}"/>
    <cellStyle name="Normal 72 2 2 3" xfId="1567" xr:uid="{00000000-0005-0000-0000-0000FF310000}"/>
    <cellStyle name="Normal 72 2 2 3 2" xfId="3945" xr:uid="{00000000-0005-0000-0000-000000320000}"/>
    <cellStyle name="Normal 72 2 2 3 2 2" xfId="8459" xr:uid="{00000000-0005-0000-0000-000001320000}"/>
    <cellStyle name="Normal 72 2 2 3 2 2 2" xfId="17500" xr:uid="{00000000-0005-0000-0000-000002320000}"/>
    <cellStyle name="Normal 72 2 2 3 2 3" xfId="12987" xr:uid="{00000000-0005-0000-0000-000003320000}"/>
    <cellStyle name="Normal 72 2 2 3 3" xfId="6090" xr:uid="{00000000-0005-0000-0000-000004320000}"/>
    <cellStyle name="Normal 72 2 2 3 3 2" xfId="15131" xr:uid="{00000000-0005-0000-0000-000005320000}"/>
    <cellStyle name="Normal 72 2 2 3 4" xfId="10618" xr:uid="{00000000-0005-0000-0000-000006320000}"/>
    <cellStyle name="Normal 72 2 2 4" xfId="3942" xr:uid="{00000000-0005-0000-0000-000007320000}"/>
    <cellStyle name="Normal 72 2 2 4 2" xfId="8456" xr:uid="{00000000-0005-0000-0000-000008320000}"/>
    <cellStyle name="Normal 72 2 2 4 2 2" xfId="17497" xr:uid="{00000000-0005-0000-0000-000009320000}"/>
    <cellStyle name="Normal 72 2 2 4 3" xfId="12984" xr:uid="{00000000-0005-0000-0000-00000A320000}"/>
    <cellStyle name="Normal 72 2 2 5" xfId="4962" xr:uid="{00000000-0005-0000-0000-00000B320000}"/>
    <cellStyle name="Normal 72 2 2 5 2" xfId="14003" xr:uid="{00000000-0005-0000-0000-00000C320000}"/>
    <cellStyle name="Normal 72 2 2 6" xfId="9490" xr:uid="{00000000-0005-0000-0000-00000D320000}"/>
    <cellStyle name="Normal 72 2 3" xfId="585" xr:uid="{00000000-0005-0000-0000-00000E320000}"/>
    <cellStyle name="Normal 72 2 3 2" xfId="1149" xr:uid="{00000000-0005-0000-0000-00000F320000}"/>
    <cellStyle name="Normal 72 2 3 2 2" xfId="2319" xr:uid="{00000000-0005-0000-0000-000010320000}"/>
    <cellStyle name="Normal 72 2 3 2 2 2" xfId="3948" xr:uid="{00000000-0005-0000-0000-000011320000}"/>
    <cellStyle name="Normal 72 2 3 2 2 2 2" xfId="8462" xr:uid="{00000000-0005-0000-0000-000012320000}"/>
    <cellStyle name="Normal 72 2 3 2 2 2 2 2" xfId="17503" xr:uid="{00000000-0005-0000-0000-000013320000}"/>
    <cellStyle name="Normal 72 2 3 2 2 2 3" xfId="12990" xr:uid="{00000000-0005-0000-0000-000014320000}"/>
    <cellStyle name="Normal 72 2 3 2 2 3" xfId="6842" xr:uid="{00000000-0005-0000-0000-000015320000}"/>
    <cellStyle name="Normal 72 2 3 2 2 3 2" xfId="15883" xr:uid="{00000000-0005-0000-0000-000016320000}"/>
    <cellStyle name="Normal 72 2 3 2 2 4" xfId="11370" xr:uid="{00000000-0005-0000-0000-000017320000}"/>
    <cellStyle name="Normal 72 2 3 2 3" xfId="3947" xr:uid="{00000000-0005-0000-0000-000018320000}"/>
    <cellStyle name="Normal 72 2 3 2 3 2" xfId="8461" xr:uid="{00000000-0005-0000-0000-000019320000}"/>
    <cellStyle name="Normal 72 2 3 2 3 2 2" xfId="17502" xr:uid="{00000000-0005-0000-0000-00001A320000}"/>
    <cellStyle name="Normal 72 2 3 2 3 3" xfId="12989" xr:uid="{00000000-0005-0000-0000-00001B320000}"/>
    <cellStyle name="Normal 72 2 3 2 4" xfId="5714" xr:uid="{00000000-0005-0000-0000-00001C320000}"/>
    <cellStyle name="Normal 72 2 3 2 4 2" xfId="14755" xr:uid="{00000000-0005-0000-0000-00001D320000}"/>
    <cellStyle name="Normal 72 2 3 2 5" xfId="10242" xr:uid="{00000000-0005-0000-0000-00001E320000}"/>
    <cellStyle name="Normal 72 2 3 3" xfId="1755" xr:uid="{00000000-0005-0000-0000-00001F320000}"/>
    <cellStyle name="Normal 72 2 3 3 2" xfId="3949" xr:uid="{00000000-0005-0000-0000-000020320000}"/>
    <cellStyle name="Normal 72 2 3 3 2 2" xfId="8463" xr:uid="{00000000-0005-0000-0000-000021320000}"/>
    <cellStyle name="Normal 72 2 3 3 2 2 2" xfId="17504" xr:uid="{00000000-0005-0000-0000-000022320000}"/>
    <cellStyle name="Normal 72 2 3 3 2 3" xfId="12991" xr:uid="{00000000-0005-0000-0000-000023320000}"/>
    <cellStyle name="Normal 72 2 3 3 3" xfId="6278" xr:uid="{00000000-0005-0000-0000-000024320000}"/>
    <cellStyle name="Normal 72 2 3 3 3 2" xfId="15319" xr:uid="{00000000-0005-0000-0000-000025320000}"/>
    <cellStyle name="Normal 72 2 3 3 4" xfId="10806" xr:uid="{00000000-0005-0000-0000-000026320000}"/>
    <cellStyle name="Normal 72 2 3 4" xfId="3946" xr:uid="{00000000-0005-0000-0000-000027320000}"/>
    <cellStyle name="Normal 72 2 3 4 2" xfId="8460" xr:uid="{00000000-0005-0000-0000-000028320000}"/>
    <cellStyle name="Normal 72 2 3 4 2 2" xfId="17501" xr:uid="{00000000-0005-0000-0000-000029320000}"/>
    <cellStyle name="Normal 72 2 3 4 3" xfId="12988" xr:uid="{00000000-0005-0000-0000-00002A320000}"/>
    <cellStyle name="Normal 72 2 3 5" xfId="5150" xr:uid="{00000000-0005-0000-0000-00002B320000}"/>
    <cellStyle name="Normal 72 2 3 5 2" xfId="14191" xr:uid="{00000000-0005-0000-0000-00002C320000}"/>
    <cellStyle name="Normal 72 2 3 6" xfId="9678" xr:uid="{00000000-0005-0000-0000-00002D320000}"/>
    <cellStyle name="Normal 72 2 4" xfId="773" xr:uid="{00000000-0005-0000-0000-00002E320000}"/>
    <cellStyle name="Normal 72 2 4 2" xfId="1943" xr:uid="{00000000-0005-0000-0000-00002F320000}"/>
    <cellStyle name="Normal 72 2 4 2 2" xfId="3951" xr:uid="{00000000-0005-0000-0000-000030320000}"/>
    <cellStyle name="Normal 72 2 4 2 2 2" xfId="8465" xr:uid="{00000000-0005-0000-0000-000031320000}"/>
    <cellStyle name="Normal 72 2 4 2 2 2 2" xfId="17506" xr:uid="{00000000-0005-0000-0000-000032320000}"/>
    <cellStyle name="Normal 72 2 4 2 2 3" xfId="12993" xr:uid="{00000000-0005-0000-0000-000033320000}"/>
    <cellStyle name="Normal 72 2 4 2 3" xfId="6466" xr:uid="{00000000-0005-0000-0000-000034320000}"/>
    <cellStyle name="Normal 72 2 4 2 3 2" xfId="15507" xr:uid="{00000000-0005-0000-0000-000035320000}"/>
    <cellStyle name="Normal 72 2 4 2 4" xfId="10994" xr:uid="{00000000-0005-0000-0000-000036320000}"/>
    <cellStyle name="Normal 72 2 4 3" xfId="3950" xr:uid="{00000000-0005-0000-0000-000037320000}"/>
    <cellStyle name="Normal 72 2 4 3 2" xfId="8464" xr:uid="{00000000-0005-0000-0000-000038320000}"/>
    <cellStyle name="Normal 72 2 4 3 2 2" xfId="17505" xr:uid="{00000000-0005-0000-0000-000039320000}"/>
    <cellStyle name="Normal 72 2 4 3 3" xfId="12992" xr:uid="{00000000-0005-0000-0000-00003A320000}"/>
    <cellStyle name="Normal 72 2 4 4" xfId="5338" xr:uid="{00000000-0005-0000-0000-00003B320000}"/>
    <cellStyle name="Normal 72 2 4 4 2" xfId="14379" xr:uid="{00000000-0005-0000-0000-00003C320000}"/>
    <cellStyle name="Normal 72 2 4 5" xfId="9866" xr:uid="{00000000-0005-0000-0000-00003D320000}"/>
    <cellStyle name="Normal 72 2 5" xfId="1379" xr:uid="{00000000-0005-0000-0000-00003E320000}"/>
    <cellStyle name="Normal 72 2 5 2" xfId="3952" xr:uid="{00000000-0005-0000-0000-00003F320000}"/>
    <cellStyle name="Normal 72 2 5 2 2" xfId="8466" xr:uid="{00000000-0005-0000-0000-000040320000}"/>
    <cellStyle name="Normal 72 2 5 2 2 2" xfId="17507" xr:uid="{00000000-0005-0000-0000-000041320000}"/>
    <cellStyle name="Normal 72 2 5 2 3" xfId="12994" xr:uid="{00000000-0005-0000-0000-000042320000}"/>
    <cellStyle name="Normal 72 2 5 3" xfId="5902" xr:uid="{00000000-0005-0000-0000-000043320000}"/>
    <cellStyle name="Normal 72 2 5 3 2" xfId="14943" xr:uid="{00000000-0005-0000-0000-000044320000}"/>
    <cellStyle name="Normal 72 2 5 4" xfId="10430" xr:uid="{00000000-0005-0000-0000-000045320000}"/>
    <cellStyle name="Normal 72 2 6" xfId="3941" xr:uid="{00000000-0005-0000-0000-000046320000}"/>
    <cellStyle name="Normal 72 2 6 2" xfId="8455" xr:uid="{00000000-0005-0000-0000-000047320000}"/>
    <cellStyle name="Normal 72 2 6 2 2" xfId="17496" xr:uid="{00000000-0005-0000-0000-000048320000}"/>
    <cellStyle name="Normal 72 2 6 3" xfId="12983" xr:uid="{00000000-0005-0000-0000-000049320000}"/>
    <cellStyle name="Normal 72 2 7" xfId="4774" xr:uid="{00000000-0005-0000-0000-00004A320000}"/>
    <cellStyle name="Normal 72 2 7 2" xfId="13815" xr:uid="{00000000-0005-0000-0000-00004B320000}"/>
    <cellStyle name="Normal 72 2 8" xfId="9302" xr:uid="{00000000-0005-0000-0000-00004C320000}"/>
    <cellStyle name="Normal 72 3" xfId="303" xr:uid="{00000000-0005-0000-0000-00004D320000}"/>
    <cellStyle name="Normal 72 3 2" xfId="867" xr:uid="{00000000-0005-0000-0000-00004E320000}"/>
    <cellStyle name="Normal 72 3 2 2" xfId="2037" xr:uid="{00000000-0005-0000-0000-00004F320000}"/>
    <cellStyle name="Normal 72 3 2 2 2" xfId="3955" xr:uid="{00000000-0005-0000-0000-000050320000}"/>
    <cellStyle name="Normal 72 3 2 2 2 2" xfId="8469" xr:uid="{00000000-0005-0000-0000-000051320000}"/>
    <cellStyle name="Normal 72 3 2 2 2 2 2" xfId="17510" xr:uid="{00000000-0005-0000-0000-000052320000}"/>
    <cellStyle name="Normal 72 3 2 2 2 3" xfId="12997" xr:uid="{00000000-0005-0000-0000-000053320000}"/>
    <cellStyle name="Normal 72 3 2 2 3" xfId="6560" xr:uid="{00000000-0005-0000-0000-000054320000}"/>
    <cellStyle name="Normal 72 3 2 2 3 2" xfId="15601" xr:uid="{00000000-0005-0000-0000-000055320000}"/>
    <cellStyle name="Normal 72 3 2 2 4" xfId="11088" xr:uid="{00000000-0005-0000-0000-000056320000}"/>
    <cellStyle name="Normal 72 3 2 3" xfId="3954" xr:uid="{00000000-0005-0000-0000-000057320000}"/>
    <cellStyle name="Normal 72 3 2 3 2" xfId="8468" xr:uid="{00000000-0005-0000-0000-000058320000}"/>
    <cellStyle name="Normal 72 3 2 3 2 2" xfId="17509" xr:uid="{00000000-0005-0000-0000-000059320000}"/>
    <cellStyle name="Normal 72 3 2 3 3" xfId="12996" xr:uid="{00000000-0005-0000-0000-00005A320000}"/>
    <cellStyle name="Normal 72 3 2 4" xfId="5432" xr:uid="{00000000-0005-0000-0000-00005B320000}"/>
    <cellStyle name="Normal 72 3 2 4 2" xfId="14473" xr:uid="{00000000-0005-0000-0000-00005C320000}"/>
    <cellStyle name="Normal 72 3 2 5" xfId="9960" xr:uid="{00000000-0005-0000-0000-00005D320000}"/>
    <cellStyle name="Normal 72 3 3" xfId="1473" xr:uid="{00000000-0005-0000-0000-00005E320000}"/>
    <cellStyle name="Normal 72 3 3 2" xfId="3956" xr:uid="{00000000-0005-0000-0000-00005F320000}"/>
    <cellStyle name="Normal 72 3 3 2 2" xfId="8470" xr:uid="{00000000-0005-0000-0000-000060320000}"/>
    <cellStyle name="Normal 72 3 3 2 2 2" xfId="17511" xr:uid="{00000000-0005-0000-0000-000061320000}"/>
    <cellStyle name="Normal 72 3 3 2 3" xfId="12998" xr:uid="{00000000-0005-0000-0000-000062320000}"/>
    <cellStyle name="Normal 72 3 3 3" xfId="5996" xr:uid="{00000000-0005-0000-0000-000063320000}"/>
    <cellStyle name="Normal 72 3 3 3 2" xfId="15037" xr:uid="{00000000-0005-0000-0000-000064320000}"/>
    <cellStyle name="Normal 72 3 3 4" xfId="10524" xr:uid="{00000000-0005-0000-0000-000065320000}"/>
    <cellStyle name="Normal 72 3 4" xfId="3953" xr:uid="{00000000-0005-0000-0000-000066320000}"/>
    <cellStyle name="Normal 72 3 4 2" xfId="8467" xr:uid="{00000000-0005-0000-0000-000067320000}"/>
    <cellStyle name="Normal 72 3 4 2 2" xfId="17508" xr:uid="{00000000-0005-0000-0000-000068320000}"/>
    <cellStyle name="Normal 72 3 4 3" xfId="12995" xr:uid="{00000000-0005-0000-0000-000069320000}"/>
    <cellStyle name="Normal 72 3 5" xfId="4868" xr:uid="{00000000-0005-0000-0000-00006A320000}"/>
    <cellStyle name="Normal 72 3 5 2" xfId="13909" xr:uid="{00000000-0005-0000-0000-00006B320000}"/>
    <cellStyle name="Normal 72 3 6" xfId="9396" xr:uid="{00000000-0005-0000-0000-00006C320000}"/>
    <cellStyle name="Normal 72 4" xfId="491" xr:uid="{00000000-0005-0000-0000-00006D320000}"/>
    <cellStyle name="Normal 72 4 2" xfId="1055" xr:uid="{00000000-0005-0000-0000-00006E320000}"/>
    <cellStyle name="Normal 72 4 2 2" xfId="2225" xr:uid="{00000000-0005-0000-0000-00006F320000}"/>
    <cellStyle name="Normal 72 4 2 2 2" xfId="3959" xr:uid="{00000000-0005-0000-0000-000070320000}"/>
    <cellStyle name="Normal 72 4 2 2 2 2" xfId="8473" xr:uid="{00000000-0005-0000-0000-000071320000}"/>
    <cellStyle name="Normal 72 4 2 2 2 2 2" xfId="17514" xr:uid="{00000000-0005-0000-0000-000072320000}"/>
    <cellStyle name="Normal 72 4 2 2 2 3" xfId="13001" xr:uid="{00000000-0005-0000-0000-000073320000}"/>
    <cellStyle name="Normal 72 4 2 2 3" xfId="6748" xr:uid="{00000000-0005-0000-0000-000074320000}"/>
    <cellStyle name="Normal 72 4 2 2 3 2" xfId="15789" xr:uid="{00000000-0005-0000-0000-000075320000}"/>
    <cellStyle name="Normal 72 4 2 2 4" xfId="11276" xr:uid="{00000000-0005-0000-0000-000076320000}"/>
    <cellStyle name="Normal 72 4 2 3" xfId="3958" xr:uid="{00000000-0005-0000-0000-000077320000}"/>
    <cellStyle name="Normal 72 4 2 3 2" xfId="8472" xr:uid="{00000000-0005-0000-0000-000078320000}"/>
    <cellStyle name="Normal 72 4 2 3 2 2" xfId="17513" xr:uid="{00000000-0005-0000-0000-000079320000}"/>
    <cellStyle name="Normal 72 4 2 3 3" xfId="13000" xr:uid="{00000000-0005-0000-0000-00007A320000}"/>
    <cellStyle name="Normal 72 4 2 4" xfId="5620" xr:uid="{00000000-0005-0000-0000-00007B320000}"/>
    <cellStyle name="Normal 72 4 2 4 2" xfId="14661" xr:uid="{00000000-0005-0000-0000-00007C320000}"/>
    <cellStyle name="Normal 72 4 2 5" xfId="10148" xr:uid="{00000000-0005-0000-0000-00007D320000}"/>
    <cellStyle name="Normal 72 4 3" xfId="1661" xr:uid="{00000000-0005-0000-0000-00007E320000}"/>
    <cellStyle name="Normal 72 4 3 2" xfId="3960" xr:uid="{00000000-0005-0000-0000-00007F320000}"/>
    <cellStyle name="Normal 72 4 3 2 2" xfId="8474" xr:uid="{00000000-0005-0000-0000-000080320000}"/>
    <cellStyle name="Normal 72 4 3 2 2 2" xfId="17515" xr:uid="{00000000-0005-0000-0000-000081320000}"/>
    <cellStyle name="Normal 72 4 3 2 3" xfId="13002" xr:uid="{00000000-0005-0000-0000-000082320000}"/>
    <cellStyle name="Normal 72 4 3 3" xfId="6184" xr:uid="{00000000-0005-0000-0000-000083320000}"/>
    <cellStyle name="Normal 72 4 3 3 2" xfId="15225" xr:uid="{00000000-0005-0000-0000-000084320000}"/>
    <cellStyle name="Normal 72 4 3 4" xfId="10712" xr:uid="{00000000-0005-0000-0000-000085320000}"/>
    <cellStyle name="Normal 72 4 4" xfId="3957" xr:uid="{00000000-0005-0000-0000-000086320000}"/>
    <cellStyle name="Normal 72 4 4 2" xfId="8471" xr:uid="{00000000-0005-0000-0000-000087320000}"/>
    <cellStyle name="Normal 72 4 4 2 2" xfId="17512" xr:uid="{00000000-0005-0000-0000-000088320000}"/>
    <cellStyle name="Normal 72 4 4 3" xfId="12999" xr:uid="{00000000-0005-0000-0000-000089320000}"/>
    <cellStyle name="Normal 72 4 5" xfId="5056" xr:uid="{00000000-0005-0000-0000-00008A320000}"/>
    <cellStyle name="Normal 72 4 5 2" xfId="14097" xr:uid="{00000000-0005-0000-0000-00008B320000}"/>
    <cellStyle name="Normal 72 4 6" xfId="9584" xr:uid="{00000000-0005-0000-0000-00008C320000}"/>
    <cellStyle name="Normal 72 5" xfId="679" xr:uid="{00000000-0005-0000-0000-00008D320000}"/>
    <cellStyle name="Normal 72 5 2" xfId="1849" xr:uid="{00000000-0005-0000-0000-00008E320000}"/>
    <cellStyle name="Normal 72 5 2 2" xfId="3962" xr:uid="{00000000-0005-0000-0000-00008F320000}"/>
    <cellStyle name="Normal 72 5 2 2 2" xfId="8476" xr:uid="{00000000-0005-0000-0000-000090320000}"/>
    <cellStyle name="Normal 72 5 2 2 2 2" xfId="17517" xr:uid="{00000000-0005-0000-0000-000091320000}"/>
    <cellStyle name="Normal 72 5 2 2 3" xfId="13004" xr:uid="{00000000-0005-0000-0000-000092320000}"/>
    <cellStyle name="Normal 72 5 2 3" xfId="6372" xr:uid="{00000000-0005-0000-0000-000093320000}"/>
    <cellStyle name="Normal 72 5 2 3 2" xfId="15413" xr:uid="{00000000-0005-0000-0000-000094320000}"/>
    <cellStyle name="Normal 72 5 2 4" xfId="10900" xr:uid="{00000000-0005-0000-0000-000095320000}"/>
    <cellStyle name="Normal 72 5 3" xfId="3961" xr:uid="{00000000-0005-0000-0000-000096320000}"/>
    <cellStyle name="Normal 72 5 3 2" xfId="8475" xr:uid="{00000000-0005-0000-0000-000097320000}"/>
    <cellStyle name="Normal 72 5 3 2 2" xfId="17516" xr:uid="{00000000-0005-0000-0000-000098320000}"/>
    <cellStyle name="Normal 72 5 3 3" xfId="13003" xr:uid="{00000000-0005-0000-0000-000099320000}"/>
    <cellStyle name="Normal 72 5 4" xfId="5244" xr:uid="{00000000-0005-0000-0000-00009A320000}"/>
    <cellStyle name="Normal 72 5 4 2" xfId="14285" xr:uid="{00000000-0005-0000-0000-00009B320000}"/>
    <cellStyle name="Normal 72 5 5" xfId="9772" xr:uid="{00000000-0005-0000-0000-00009C320000}"/>
    <cellStyle name="Normal 72 6" xfId="1285" xr:uid="{00000000-0005-0000-0000-00009D320000}"/>
    <cellStyle name="Normal 72 6 2" xfId="3963" xr:uid="{00000000-0005-0000-0000-00009E320000}"/>
    <cellStyle name="Normal 72 6 2 2" xfId="8477" xr:uid="{00000000-0005-0000-0000-00009F320000}"/>
    <cellStyle name="Normal 72 6 2 2 2" xfId="17518" xr:uid="{00000000-0005-0000-0000-0000A0320000}"/>
    <cellStyle name="Normal 72 6 2 3" xfId="13005" xr:uid="{00000000-0005-0000-0000-0000A1320000}"/>
    <cellStyle name="Normal 72 6 3" xfId="5808" xr:uid="{00000000-0005-0000-0000-0000A2320000}"/>
    <cellStyle name="Normal 72 6 3 2" xfId="14849" xr:uid="{00000000-0005-0000-0000-0000A3320000}"/>
    <cellStyle name="Normal 72 6 4" xfId="10336" xr:uid="{00000000-0005-0000-0000-0000A4320000}"/>
    <cellStyle name="Normal 72 7" xfId="3940" xr:uid="{00000000-0005-0000-0000-0000A5320000}"/>
    <cellStyle name="Normal 72 7 2" xfId="8454" xr:uid="{00000000-0005-0000-0000-0000A6320000}"/>
    <cellStyle name="Normal 72 7 2 2" xfId="17495" xr:uid="{00000000-0005-0000-0000-0000A7320000}"/>
    <cellStyle name="Normal 72 7 3" xfId="12982" xr:uid="{00000000-0005-0000-0000-0000A8320000}"/>
    <cellStyle name="Normal 72 8" xfId="4680" xr:uid="{00000000-0005-0000-0000-0000A9320000}"/>
    <cellStyle name="Normal 72 8 2" xfId="13721" xr:uid="{00000000-0005-0000-0000-0000AA320000}"/>
    <cellStyle name="Normal 72 9" xfId="9208" xr:uid="{00000000-0005-0000-0000-0000AB320000}"/>
    <cellStyle name="Normal 73" xfId="73" xr:uid="{00000000-0005-0000-0000-0000AC320000}"/>
    <cellStyle name="Normal 73 2" xfId="169" xr:uid="{00000000-0005-0000-0000-0000AD320000}"/>
    <cellStyle name="Normal 73 2 2" xfId="398" xr:uid="{00000000-0005-0000-0000-0000AE320000}"/>
    <cellStyle name="Normal 73 2 2 2" xfId="962" xr:uid="{00000000-0005-0000-0000-0000AF320000}"/>
    <cellStyle name="Normal 73 2 2 2 2" xfId="2132" xr:uid="{00000000-0005-0000-0000-0000B0320000}"/>
    <cellStyle name="Normal 73 2 2 2 2 2" xfId="3968" xr:uid="{00000000-0005-0000-0000-0000B1320000}"/>
    <cellStyle name="Normal 73 2 2 2 2 2 2" xfId="8482" xr:uid="{00000000-0005-0000-0000-0000B2320000}"/>
    <cellStyle name="Normal 73 2 2 2 2 2 2 2" xfId="17523" xr:uid="{00000000-0005-0000-0000-0000B3320000}"/>
    <cellStyle name="Normal 73 2 2 2 2 2 3" xfId="13010" xr:uid="{00000000-0005-0000-0000-0000B4320000}"/>
    <cellStyle name="Normal 73 2 2 2 2 3" xfId="6655" xr:uid="{00000000-0005-0000-0000-0000B5320000}"/>
    <cellStyle name="Normal 73 2 2 2 2 3 2" xfId="15696" xr:uid="{00000000-0005-0000-0000-0000B6320000}"/>
    <cellStyle name="Normal 73 2 2 2 2 4" xfId="11183" xr:uid="{00000000-0005-0000-0000-0000B7320000}"/>
    <cellStyle name="Normal 73 2 2 2 3" xfId="3967" xr:uid="{00000000-0005-0000-0000-0000B8320000}"/>
    <cellStyle name="Normal 73 2 2 2 3 2" xfId="8481" xr:uid="{00000000-0005-0000-0000-0000B9320000}"/>
    <cellStyle name="Normal 73 2 2 2 3 2 2" xfId="17522" xr:uid="{00000000-0005-0000-0000-0000BA320000}"/>
    <cellStyle name="Normal 73 2 2 2 3 3" xfId="13009" xr:uid="{00000000-0005-0000-0000-0000BB320000}"/>
    <cellStyle name="Normal 73 2 2 2 4" xfId="5527" xr:uid="{00000000-0005-0000-0000-0000BC320000}"/>
    <cellStyle name="Normal 73 2 2 2 4 2" xfId="14568" xr:uid="{00000000-0005-0000-0000-0000BD320000}"/>
    <cellStyle name="Normal 73 2 2 2 5" xfId="10055" xr:uid="{00000000-0005-0000-0000-0000BE320000}"/>
    <cellStyle name="Normal 73 2 2 3" xfId="1568" xr:uid="{00000000-0005-0000-0000-0000BF320000}"/>
    <cellStyle name="Normal 73 2 2 3 2" xfId="3969" xr:uid="{00000000-0005-0000-0000-0000C0320000}"/>
    <cellStyle name="Normal 73 2 2 3 2 2" xfId="8483" xr:uid="{00000000-0005-0000-0000-0000C1320000}"/>
    <cellStyle name="Normal 73 2 2 3 2 2 2" xfId="17524" xr:uid="{00000000-0005-0000-0000-0000C2320000}"/>
    <cellStyle name="Normal 73 2 2 3 2 3" xfId="13011" xr:uid="{00000000-0005-0000-0000-0000C3320000}"/>
    <cellStyle name="Normal 73 2 2 3 3" xfId="6091" xr:uid="{00000000-0005-0000-0000-0000C4320000}"/>
    <cellStyle name="Normal 73 2 2 3 3 2" xfId="15132" xr:uid="{00000000-0005-0000-0000-0000C5320000}"/>
    <cellStyle name="Normal 73 2 2 3 4" xfId="10619" xr:uid="{00000000-0005-0000-0000-0000C6320000}"/>
    <cellStyle name="Normal 73 2 2 4" xfId="3966" xr:uid="{00000000-0005-0000-0000-0000C7320000}"/>
    <cellStyle name="Normal 73 2 2 4 2" xfId="8480" xr:uid="{00000000-0005-0000-0000-0000C8320000}"/>
    <cellStyle name="Normal 73 2 2 4 2 2" xfId="17521" xr:uid="{00000000-0005-0000-0000-0000C9320000}"/>
    <cellStyle name="Normal 73 2 2 4 3" xfId="13008" xr:uid="{00000000-0005-0000-0000-0000CA320000}"/>
    <cellStyle name="Normal 73 2 2 5" xfId="4963" xr:uid="{00000000-0005-0000-0000-0000CB320000}"/>
    <cellStyle name="Normal 73 2 2 5 2" xfId="14004" xr:uid="{00000000-0005-0000-0000-0000CC320000}"/>
    <cellStyle name="Normal 73 2 2 6" xfId="9491" xr:uid="{00000000-0005-0000-0000-0000CD320000}"/>
    <cellStyle name="Normal 73 2 3" xfId="586" xr:uid="{00000000-0005-0000-0000-0000CE320000}"/>
    <cellStyle name="Normal 73 2 3 2" xfId="1150" xr:uid="{00000000-0005-0000-0000-0000CF320000}"/>
    <cellStyle name="Normal 73 2 3 2 2" xfId="2320" xr:uid="{00000000-0005-0000-0000-0000D0320000}"/>
    <cellStyle name="Normal 73 2 3 2 2 2" xfId="3972" xr:uid="{00000000-0005-0000-0000-0000D1320000}"/>
    <cellStyle name="Normal 73 2 3 2 2 2 2" xfId="8486" xr:uid="{00000000-0005-0000-0000-0000D2320000}"/>
    <cellStyle name="Normal 73 2 3 2 2 2 2 2" xfId="17527" xr:uid="{00000000-0005-0000-0000-0000D3320000}"/>
    <cellStyle name="Normal 73 2 3 2 2 2 3" xfId="13014" xr:uid="{00000000-0005-0000-0000-0000D4320000}"/>
    <cellStyle name="Normal 73 2 3 2 2 3" xfId="6843" xr:uid="{00000000-0005-0000-0000-0000D5320000}"/>
    <cellStyle name="Normal 73 2 3 2 2 3 2" xfId="15884" xr:uid="{00000000-0005-0000-0000-0000D6320000}"/>
    <cellStyle name="Normal 73 2 3 2 2 4" xfId="11371" xr:uid="{00000000-0005-0000-0000-0000D7320000}"/>
    <cellStyle name="Normal 73 2 3 2 3" xfId="3971" xr:uid="{00000000-0005-0000-0000-0000D8320000}"/>
    <cellStyle name="Normal 73 2 3 2 3 2" xfId="8485" xr:uid="{00000000-0005-0000-0000-0000D9320000}"/>
    <cellStyle name="Normal 73 2 3 2 3 2 2" xfId="17526" xr:uid="{00000000-0005-0000-0000-0000DA320000}"/>
    <cellStyle name="Normal 73 2 3 2 3 3" xfId="13013" xr:uid="{00000000-0005-0000-0000-0000DB320000}"/>
    <cellStyle name="Normal 73 2 3 2 4" xfId="5715" xr:uid="{00000000-0005-0000-0000-0000DC320000}"/>
    <cellStyle name="Normal 73 2 3 2 4 2" xfId="14756" xr:uid="{00000000-0005-0000-0000-0000DD320000}"/>
    <cellStyle name="Normal 73 2 3 2 5" xfId="10243" xr:uid="{00000000-0005-0000-0000-0000DE320000}"/>
    <cellStyle name="Normal 73 2 3 3" xfId="1756" xr:uid="{00000000-0005-0000-0000-0000DF320000}"/>
    <cellStyle name="Normal 73 2 3 3 2" xfId="3973" xr:uid="{00000000-0005-0000-0000-0000E0320000}"/>
    <cellStyle name="Normal 73 2 3 3 2 2" xfId="8487" xr:uid="{00000000-0005-0000-0000-0000E1320000}"/>
    <cellStyle name="Normal 73 2 3 3 2 2 2" xfId="17528" xr:uid="{00000000-0005-0000-0000-0000E2320000}"/>
    <cellStyle name="Normal 73 2 3 3 2 3" xfId="13015" xr:uid="{00000000-0005-0000-0000-0000E3320000}"/>
    <cellStyle name="Normal 73 2 3 3 3" xfId="6279" xr:uid="{00000000-0005-0000-0000-0000E4320000}"/>
    <cellStyle name="Normal 73 2 3 3 3 2" xfId="15320" xr:uid="{00000000-0005-0000-0000-0000E5320000}"/>
    <cellStyle name="Normal 73 2 3 3 4" xfId="10807" xr:uid="{00000000-0005-0000-0000-0000E6320000}"/>
    <cellStyle name="Normal 73 2 3 4" xfId="3970" xr:uid="{00000000-0005-0000-0000-0000E7320000}"/>
    <cellStyle name="Normal 73 2 3 4 2" xfId="8484" xr:uid="{00000000-0005-0000-0000-0000E8320000}"/>
    <cellStyle name="Normal 73 2 3 4 2 2" xfId="17525" xr:uid="{00000000-0005-0000-0000-0000E9320000}"/>
    <cellStyle name="Normal 73 2 3 4 3" xfId="13012" xr:uid="{00000000-0005-0000-0000-0000EA320000}"/>
    <cellStyle name="Normal 73 2 3 5" xfId="5151" xr:uid="{00000000-0005-0000-0000-0000EB320000}"/>
    <cellStyle name="Normal 73 2 3 5 2" xfId="14192" xr:uid="{00000000-0005-0000-0000-0000EC320000}"/>
    <cellStyle name="Normal 73 2 3 6" xfId="9679" xr:uid="{00000000-0005-0000-0000-0000ED320000}"/>
    <cellStyle name="Normal 73 2 4" xfId="774" xr:uid="{00000000-0005-0000-0000-0000EE320000}"/>
    <cellStyle name="Normal 73 2 4 2" xfId="1944" xr:uid="{00000000-0005-0000-0000-0000EF320000}"/>
    <cellStyle name="Normal 73 2 4 2 2" xfId="3975" xr:uid="{00000000-0005-0000-0000-0000F0320000}"/>
    <cellStyle name="Normal 73 2 4 2 2 2" xfId="8489" xr:uid="{00000000-0005-0000-0000-0000F1320000}"/>
    <cellStyle name="Normal 73 2 4 2 2 2 2" xfId="17530" xr:uid="{00000000-0005-0000-0000-0000F2320000}"/>
    <cellStyle name="Normal 73 2 4 2 2 3" xfId="13017" xr:uid="{00000000-0005-0000-0000-0000F3320000}"/>
    <cellStyle name="Normal 73 2 4 2 3" xfId="6467" xr:uid="{00000000-0005-0000-0000-0000F4320000}"/>
    <cellStyle name="Normal 73 2 4 2 3 2" xfId="15508" xr:uid="{00000000-0005-0000-0000-0000F5320000}"/>
    <cellStyle name="Normal 73 2 4 2 4" xfId="10995" xr:uid="{00000000-0005-0000-0000-0000F6320000}"/>
    <cellStyle name="Normal 73 2 4 3" xfId="3974" xr:uid="{00000000-0005-0000-0000-0000F7320000}"/>
    <cellStyle name="Normal 73 2 4 3 2" xfId="8488" xr:uid="{00000000-0005-0000-0000-0000F8320000}"/>
    <cellStyle name="Normal 73 2 4 3 2 2" xfId="17529" xr:uid="{00000000-0005-0000-0000-0000F9320000}"/>
    <cellStyle name="Normal 73 2 4 3 3" xfId="13016" xr:uid="{00000000-0005-0000-0000-0000FA320000}"/>
    <cellStyle name="Normal 73 2 4 4" xfId="5339" xr:uid="{00000000-0005-0000-0000-0000FB320000}"/>
    <cellStyle name="Normal 73 2 4 4 2" xfId="14380" xr:uid="{00000000-0005-0000-0000-0000FC320000}"/>
    <cellStyle name="Normal 73 2 4 5" xfId="9867" xr:uid="{00000000-0005-0000-0000-0000FD320000}"/>
    <cellStyle name="Normal 73 2 5" xfId="1380" xr:uid="{00000000-0005-0000-0000-0000FE320000}"/>
    <cellStyle name="Normal 73 2 5 2" xfId="3976" xr:uid="{00000000-0005-0000-0000-0000FF320000}"/>
    <cellStyle name="Normal 73 2 5 2 2" xfId="8490" xr:uid="{00000000-0005-0000-0000-000000330000}"/>
    <cellStyle name="Normal 73 2 5 2 2 2" xfId="17531" xr:uid="{00000000-0005-0000-0000-000001330000}"/>
    <cellStyle name="Normal 73 2 5 2 3" xfId="13018" xr:uid="{00000000-0005-0000-0000-000002330000}"/>
    <cellStyle name="Normal 73 2 5 3" xfId="5903" xr:uid="{00000000-0005-0000-0000-000003330000}"/>
    <cellStyle name="Normal 73 2 5 3 2" xfId="14944" xr:uid="{00000000-0005-0000-0000-000004330000}"/>
    <cellStyle name="Normal 73 2 5 4" xfId="10431" xr:uid="{00000000-0005-0000-0000-000005330000}"/>
    <cellStyle name="Normal 73 2 6" xfId="3965" xr:uid="{00000000-0005-0000-0000-000006330000}"/>
    <cellStyle name="Normal 73 2 6 2" xfId="8479" xr:uid="{00000000-0005-0000-0000-000007330000}"/>
    <cellStyle name="Normal 73 2 6 2 2" xfId="17520" xr:uid="{00000000-0005-0000-0000-000008330000}"/>
    <cellStyle name="Normal 73 2 6 3" xfId="13007" xr:uid="{00000000-0005-0000-0000-000009330000}"/>
    <cellStyle name="Normal 73 2 7" xfId="4775" xr:uid="{00000000-0005-0000-0000-00000A330000}"/>
    <cellStyle name="Normal 73 2 7 2" xfId="13816" xr:uid="{00000000-0005-0000-0000-00000B330000}"/>
    <cellStyle name="Normal 73 2 8" xfId="9303" xr:uid="{00000000-0005-0000-0000-00000C330000}"/>
    <cellStyle name="Normal 73 3" xfId="304" xr:uid="{00000000-0005-0000-0000-00000D330000}"/>
    <cellStyle name="Normal 73 3 2" xfId="868" xr:uid="{00000000-0005-0000-0000-00000E330000}"/>
    <cellStyle name="Normal 73 3 2 2" xfId="2038" xr:uid="{00000000-0005-0000-0000-00000F330000}"/>
    <cellStyle name="Normal 73 3 2 2 2" xfId="3979" xr:uid="{00000000-0005-0000-0000-000010330000}"/>
    <cellStyle name="Normal 73 3 2 2 2 2" xfId="8493" xr:uid="{00000000-0005-0000-0000-000011330000}"/>
    <cellStyle name="Normal 73 3 2 2 2 2 2" xfId="17534" xr:uid="{00000000-0005-0000-0000-000012330000}"/>
    <cellStyle name="Normal 73 3 2 2 2 3" xfId="13021" xr:uid="{00000000-0005-0000-0000-000013330000}"/>
    <cellStyle name="Normal 73 3 2 2 3" xfId="6561" xr:uid="{00000000-0005-0000-0000-000014330000}"/>
    <cellStyle name="Normal 73 3 2 2 3 2" xfId="15602" xr:uid="{00000000-0005-0000-0000-000015330000}"/>
    <cellStyle name="Normal 73 3 2 2 4" xfId="11089" xr:uid="{00000000-0005-0000-0000-000016330000}"/>
    <cellStyle name="Normal 73 3 2 3" xfId="3978" xr:uid="{00000000-0005-0000-0000-000017330000}"/>
    <cellStyle name="Normal 73 3 2 3 2" xfId="8492" xr:uid="{00000000-0005-0000-0000-000018330000}"/>
    <cellStyle name="Normal 73 3 2 3 2 2" xfId="17533" xr:uid="{00000000-0005-0000-0000-000019330000}"/>
    <cellStyle name="Normal 73 3 2 3 3" xfId="13020" xr:uid="{00000000-0005-0000-0000-00001A330000}"/>
    <cellStyle name="Normal 73 3 2 4" xfId="5433" xr:uid="{00000000-0005-0000-0000-00001B330000}"/>
    <cellStyle name="Normal 73 3 2 4 2" xfId="14474" xr:uid="{00000000-0005-0000-0000-00001C330000}"/>
    <cellStyle name="Normal 73 3 2 5" xfId="9961" xr:uid="{00000000-0005-0000-0000-00001D330000}"/>
    <cellStyle name="Normal 73 3 3" xfId="1474" xr:uid="{00000000-0005-0000-0000-00001E330000}"/>
    <cellStyle name="Normal 73 3 3 2" xfId="3980" xr:uid="{00000000-0005-0000-0000-00001F330000}"/>
    <cellStyle name="Normal 73 3 3 2 2" xfId="8494" xr:uid="{00000000-0005-0000-0000-000020330000}"/>
    <cellStyle name="Normal 73 3 3 2 2 2" xfId="17535" xr:uid="{00000000-0005-0000-0000-000021330000}"/>
    <cellStyle name="Normal 73 3 3 2 3" xfId="13022" xr:uid="{00000000-0005-0000-0000-000022330000}"/>
    <cellStyle name="Normal 73 3 3 3" xfId="5997" xr:uid="{00000000-0005-0000-0000-000023330000}"/>
    <cellStyle name="Normal 73 3 3 3 2" xfId="15038" xr:uid="{00000000-0005-0000-0000-000024330000}"/>
    <cellStyle name="Normal 73 3 3 4" xfId="10525" xr:uid="{00000000-0005-0000-0000-000025330000}"/>
    <cellStyle name="Normal 73 3 4" xfId="3977" xr:uid="{00000000-0005-0000-0000-000026330000}"/>
    <cellStyle name="Normal 73 3 4 2" xfId="8491" xr:uid="{00000000-0005-0000-0000-000027330000}"/>
    <cellStyle name="Normal 73 3 4 2 2" xfId="17532" xr:uid="{00000000-0005-0000-0000-000028330000}"/>
    <cellStyle name="Normal 73 3 4 3" xfId="13019" xr:uid="{00000000-0005-0000-0000-000029330000}"/>
    <cellStyle name="Normal 73 3 5" xfId="4869" xr:uid="{00000000-0005-0000-0000-00002A330000}"/>
    <cellStyle name="Normal 73 3 5 2" xfId="13910" xr:uid="{00000000-0005-0000-0000-00002B330000}"/>
    <cellStyle name="Normal 73 3 6" xfId="9397" xr:uid="{00000000-0005-0000-0000-00002C330000}"/>
    <cellStyle name="Normal 73 4" xfId="492" xr:uid="{00000000-0005-0000-0000-00002D330000}"/>
    <cellStyle name="Normal 73 4 2" xfId="1056" xr:uid="{00000000-0005-0000-0000-00002E330000}"/>
    <cellStyle name="Normal 73 4 2 2" xfId="2226" xr:uid="{00000000-0005-0000-0000-00002F330000}"/>
    <cellStyle name="Normal 73 4 2 2 2" xfId="3983" xr:uid="{00000000-0005-0000-0000-000030330000}"/>
    <cellStyle name="Normal 73 4 2 2 2 2" xfId="8497" xr:uid="{00000000-0005-0000-0000-000031330000}"/>
    <cellStyle name="Normal 73 4 2 2 2 2 2" xfId="17538" xr:uid="{00000000-0005-0000-0000-000032330000}"/>
    <cellStyle name="Normal 73 4 2 2 2 3" xfId="13025" xr:uid="{00000000-0005-0000-0000-000033330000}"/>
    <cellStyle name="Normal 73 4 2 2 3" xfId="6749" xr:uid="{00000000-0005-0000-0000-000034330000}"/>
    <cellStyle name="Normal 73 4 2 2 3 2" xfId="15790" xr:uid="{00000000-0005-0000-0000-000035330000}"/>
    <cellStyle name="Normal 73 4 2 2 4" xfId="11277" xr:uid="{00000000-0005-0000-0000-000036330000}"/>
    <cellStyle name="Normal 73 4 2 3" xfId="3982" xr:uid="{00000000-0005-0000-0000-000037330000}"/>
    <cellStyle name="Normal 73 4 2 3 2" xfId="8496" xr:uid="{00000000-0005-0000-0000-000038330000}"/>
    <cellStyle name="Normal 73 4 2 3 2 2" xfId="17537" xr:uid="{00000000-0005-0000-0000-000039330000}"/>
    <cellStyle name="Normal 73 4 2 3 3" xfId="13024" xr:uid="{00000000-0005-0000-0000-00003A330000}"/>
    <cellStyle name="Normal 73 4 2 4" xfId="5621" xr:uid="{00000000-0005-0000-0000-00003B330000}"/>
    <cellStyle name="Normal 73 4 2 4 2" xfId="14662" xr:uid="{00000000-0005-0000-0000-00003C330000}"/>
    <cellStyle name="Normal 73 4 2 5" xfId="10149" xr:uid="{00000000-0005-0000-0000-00003D330000}"/>
    <cellStyle name="Normal 73 4 3" xfId="1662" xr:uid="{00000000-0005-0000-0000-00003E330000}"/>
    <cellStyle name="Normal 73 4 3 2" xfId="3984" xr:uid="{00000000-0005-0000-0000-00003F330000}"/>
    <cellStyle name="Normal 73 4 3 2 2" xfId="8498" xr:uid="{00000000-0005-0000-0000-000040330000}"/>
    <cellStyle name="Normal 73 4 3 2 2 2" xfId="17539" xr:uid="{00000000-0005-0000-0000-000041330000}"/>
    <cellStyle name="Normal 73 4 3 2 3" xfId="13026" xr:uid="{00000000-0005-0000-0000-000042330000}"/>
    <cellStyle name="Normal 73 4 3 3" xfId="6185" xr:uid="{00000000-0005-0000-0000-000043330000}"/>
    <cellStyle name="Normal 73 4 3 3 2" xfId="15226" xr:uid="{00000000-0005-0000-0000-000044330000}"/>
    <cellStyle name="Normal 73 4 3 4" xfId="10713" xr:uid="{00000000-0005-0000-0000-000045330000}"/>
    <cellStyle name="Normal 73 4 4" xfId="3981" xr:uid="{00000000-0005-0000-0000-000046330000}"/>
    <cellStyle name="Normal 73 4 4 2" xfId="8495" xr:uid="{00000000-0005-0000-0000-000047330000}"/>
    <cellStyle name="Normal 73 4 4 2 2" xfId="17536" xr:uid="{00000000-0005-0000-0000-000048330000}"/>
    <cellStyle name="Normal 73 4 4 3" xfId="13023" xr:uid="{00000000-0005-0000-0000-000049330000}"/>
    <cellStyle name="Normal 73 4 5" xfId="5057" xr:uid="{00000000-0005-0000-0000-00004A330000}"/>
    <cellStyle name="Normal 73 4 5 2" xfId="14098" xr:uid="{00000000-0005-0000-0000-00004B330000}"/>
    <cellStyle name="Normal 73 4 6" xfId="9585" xr:uid="{00000000-0005-0000-0000-00004C330000}"/>
    <cellStyle name="Normal 73 5" xfId="680" xr:uid="{00000000-0005-0000-0000-00004D330000}"/>
    <cellStyle name="Normal 73 5 2" xfId="1850" xr:uid="{00000000-0005-0000-0000-00004E330000}"/>
    <cellStyle name="Normal 73 5 2 2" xfId="3986" xr:uid="{00000000-0005-0000-0000-00004F330000}"/>
    <cellStyle name="Normal 73 5 2 2 2" xfId="8500" xr:uid="{00000000-0005-0000-0000-000050330000}"/>
    <cellStyle name="Normal 73 5 2 2 2 2" xfId="17541" xr:uid="{00000000-0005-0000-0000-000051330000}"/>
    <cellStyle name="Normal 73 5 2 2 3" xfId="13028" xr:uid="{00000000-0005-0000-0000-000052330000}"/>
    <cellStyle name="Normal 73 5 2 3" xfId="6373" xr:uid="{00000000-0005-0000-0000-000053330000}"/>
    <cellStyle name="Normal 73 5 2 3 2" xfId="15414" xr:uid="{00000000-0005-0000-0000-000054330000}"/>
    <cellStyle name="Normal 73 5 2 4" xfId="10901" xr:uid="{00000000-0005-0000-0000-000055330000}"/>
    <cellStyle name="Normal 73 5 3" xfId="3985" xr:uid="{00000000-0005-0000-0000-000056330000}"/>
    <cellStyle name="Normal 73 5 3 2" xfId="8499" xr:uid="{00000000-0005-0000-0000-000057330000}"/>
    <cellStyle name="Normal 73 5 3 2 2" xfId="17540" xr:uid="{00000000-0005-0000-0000-000058330000}"/>
    <cellStyle name="Normal 73 5 3 3" xfId="13027" xr:uid="{00000000-0005-0000-0000-000059330000}"/>
    <cellStyle name="Normal 73 5 4" xfId="5245" xr:uid="{00000000-0005-0000-0000-00005A330000}"/>
    <cellStyle name="Normal 73 5 4 2" xfId="14286" xr:uid="{00000000-0005-0000-0000-00005B330000}"/>
    <cellStyle name="Normal 73 5 5" xfId="9773" xr:uid="{00000000-0005-0000-0000-00005C330000}"/>
    <cellStyle name="Normal 73 6" xfId="1286" xr:uid="{00000000-0005-0000-0000-00005D330000}"/>
    <cellStyle name="Normal 73 6 2" xfId="3987" xr:uid="{00000000-0005-0000-0000-00005E330000}"/>
    <cellStyle name="Normal 73 6 2 2" xfId="8501" xr:uid="{00000000-0005-0000-0000-00005F330000}"/>
    <cellStyle name="Normal 73 6 2 2 2" xfId="17542" xr:uid="{00000000-0005-0000-0000-000060330000}"/>
    <cellStyle name="Normal 73 6 2 3" xfId="13029" xr:uid="{00000000-0005-0000-0000-000061330000}"/>
    <cellStyle name="Normal 73 6 3" xfId="5809" xr:uid="{00000000-0005-0000-0000-000062330000}"/>
    <cellStyle name="Normal 73 6 3 2" xfId="14850" xr:uid="{00000000-0005-0000-0000-000063330000}"/>
    <cellStyle name="Normal 73 6 4" xfId="10337" xr:uid="{00000000-0005-0000-0000-000064330000}"/>
    <cellStyle name="Normal 73 7" xfId="3964" xr:uid="{00000000-0005-0000-0000-000065330000}"/>
    <cellStyle name="Normal 73 7 2" xfId="8478" xr:uid="{00000000-0005-0000-0000-000066330000}"/>
    <cellStyle name="Normal 73 7 2 2" xfId="17519" xr:uid="{00000000-0005-0000-0000-000067330000}"/>
    <cellStyle name="Normal 73 7 3" xfId="13006" xr:uid="{00000000-0005-0000-0000-000068330000}"/>
    <cellStyle name="Normal 73 8" xfId="4681" xr:uid="{00000000-0005-0000-0000-000069330000}"/>
    <cellStyle name="Normal 73 8 2" xfId="13722" xr:uid="{00000000-0005-0000-0000-00006A330000}"/>
    <cellStyle name="Normal 73 9" xfId="9209" xr:uid="{00000000-0005-0000-0000-00006B330000}"/>
    <cellStyle name="Normal 74" xfId="74" xr:uid="{00000000-0005-0000-0000-00006C330000}"/>
    <cellStyle name="Normal 74 2" xfId="170" xr:uid="{00000000-0005-0000-0000-00006D330000}"/>
    <cellStyle name="Normal 74 2 2" xfId="399" xr:uid="{00000000-0005-0000-0000-00006E330000}"/>
    <cellStyle name="Normal 74 2 2 2" xfId="963" xr:uid="{00000000-0005-0000-0000-00006F330000}"/>
    <cellStyle name="Normal 74 2 2 2 2" xfId="2133" xr:uid="{00000000-0005-0000-0000-000070330000}"/>
    <cellStyle name="Normal 74 2 2 2 2 2" xfId="3992" xr:uid="{00000000-0005-0000-0000-000071330000}"/>
    <cellStyle name="Normal 74 2 2 2 2 2 2" xfId="8506" xr:uid="{00000000-0005-0000-0000-000072330000}"/>
    <cellStyle name="Normal 74 2 2 2 2 2 2 2" xfId="17547" xr:uid="{00000000-0005-0000-0000-000073330000}"/>
    <cellStyle name="Normal 74 2 2 2 2 2 3" xfId="13034" xr:uid="{00000000-0005-0000-0000-000074330000}"/>
    <cellStyle name="Normal 74 2 2 2 2 3" xfId="6656" xr:uid="{00000000-0005-0000-0000-000075330000}"/>
    <cellStyle name="Normal 74 2 2 2 2 3 2" xfId="15697" xr:uid="{00000000-0005-0000-0000-000076330000}"/>
    <cellStyle name="Normal 74 2 2 2 2 4" xfId="11184" xr:uid="{00000000-0005-0000-0000-000077330000}"/>
    <cellStyle name="Normal 74 2 2 2 3" xfId="3991" xr:uid="{00000000-0005-0000-0000-000078330000}"/>
    <cellStyle name="Normal 74 2 2 2 3 2" xfId="8505" xr:uid="{00000000-0005-0000-0000-000079330000}"/>
    <cellStyle name="Normal 74 2 2 2 3 2 2" xfId="17546" xr:uid="{00000000-0005-0000-0000-00007A330000}"/>
    <cellStyle name="Normal 74 2 2 2 3 3" xfId="13033" xr:uid="{00000000-0005-0000-0000-00007B330000}"/>
    <cellStyle name="Normal 74 2 2 2 4" xfId="5528" xr:uid="{00000000-0005-0000-0000-00007C330000}"/>
    <cellStyle name="Normal 74 2 2 2 4 2" xfId="14569" xr:uid="{00000000-0005-0000-0000-00007D330000}"/>
    <cellStyle name="Normal 74 2 2 2 5" xfId="10056" xr:uid="{00000000-0005-0000-0000-00007E330000}"/>
    <cellStyle name="Normal 74 2 2 3" xfId="1569" xr:uid="{00000000-0005-0000-0000-00007F330000}"/>
    <cellStyle name="Normal 74 2 2 3 2" xfId="3993" xr:uid="{00000000-0005-0000-0000-000080330000}"/>
    <cellStyle name="Normal 74 2 2 3 2 2" xfId="8507" xr:uid="{00000000-0005-0000-0000-000081330000}"/>
    <cellStyle name="Normal 74 2 2 3 2 2 2" xfId="17548" xr:uid="{00000000-0005-0000-0000-000082330000}"/>
    <cellStyle name="Normal 74 2 2 3 2 3" xfId="13035" xr:uid="{00000000-0005-0000-0000-000083330000}"/>
    <cellStyle name="Normal 74 2 2 3 3" xfId="6092" xr:uid="{00000000-0005-0000-0000-000084330000}"/>
    <cellStyle name="Normal 74 2 2 3 3 2" xfId="15133" xr:uid="{00000000-0005-0000-0000-000085330000}"/>
    <cellStyle name="Normal 74 2 2 3 4" xfId="10620" xr:uid="{00000000-0005-0000-0000-000086330000}"/>
    <cellStyle name="Normal 74 2 2 4" xfId="3990" xr:uid="{00000000-0005-0000-0000-000087330000}"/>
    <cellStyle name="Normal 74 2 2 4 2" xfId="8504" xr:uid="{00000000-0005-0000-0000-000088330000}"/>
    <cellStyle name="Normal 74 2 2 4 2 2" xfId="17545" xr:uid="{00000000-0005-0000-0000-000089330000}"/>
    <cellStyle name="Normal 74 2 2 4 3" xfId="13032" xr:uid="{00000000-0005-0000-0000-00008A330000}"/>
    <cellStyle name="Normal 74 2 2 5" xfId="4964" xr:uid="{00000000-0005-0000-0000-00008B330000}"/>
    <cellStyle name="Normal 74 2 2 5 2" xfId="14005" xr:uid="{00000000-0005-0000-0000-00008C330000}"/>
    <cellStyle name="Normal 74 2 2 6" xfId="9492" xr:uid="{00000000-0005-0000-0000-00008D330000}"/>
    <cellStyle name="Normal 74 2 3" xfId="587" xr:uid="{00000000-0005-0000-0000-00008E330000}"/>
    <cellStyle name="Normal 74 2 3 2" xfId="1151" xr:uid="{00000000-0005-0000-0000-00008F330000}"/>
    <cellStyle name="Normal 74 2 3 2 2" xfId="2321" xr:uid="{00000000-0005-0000-0000-000090330000}"/>
    <cellStyle name="Normal 74 2 3 2 2 2" xfId="3996" xr:uid="{00000000-0005-0000-0000-000091330000}"/>
    <cellStyle name="Normal 74 2 3 2 2 2 2" xfId="8510" xr:uid="{00000000-0005-0000-0000-000092330000}"/>
    <cellStyle name="Normal 74 2 3 2 2 2 2 2" xfId="17551" xr:uid="{00000000-0005-0000-0000-000093330000}"/>
    <cellStyle name="Normal 74 2 3 2 2 2 3" xfId="13038" xr:uid="{00000000-0005-0000-0000-000094330000}"/>
    <cellStyle name="Normal 74 2 3 2 2 3" xfId="6844" xr:uid="{00000000-0005-0000-0000-000095330000}"/>
    <cellStyle name="Normal 74 2 3 2 2 3 2" xfId="15885" xr:uid="{00000000-0005-0000-0000-000096330000}"/>
    <cellStyle name="Normal 74 2 3 2 2 4" xfId="11372" xr:uid="{00000000-0005-0000-0000-000097330000}"/>
    <cellStyle name="Normal 74 2 3 2 3" xfId="3995" xr:uid="{00000000-0005-0000-0000-000098330000}"/>
    <cellStyle name="Normal 74 2 3 2 3 2" xfId="8509" xr:uid="{00000000-0005-0000-0000-000099330000}"/>
    <cellStyle name="Normal 74 2 3 2 3 2 2" xfId="17550" xr:uid="{00000000-0005-0000-0000-00009A330000}"/>
    <cellStyle name="Normal 74 2 3 2 3 3" xfId="13037" xr:uid="{00000000-0005-0000-0000-00009B330000}"/>
    <cellStyle name="Normal 74 2 3 2 4" xfId="5716" xr:uid="{00000000-0005-0000-0000-00009C330000}"/>
    <cellStyle name="Normal 74 2 3 2 4 2" xfId="14757" xr:uid="{00000000-0005-0000-0000-00009D330000}"/>
    <cellStyle name="Normal 74 2 3 2 5" xfId="10244" xr:uid="{00000000-0005-0000-0000-00009E330000}"/>
    <cellStyle name="Normal 74 2 3 3" xfId="1757" xr:uid="{00000000-0005-0000-0000-00009F330000}"/>
    <cellStyle name="Normal 74 2 3 3 2" xfId="3997" xr:uid="{00000000-0005-0000-0000-0000A0330000}"/>
    <cellStyle name="Normal 74 2 3 3 2 2" xfId="8511" xr:uid="{00000000-0005-0000-0000-0000A1330000}"/>
    <cellStyle name="Normal 74 2 3 3 2 2 2" xfId="17552" xr:uid="{00000000-0005-0000-0000-0000A2330000}"/>
    <cellStyle name="Normal 74 2 3 3 2 3" xfId="13039" xr:uid="{00000000-0005-0000-0000-0000A3330000}"/>
    <cellStyle name="Normal 74 2 3 3 3" xfId="6280" xr:uid="{00000000-0005-0000-0000-0000A4330000}"/>
    <cellStyle name="Normal 74 2 3 3 3 2" xfId="15321" xr:uid="{00000000-0005-0000-0000-0000A5330000}"/>
    <cellStyle name="Normal 74 2 3 3 4" xfId="10808" xr:uid="{00000000-0005-0000-0000-0000A6330000}"/>
    <cellStyle name="Normal 74 2 3 4" xfId="3994" xr:uid="{00000000-0005-0000-0000-0000A7330000}"/>
    <cellStyle name="Normal 74 2 3 4 2" xfId="8508" xr:uid="{00000000-0005-0000-0000-0000A8330000}"/>
    <cellStyle name="Normal 74 2 3 4 2 2" xfId="17549" xr:uid="{00000000-0005-0000-0000-0000A9330000}"/>
    <cellStyle name="Normal 74 2 3 4 3" xfId="13036" xr:uid="{00000000-0005-0000-0000-0000AA330000}"/>
    <cellStyle name="Normal 74 2 3 5" xfId="5152" xr:uid="{00000000-0005-0000-0000-0000AB330000}"/>
    <cellStyle name="Normal 74 2 3 5 2" xfId="14193" xr:uid="{00000000-0005-0000-0000-0000AC330000}"/>
    <cellStyle name="Normal 74 2 3 6" xfId="9680" xr:uid="{00000000-0005-0000-0000-0000AD330000}"/>
    <cellStyle name="Normal 74 2 4" xfId="775" xr:uid="{00000000-0005-0000-0000-0000AE330000}"/>
    <cellStyle name="Normal 74 2 4 2" xfId="1945" xr:uid="{00000000-0005-0000-0000-0000AF330000}"/>
    <cellStyle name="Normal 74 2 4 2 2" xfId="3999" xr:uid="{00000000-0005-0000-0000-0000B0330000}"/>
    <cellStyle name="Normal 74 2 4 2 2 2" xfId="8513" xr:uid="{00000000-0005-0000-0000-0000B1330000}"/>
    <cellStyle name="Normal 74 2 4 2 2 2 2" xfId="17554" xr:uid="{00000000-0005-0000-0000-0000B2330000}"/>
    <cellStyle name="Normal 74 2 4 2 2 3" xfId="13041" xr:uid="{00000000-0005-0000-0000-0000B3330000}"/>
    <cellStyle name="Normal 74 2 4 2 3" xfId="6468" xr:uid="{00000000-0005-0000-0000-0000B4330000}"/>
    <cellStyle name="Normal 74 2 4 2 3 2" xfId="15509" xr:uid="{00000000-0005-0000-0000-0000B5330000}"/>
    <cellStyle name="Normal 74 2 4 2 4" xfId="10996" xr:uid="{00000000-0005-0000-0000-0000B6330000}"/>
    <cellStyle name="Normal 74 2 4 3" xfId="3998" xr:uid="{00000000-0005-0000-0000-0000B7330000}"/>
    <cellStyle name="Normal 74 2 4 3 2" xfId="8512" xr:uid="{00000000-0005-0000-0000-0000B8330000}"/>
    <cellStyle name="Normal 74 2 4 3 2 2" xfId="17553" xr:uid="{00000000-0005-0000-0000-0000B9330000}"/>
    <cellStyle name="Normal 74 2 4 3 3" xfId="13040" xr:uid="{00000000-0005-0000-0000-0000BA330000}"/>
    <cellStyle name="Normal 74 2 4 4" xfId="5340" xr:uid="{00000000-0005-0000-0000-0000BB330000}"/>
    <cellStyle name="Normal 74 2 4 4 2" xfId="14381" xr:uid="{00000000-0005-0000-0000-0000BC330000}"/>
    <cellStyle name="Normal 74 2 4 5" xfId="9868" xr:uid="{00000000-0005-0000-0000-0000BD330000}"/>
    <cellStyle name="Normal 74 2 5" xfId="1381" xr:uid="{00000000-0005-0000-0000-0000BE330000}"/>
    <cellStyle name="Normal 74 2 5 2" xfId="4000" xr:uid="{00000000-0005-0000-0000-0000BF330000}"/>
    <cellStyle name="Normal 74 2 5 2 2" xfId="8514" xr:uid="{00000000-0005-0000-0000-0000C0330000}"/>
    <cellStyle name="Normal 74 2 5 2 2 2" xfId="17555" xr:uid="{00000000-0005-0000-0000-0000C1330000}"/>
    <cellStyle name="Normal 74 2 5 2 3" xfId="13042" xr:uid="{00000000-0005-0000-0000-0000C2330000}"/>
    <cellStyle name="Normal 74 2 5 3" xfId="5904" xr:uid="{00000000-0005-0000-0000-0000C3330000}"/>
    <cellStyle name="Normal 74 2 5 3 2" xfId="14945" xr:uid="{00000000-0005-0000-0000-0000C4330000}"/>
    <cellStyle name="Normal 74 2 5 4" xfId="10432" xr:uid="{00000000-0005-0000-0000-0000C5330000}"/>
    <cellStyle name="Normal 74 2 6" xfId="3989" xr:uid="{00000000-0005-0000-0000-0000C6330000}"/>
    <cellStyle name="Normal 74 2 6 2" xfId="8503" xr:uid="{00000000-0005-0000-0000-0000C7330000}"/>
    <cellStyle name="Normal 74 2 6 2 2" xfId="17544" xr:uid="{00000000-0005-0000-0000-0000C8330000}"/>
    <cellStyle name="Normal 74 2 6 3" xfId="13031" xr:uid="{00000000-0005-0000-0000-0000C9330000}"/>
    <cellStyle name="Normal 74 2 7" xfId="4776" xr:uid="{00000000-0005-0000-0000-0000CA330000}"/>
    <cellStyle name="Normal 74 2 7 2" xfId="13817" xr:uid="{00000000-0005-0000-0000-0000CB330000}"/>
    <cellStyle name="Normal 74 2 8" xfId="9304" xr:uid="{00000000-0005-0000-0000-0000CC330000}"/>
    <cellStyle name="Normal 74 3" xfId="305" xr:uid="{00000000-0005-0000-0000-0000CD330000}"/>
    <cellStyle name="Normal 74 3 2" xfId="869" xr:uid="{00000000-0005-0000-0000-0000CE330000}"/>
    <cellStyle name="Normal 74 3 2 2" xfId="2039" xr:uid="{00000000-0005-0000-0000-0000CF330000}"/>
    <cellStyle name="Normal 74 3 2 2 2" xfId="4003" xr:uid="{00000000-0005-0000-0000-0000D0330000}"/>
    <cellStyle name="Normal 74 3 2 2 2 2" xfId="8517" xr:uid="{00000000-0005-0000-0000-0000D1330000}"/>
    <cellStyle name="Normal 74 3 2 2 2 2 2" xfId="17558" xr:uid="{00000000-0005-0000-0000-0000D2330000}"/>
    <cellStyle name="Normal 74 3 2 2 2 3" xfId="13045" xr:uid="{00000000-0005-0000-0000-0000D3330000}"/>
    <cellStyle name="Normal 74 3 2 2 3" xfId="6562" xr:uid="{00000000-0005-0000-0000-0000D4330000}"/>
    <cellStyle name="Normal 74 3 2 2 3 2" xfId="15603" xr:uid="{00000000-0005-0000-0000-0000D5330000}"/>
    <cellStyle name="Normal 74 3 2 2 4" xfId="11090" xr:uid="{00000000-0005-0000-0000-0000D6330000}"/>
    <cellStyle name="Normal 74 3 2 3" xfId="4002" xr:uid="{00000000-0005-0000-0000-0000D7330000}"/>
    <cellStyle name="Normal 74 3 2 3 2" xfId="8516" xr:uid="{00000000-0005-0000-0000-0000D8330000}"/>
    <cellStyle name="Normal 74 3 2 3 2 2" xfId="17557" xr:uid="{00000000-0005-0000-0000-0000D9330000}"/>
    <cellStyle name="Normal 74 3 2 3 3" xfId="13044" xr:uid="{00000000-0005-0000-0000-0000DA330000}"/>
    <cellStyle name="Normal 74 3 2 4" xfId="5434" xr:uid="{00000000-0005-0000-0000-0000DB330000}"/>
    <cellStyle name="Normal 74 3 2 4 2" xfId="14475" xr:uid="{00000000-0005-0000-0000-0000DC330000}"/>
    <cellStyle name="Normal 74 3 2 5" xfId="9962" xr:uid="{00000000-0005-0000-0000-0000DD330000}"/>
    <cellStyle name="Normal 74 3 3" xfId="1475" xr:uid="{00000000-0005-0000-0000-0000DE330000}"/>
    <cellStyle name="Normal 74 3 3 2" xfId="4004" xr:uid="{00000000-0005-0000-0000-0000DF330000}"/>
    <cellStyle name="Normal 74 3 3 2 2" xfId="8518" xr:uid="{00000000-0005-0000-0000-0000E0330000}"/>
    <cellStyle name="Normal 74 3 3 2 2 2" xfId="17559" xr:uid="{00000000-0005-0000-0000-0000E1330000}"/>
    <cellStyle name="Normal 74 3 3 2 3" xfId="13046" xr:uid="{00000000-0005-0000-0000-0000E2330000}"/>
    <cellStyle name="Normal 74 3 3 3" xfId="5998" xr:uid="{00000000-0005-0000-0000-0000E3330000}"/>
    <cellStyle name="Normal 74 3 3 3 2" xfId="15039" xr:uid="{00000000-0005-0000-0000-0000E4330000}"/>
    <cellStyle name="Normal 74 3 3 4" xfId="10526" xr:uid="{00000000-0005-0000-0000-0000E5330000}"/>
    <cellStyle name="Normal 74 3 4" xfId="4001" xr:uid="{00000000-0005-0000-0000-0000E6330000}"/>
    <cellStyle name="Normal 74 3 4 2" xfId="8515" xr:uid="{00000000-0005-0000-0000-0000E7330000}"/>
    <cellStyle name="Normal 74 3 4 2 2" xfId="17556" xr:uid="{00000000-0005-0000-0000-0000E8330000}"/>
    <cellStyle name="Normal 74 3 4 3" xfId="13043" xr:uid="{00000000-0005-0000-0000-0000E9330000}"/>
    <cellStyle name="Normal 74 3 5" xfId="4870" xr:uid="{00000000-0005-0000-0000-0000EA330000}"/>
    <cellStyle name="Normal 74 3 5 2" xfId="13911" xr:uid="{00000000-0005-0000-0000-0000EB330000}"/>
    <cellStyle name="Normal 74 3 6" xfId="9398" xr:uid="{00000000-0005-0000-0000-0000EC330000}"/>
    <cellStyle name="Normal 74 4" xfId="493" xr:uid="{00000000-0005-0000-0000-0000ED330000}"/>
    <cellStyle name="Normal 74 4 2" xfId="1057" xr:uid="{00000000-0005-0000-0000-0000EE330000}"/>
    <cellStyle name="Normal 74 4 2 2" xfId="2227" xr:uid="{00000000-0005-0000-0000-0000EF330000}"/>
    <cellStyle name="Normal 74 4 2 2 2" xfId="4007" xr:uid="{00000000-0005-0000-0000-0000F0330000}"/>
    <cellStyle name="Normal 74 4 2 2 2 2" xfId="8521" xr:uid="{00000000-0005-0000-0000-0000F1330000}"/>
    <cellStyle name="Normal 74 4 2 2 2 2 2" xfId="17562" xr:uid="{00000000-0005-0000-0000-0000F2330000}"/>
    <cellStyle name="Normal 74 4 2 2 2 3" xfId="13049" xr:uid="{00000000-0005-0000-0000-0000F3330000}"/>
    <cellStyle name="Normal 74 4 2 2 3" xfId="6750" xr:uid="{00000000-0005-0000-0000-0000F4330000}"/>
    <cellStyle name="Normal 74 4 2 2 3 2" xfId="15791" xr:uid="{00000000-0005-0000-0000-0000F5330000}"/>
    <cellStyle name="Normal 74 4 2 2 4" xfId="11278" xr:uid="{00000000-0005-0000-0000-0000F6330000}"/>
    <cellStyle name="Normal 74 4 2 3" xfId="4006" xr:uid="{00000000-0005-0000-0000-0000F7330000}"/>
    <cellStyle name="Normal 74 4 2 3 2" xfId="8520" xr:uid="{00000000-0005-0000-0000-0000F8330000}"/>
    <cellStyle name="Normal 74 4 2 3 2 2" xfId="17561" xr:uid="{00000000-0005-0000-0000-0000F9330000}"/>
    <cellStyle name="Normal 74 4 2 3 3" xfId="13048" xr:uid="{00000000-0005-0000-0000-0000FA330000}"/>
    <cellStyle name="Normal 74 4 2 4" xfId="5622" xr:uid="{00000000-0005-0000-0000-0000FB330000}"/>
    <cellStyle name="Normal 74 4 2 4 2" xfId="14663" xr:uid="{00000000-0005-0000-0000-0000FC330000}"/>
    <cellStyle name="Normal 74 4 2 5" xfId="10150" xr:uid="{00000000-0005-0000-0000-0000FD330000}"/>
    <cellStyle name="Normal 74 4 3" xfId="1663" xr:uid="{00000000-0005-0000-0000-0000FE330000}"/>
    <cellStyle name="Normal 74 4 3 2" xfId="4008" xr:uid="{00000000-0005-0000-0000-0000FF330000}"/>
    <cellStyle name="Normal 74 4 3 2 2" xfId="8522" xr:uid="{00000000-0005-0000-0000-000000340000}"/>
    <cellStyle name="Normal 74 4 3 2 2 2" xfId="17563" xr:uid="{00000000-0005-0000-0000-000001340000}"/>
    <cellStyle name="Normal 74 4 3 2 3" xfId="13050" xr:uid="{00000000-0005-0000-0000-000002340000}"/>
    <cellStyle name="Normal 74 4 3 3" xfId="6186" xr:uid="{00000000-0005-0000-0000-000003340000}"/>
    <cellStyle name="Normal 74 4 3 3 2" xfId="15227" xr:uid="{00000000-0005-0000-0000-000004340000}"/>
    <cellStyle name="Normal 74 4 3 4" xfId="10714" xr:uid="{00000000-0005-0000-0000-000005340000}"/>
    <cellStyle name="Normal 74 4 4" xfId="4005" xr:uid="{00000000-0005-0000-0000-000006340000}"/>
    <cellStyle name="Normal 74 4 4 2" xfId="8519" xr:uid="{00000000-0005-0000-0000-000007340000}"/>
    <cellStyle name="Normal 74 4 4 2 2" xfId="17560" xr:uid="{00000000-0005-0000-0000-000008340000}"/>
    <cellStyle name="Normal 74 4 4 3" xfId="13047" xr:uid="{00000000-0005-0000-0000-000009340000}"/>
    <cellStyle name="Normal 74 4 5" xfId="5058" xr:uid="{00000000-0005-0000-0000-00000A340000}"/>
    <cellStyle name="Normal 74 4 5 2" xfId="14099" xr:uid="{00000000-0005-0000-0000-00000B340000}"/>
    <cellStyle name="Normal 74 4 6" xfId="9586" xr:uid="{00000000-0005-0000-0000-00000C340000}"/>
    <cellStyle name="Normal 74 5" xfId="681" xr:uid="{00000000-0005-0000-0000-00000D340000}"/>
    <cellStyle name="Normal 74 5 2" xfId="1851" xr:uid="{00000000-0005-0000-0000-00000E340000}"/>
    <cellStyle name="Normal 74 5 2 2" xfId="4010" xr:uid="{00000000-0005-0000-0000-00000F340000}"/>
    <cellStyle name="Normal 74 5 2 2 2" xfId="8524" xr:uid="{00000000-0005-0000-0000-000010340000}"/>
    <cellStyle name="Normal 74 5 2 2 2 2" xfId="17565" xr:uid="{00000000-0005-0000-0000-000011340000}"/>
    <cellStyle name="Normal 74 5 2 2 3" xfId="13052" xr:uid="{00000000-0005-0000-0000-000012340000}"/>
    <cellStyle name="Normal 74 5 2 3" xfId="6374" xr:uid="{00000000-0005-0000-0000-000013340000}"/>
    <cellStyle name="Normal 74 5 2 3 2" xfId="15415" xr:uid="{00000000-0005-0000-0000-000014340000}"/>
    <cellStyle name="Normal 74 5 2 4" xfId="10902" xr:uid="{00000000-0005-0000-0000-000015340000}"/>
    <cellStyle name="Normal 74 5 3" xfId="4009" xr:uid="{00000000-0005-0000-0000-000016340000}"/>
    <cellStyle name="Normal 74 5 3 2" xfId="8523" xr:uid="{00000000-0005-0000-0000-000017340000}"/>
    <cellStyle name="Normal 74 5 3 2 2" xfId="17564" xr:uid="{00000000-0005-0000-0000-000018340000}"/>
    <cellStyle name="Normal 74 5 3 3" xfId="13051" xr:uid="{00000000-0005-0000-0000-000019340000}"/>
    <cellStyle name="Normal 74 5 4" xfId="5246" xr:uid="{00000000-0005-0000-0000-00001A340000}"/>
    <cellStyle name="Normal 74 5 4 2" xfId="14287" xr:uid="{00000000-0005-0000-0000-00001B340000}"/>
    <cellStyle name="Normal 74 5 5" xfId="9774" xr:uid="{00000000-0005-0000-0000-00001C340000}"/>
    <cellStyle name="Normal 74 6" xfId="1287" xr:uid="{00000000-0005-0000-0000-00001D340000}"/>
    <cellStyle name="Normal 74 6 2" xfId="4011" xr:uid="{00000000-0005-0000-0000-00001E340000}"/>
    <cellStyle name="Normal 74 6 2 2" xfId="8525" xr:uid="{00000000-0005-0000-0000-00001F340000}"/>
    <cellStyle name="Normal 74 6 2 2 2" xfId="17566" xr:uid="{00000000-0005-0000-0000-000020340000}"/>
    <cellStyle name="Normal 74 6 2 3" xfId="13053" xr:uid="{00000000-0005-0000-0000-000021340000}"/>
    <cellStyle name="Normal 74 6 3" xfId="5810" xr:uid="{00000000-0005-0000-0000-000022340000}"/>
    <cellStyle name="Normal 74 6 3 2" xfId="14851" xr:uid="{00000000-0005-0000-0000-000023340000}"/>
    <cellStyle name="Normal 74 6 4" xfId="10338" xr:uid="{00000000-0005-0000-0000-000024340000}"/>
    <cellStyle name="Normal 74 7" xfId="3988" xr:uid="{00000000-0005-0000-0000-000025340000}"/>
    <cellStyle name="Normal 74 7 2" xfId="8502" xr:uid="{00000000-0005-0000-0000-000026340000}"/>
    <cellStyle name="Normal 74 7 2 2" xfId="17543" xr:uid="{00000000-0005-0000-0000-000027340000}"/>
    <cellStyle name="Normal 74 7 3" xfId="13030" xr:uid="{00000000-0005-0000-0000-000028340000}"/>
    <cellStyle name="Normal 74 8" xfId="4682" xr:uid="{00000000-0005-0000-0000-000029340000}"/>
    <cellStyle name="Normal 74 8 2" xfId="13723" xr:uid="{00000000-0005-0000-0000-00002A340000}"/>
    <cellStyle name="Normal 74 9" xfId="9210" xr:uid="{00000000-0005-0000-0000-00002B340000}"/>
    <cellStyle name="Normal 75" xfId="75" xr:uid="{00000000-0005-0000-0000-00002C340000}"/>
    <cellStyle name="Normal 75 2" xfId="171" xr:uid="{00000000-0005-0000-0000-00002D340000}"/>
    <cellStyle name="Normal 75 2 2" xfId="400" xr:uid="{00000000-0005-0000-0000-00002E340000}"/>
    <cellStyle name="Normal 75 2 2 2" xfId="964" xr:uid="{00000000-0005-0000-0000-00002F340000}"/>
    <cellStyle name="Normal 75 2 2 2 2" xfId="2134" xr:uid="{00000000-0005-0000-0000-000030340000}"/>
    <cellStyle name="Normal 75 2 2 2 2 2" xfId="4016" xr:uid="{00000000-0005-0000-0000-000031340000}"/>
    <cellStyle name="Normal 75 2 2 2 2 2 2" xfId="8530" xr:uid="{00000000-0005-0000-0000-000032340000}"/>
    <cellStyle name="Normal 75 2 2 2 2 2 2 2" xfId="17571" xr:uid="{00000000-0005-0000-0000-000033340000}"/>
    <cellStyle name="Normal 75 2 2 2 2 2 3" xfId="13058" xr:uid="{00000000-0005-0000-0000-000034340000}"/>
    <cellStyle name="Normal 75 2 2 2 2 3" xfId="6657" xr:uid="{00000000-0005-0000-0000-000035340000}"/>
    <cellStyle name="Normal 75 2 2 2 2 3 2" xfId="15698" xr:uid="{00000000-0005-0000-0000-000036340000}"/>
    <cellStyle name="Normal 75 2 2 2 2 4" xfId="11185" xr:uid="{00000000-0005-0000-0000-000037340000}"/>
    <cellStyle name="Normal 75 2 2 2 3" xfId="4015" xr:uid="{00000000-0005-0000-0000-000038340000}"/>
    <cellStyle name="Normal 75 2 2 2 3 2" xfId="8529" xr:uid="{00000000-0005-0000-0000-000039340000}"/>
    <cellStyle name="Normal 75 2 2 2 3 2 2" xfId="17570" xr:uid="{00000000-0005-0000-0000-00003A340000}"/>
    <cellStyle name="Normal 75 2 2 2 3 3" xfId="13057" xr:uid="{00000000-0005-0000-0000-00003B340000}"/>
    <cellStyle name="Normal 75 2 2 2 4" xfId="5529" xr:uid="{00000000-0005-0000-0000-00003C340000}"/>
    <cellStyle name="Normal 75 2 2 2 4 2" xfId="14570" xr:uid="{00000000-0005-0000-0000-00003D340000}"/>
    <cellStyle name="Normal 75 2 2 2 5" xfId="10057" xr:uid="{00000000-0005-0000-0000-00003E340000}"/>
    <cellStyle name="Normal 75 2 2 3" xfId="1570" xr:uid="{00000000-0005-0000-0000-00003F340000}"/>
    <cellStyle name="Normal 75 2 2 3 2" xfId="4017" xr:uid="{00000000-0005-0000-0000-000040340000}"/>
    <cellStyle name="Normal 75 2 2 3 2 2" xfId="8531" xr:uid="{00000000-0005-0000-0000-000041340000}"/>
    <cellStyle name="Normal 75 2 2 3 2 2 2" xfId="17572" xr:uid="{00000000-0005-0000-0000-000042340000}"/>
    <cellStyle name="Normal 75 2 2 3 2 3" xfId="13059" xr:uid="{00000000-0005-0000-0000-000043340000}"/>
    <cellStyle name="Normal 75 2 2 3 3" xfId="6093" xr:uid="{00000000-0005-0000-0000-000044340000}"/>
    <cellStyle name="Normal 75 2 2 3 3 2" xfId="15134" xr:uid="{00000000-0005-0000-0000-000045340000}"/>
    <cellStyle name="Normal 75 2 2 3 4" xfId="10621" xr:uid="{00000000-0005-0000-0000-000046340000}"/>
    <cellStyle name="Normal 75 2 2 4" xfId="4014" xr:uid="{00000000-0005-0000-0000-000047340000}"/>
    <cellStyle name="Normal 75 2 2 4 2" xfId="8528" xr:uid="{00000000-0005-0000-0000-000048340000}"/>
    <cellStyle name="Normal 75 2 2 4 2 2" xfId="17569" xr:uid="{00000000-0005-0000-0000-000049340000}"/>
    <cellStyle name="Normal 75 2 2 4 3" xfId="13056" xr:uid="{00000000-0005-0000-0000-00004A340000}"/>
    <cellStyle name="Normal 75 2 2 5" xfId="4965" xr:uid="{00000000-0005-0000-0000-00004B340000}"/>
    <cellStyle name="Normal 75 2 2 5 2" xfId="14006" xr:uid="{00000000-0005-0000-0000-00004C340000}"/>
    <cellStyle name="Normal 75 2 2 6" xfId="9493" xr:uid="{00000000-0005-0000-0000-00004D340000}"/>
    <cellStyle name="Normal 75 2 3" xfId="588" xr:uid="{00000000-0005-0000-0000-00004E340000}"/>
    <cellStyle name="Normal 75 2 3 2" xfId="1152" xr:uid="{00000000-0005-0000-0000-00004F340000}"/>
    <cellStyle name="Normal 75 2 3 2 2" xfId="2322" xr:uid="{00000000-0005-0000-0000-000050340000}"/>
    <cellStyle name="Normal 75 2 3 2 2 2" xfId="4020" xr:uid="{00000000-0005-0000-0000-000051340000}"/>
    <cellStyle name="Normal 75 2 3 2 2 2 2" xfId="8534" xr:uid="{00000000-0005-0000-0000-000052340000}"/>
    <cellStyle name="Normal 75 2 3 2 2 2 2 2" xfId="17575" xr:uid="{00000000-0005-0000-0000-000053340000}"/>
    <cellStyle name="Normal 75 2 3 2 2 2 3" xfId="13062" xr:uid="{00000000-0005-0000-0000-000054340000}"/>
    <cellStyle name="Normal 75 2 3 2 2 3" xfId="6845" xr:uid="{00000000-0005-0000-0000-000055340000}"/>
    <cellStyle name="Normal 75 2 3 2 2 3 2" xfId="15886" xr:uid="{00000000-0005-0000-0000-000056340000}"/>
    <cellStyle name="Normal 75 2 3 2 2 4" xfId="11373" xr:uid="{00000000-0005-0000-0000-000057340000}"/>
    <cellStyle name="Normal 75 2 3 2 3" xfId="4019" xr:uid="{00000000-0005-0000-0000-000058340000}"/>
    <cellStyle name="Normal 75 2 3 2 3 2" xfId="8533" xr:uid="{00000000-0005-0000-0000-000059340000}"/>
    <cellStyle name="Normal 75 2 3 2 3 2 2" xfId="17574" xr:uid="{00000000-0005-0000-0000-00005A340000}"/>
    <cellStyle name="Normal 75 2 3 2 3 3" xfId="13061" xr:uid="{00000000-0005-0000-0000-00005B340000}"/>
    <cellStyle name="Normal 75 2 3 2 4" xfId="5717" xr:uid="{00000000-0005-0000-0000-00005C340000}"/>
    <cellStyle name="Normal 75 2 3 2 4 2" xfId="14758" xr:uid="{00000000-0005-0000-0000-00005D340000}"/>
    <cellStyle name="Normal 75 2 3 2 5" xfId="10245" xr:uid="{00000000-0005-0000-0000-00005E340000}"/>
    <cellStyle name="Normal 75 2 3 3" xfId="1758" xr:uid="{00000000-0005-0000-0000-00005F340000}"/>
    <cellStyle name="Normal 75 2 3 3 2" xfId="4021" xr:uid="{00000000-0005-0000-0000-000060340000}"/>
    <cellStyle name="Normal 75 2 3 3 2 2" xfId="8535" xr:uid="{00000000-0005-0000-0000-000061340000}"/>
    <cellStyle name="Normal 75 2 3 3 2 2 2" xfId="17576" xr:uid="{00000000-0005-0000-0000-000062340000}"/>
    <cellStyle name="Normal 75 2 3 3 2 3" xfId="13063" xr:uid="{00000000-0005-0000-0000-000063340000}"/>
    <cellStyle name="Normal 75 2 3 3 3" xfId="6281" xr:uid="{00000000-0005-0000-0000-000064340000}"/>
    <cellStyle name="Normal 75 2 3 3 3 2" xfId="15322" xr:uid="{00000000-0005-0000-0000-000065340000}"/>
    <cellStyle name="Normal 75 2 3 3 4" xfId="10809" xr:uid="{00000000-0005-0000-0000-000066340000}"/>
    <cellStyle name="Normal 75 2 3 4" xfId="4018" xr:uid="{00000000-0005-0000-0000-000067340000}"/>
    <cellStyle name="Normal 75 2 3 4 2" xfId="8532" xr:uid="{00000000-0005-0000-0000-000068340000}"/>
    <cellStyle name="Normal 75 2 3 4 2 2" xfId="17573" xr:uid="{00000000-0005-0000-0000-000069340000}"/>
    <cellStyle name="Normal 75 2 3 4 3" xfId="13060" xr:uid="{00000000-0005-0000-0000-00006A340000}"/>
    <cellStyle name="Normal 75 2 3 5" xfId="5153" xr:uid="{00000000-0005-0000-0000-00006B340000}"/>
    <cellStyle name="Normal 75 2 3 5 2" xfId="14194" xr:uid="{00000000-0005-0000-0000-00006C340000}"/>
    <cellStyle name="Normal 75 2 3 6" xfId="9681" xr:uid="{00000000-0005-0000-0000-00006D340000}"/>
    <cellStyle name="Normal 75 2 4" xfId="776" xr:uid="{00000000-0005-0000-0000-00006E340000}"/>
    <cellStyle name="Normal 75 2 4 2" xfId="1946" xr:uid="{00000000-0005-0000-0000-00006F340000}"/>
    <cellStyle name="Normal 75 2 4 2 2" xfId="4023" xr:uid="{00000000-0005-0000-0000-000070340000}"/>
    <cellStyle name="Normal 75 2 4 2 2 2" xfId="8537" xr:uid="{00000000-0005-0000-0000-000071340000}"/>
    <cellStyle name="Normal 75 2 4 2 2 2 2" xfId="17578" xr:uid="{00000000-0005-0000-0000-000072340000}"/>
    <cellStyle name="Normal 75 2 4 2 2 3" xfId="13065" xr:uid="{00000000-0005-0000-0000-000073340000}"/>
    <cellStyle name="Normal 75 2 4 2 3" xfId="6469" xr:uid="{00000000-0005-0000-0000-000074340000}"/>
    <cellStyle name="Normal 75 2 4 2 3 2" xfId="15510" xr:uid="{00000000-0005-0000-0000-000075340000}"/>
    <cellStyle name="Normal 75 2 4 2 4" xfId="10997" xr:uid="{00000000-0005-0000-0000-000076340000}"/>
    <cellStyle name="Normal 75 2 4 3" xfId="4022" xr:uid="{00000000-0005-0000-0000-000077340000}"/>
    <cellStyle name="Normal 75 2 4 3 2" xfId="8536" xr:uid="{00000000-0005-0000-0000-000078340000}"/>
    <cellStyle name="Normal 75 2 4 3 2 2" xfId="17577" xr:uid="{00000000-0005-0000-0000-000079340000}"/>
    <cellStyle name="Normal 75 2 4 3 3" xfId="13064" xr:uid="{00000000-0005-0000-0000-00007A340000}"/>
    <cellStyle name="Normal 75 2 4 4" xfId="5341" xr:uid="{00000000-0005-0000-0000-00007B340000}"/>
    <cellStyle name="Normal 75 2 4 4 2" xfId="14382" xr:uid="{00000000-0005-0000-0000-00007C340000}"/>
    <cellStyle name="Normal 75 2 4 5" xfId="9869" xr:uid="{00000000-0005-0000-0000-00007D340000}"/>
    <cellStyle name="Normal 75 2 5" xfId="1382" xr:uid="{00000000-0005-0000-0000-00007E340000}"/>
    <cellStyle name="Normal 75 2 5 2" xfId="4024" xr:uid="{00000000-0005-0000-0000-00007F340000}"/>
    <cellStyle name="Normal 75 2 5 2 2" xfId="8538" xr:uid="{00000000-0005-0000-0000-000080340000}"/>
    <cellStyle name="Normal 75 2 5 2 2 2" xfId="17579" xr:uid="{00000000-0005-0000-0000-000081340000}"/>
    <cellStyle name="Normal 75 2 5 2 3" xfId="13066" xr:uid="{00000000-0005-0000-0000-000082340000}"/>
    <cellStyle name="Normal 75 2 5 3" xfId="5905" xr:uid="{00000000-0005-0000-0000-000083340000}"/>
    <cellStyle name="Normal 75 2 5 3 2" xfId="14946" xr:uid="{00000000-0005-0000-0000-000084340000}"/>
    <cellStyle name="Normal 75 2 5 4" xfId="10433" xr:uid="{00000000-0005-0000-0000-000085340000}"/>
    <cellStyle name="Normal 75 2 6" xfId="4013" xr:uid="{00000000-0005-0000-0000-000086340000}"/>
    <cellStyle name="Normal 75 2 6 2" xfId="8527" xr:uid="{00000000-0005-0000-0000-000087340000}"/>
    <cellStyle name="Normal 75 2 6 2 2" xfId="17568" xr:uid="{00000000-0005-0000-0000-000088340000}"/>
    <cellStyle name="Normal 75 2 6 3" xfId="13055" xr:uid="{00000000-0005-0000-0000-000089340000}"/>
    <cellStyle name="Normal 75 2 7" xfId="4777" xr:uid="{00000000-0005-0000-0000-00008A340000}"/>
    <cellStyle name="Normal 75 2 7 2" xfId="13818" xr:uid="{00000000-0005-0000-0000-00008B340000}"/>
    <cellStyle name="Normal 75 2 8" xfId="9305" xr:uid="{00000000-0005-0000-0000-00008C340000}"/>
    <cellStyle name="Normal 75 3" xfId="306" xr:uid="{00000000-0005-0000-0000-00008D340000}"/>
    <cellStyle name="Normal 75 3 2" xfId="870" xr:uid="{00000000-0005-0000-0000-00008E340000}"/>
    <cellStyle name="Normal 75 3 2 2" xfId="2040" xr:uid="{00000000-0005-0000-0000-00008F340000}"/>
    <cellStyle name="Normal 75 3 2 2 2" xfId="4027" xr:uid="{00000000-0005-0000-0000-000090340000}"/>
    <cellStyle name="Normal 75 3 2 2 2 2" xfId="8541" xr:uid="{00000000-0005-0000-0000-000091340000}"/>
    <cellStyle name="Normal 75 3 2 2 2 2 2" xfId="17582" xr:uid="{00000000-0005-0000-0000-000092340000}"/>
    <cellStyle name="Normal 75 3 2 2 2 3" xfId="13069" xr:uid="{00000000-0005-0000-0000-000093340000}"/>
    <cellStyle name="Normal 75 3 2 2 3" xfId="6563" xr:uid="{00000000-0005-0000-0000-000094340000}"/>
    <cellStyle name="Normal 75 3 2 2 3 2" xfId="15604" xr:uid="{00000000-0005-0000-0000-000095340000}"/>
    <cellStyle name="Normal 75 3 2 2 4" xfId="11091" xr:uid="{00000000-0005-0000-0000-000096340000}"/>
    <cellStyle name="Normal 75 3 2 3" xfId="4026" xr:uid="{00000000-0005-0000-0000-000097340000}"/>
    <cellStyle name="Normal 75 3 2 3 2" xfId="8540" xr:uid="{00000000-0005-0000-0000-000098340000}"/>
    <cellStyle name="Normal 75 3 2 3 2 2" xfId="17581" xr:uid="{00000000-0005-0000-0000-000099340000}"/>
    <cellStyle name="Normal 75 3 2 3 3" xfId="13068" xr:uid="{00000000-0005-0000-0000-00009A340000}"/>
    <cellStyle name="Normal 75 3 2 4" xfId="5435" xr:uid="{00000000-0005-0000-0000-00009B340000}"/>
    <cellStyle name="Normal 75 3 2 4 2" xfId="14476" xr:uid="{00000000-0005-0000-0000-00009C340000}"/>
    <cellStyle name="Normal 75 3 2 5" xfId="9963" xr:uid="{00000000-0005-0000-0000-00009D340000}"/>
    <cellStyle name="Normal 75 3 3" xfId="1476" xr:uid="{00000000-0005-0000-0000-00009E340000}"/>
    <cellStyle name="Normal 75 3 3 2" xfId="4028" xr:uid="{00000000-0005-0000-0000-00009F340000}"/>
    <cellStyle name="Normal 75 3 3 2 2" xfId="8542" xr:uid="{00000000-0005-0000-0000-0000A0340000}"/>
    <cellStyle name="Normal 75 3 3 2 2 2" xfId="17583" xr:uid="{00000000-0005-0000-0000-0000A1340000}"/>
    <cellStyle name="Normal 75 3 3 2 3" xfId="13070" xr:uid="{00000000-0005-0000-0000-0000A2340000}"/>
    <cellStyle name="Normal 75 3 3 3" xfId="5999" xr:uid="{00000000-0005-0000-0000-0000A3340000}"/>
    <cellStyle name="Normal 75 3 3 3 2" xfId="15040" xr:uid="{00000000-0005-0000-0000-0000A4340000}"/>
    <cellStyle name="Normal 75 3 3 4" xfId="10527" xr:uid="{00000000-0005-0000-0000-0000A5340000}"/>
    <cellStyle name="Normal 75 3 4" xfId="4025" xr:uid="{00000000-0005-0000-0000-0000A6340000}"/>
    <cellStyle name="Normal 75 3 4 2" xfId="8539" xr:uid="{00000000-0005-0000-0000-0000A7340000}"/>
    <cellStyle name="Normal 75 3 4 2 2" xfId="17580" xr:uid="{00000000-0005-0000-0000-0000A8340000}"/>
    <cellStyle name="Normal 75 3 4 3" xfId="13067" xr:uid="{00000000-0005-0000-0000-0000A9340000}"/>
    <cellStyle name="Normal 75 3 5" xfId="4871" xr:uid="{00000000-0005-0000-0000-0000AA340000}"/>
    <cellStyle name="Normal 75 3 5 2" xfId="13912" xr:uid="{00000000-0005-0000-0000-0000AB340000}"/>
    <cellStyle name="Normal 75 3 6" xfId="9399" xr:uid="{00000000-0005-0000-0000-0000AC340000}"/>
    <cellStyle name="Normal 75 4" xfId="494" xr:uid="{00000000-0005-0000-0000-0000AD340000}"/>
    <cellStyle name="Normal 75 4 2" xfId="1058" xr:uid="{00000000-0005-0000-0000-0000AE340000}"/>
    <cellStyle name="Normal 75 4 2 2" xfId="2228" xr:uid="{00000000-0005-0000-0000-0000AF340000}"/>
    <cellStyle name="Normal 75 4 2 2 2" xfId="4031" xr:uid="{00000000-0005-0000-0000-0000B0340000}"/>
    <cellStyle name="Normal 75 4 2 2 2 2" xfId="8545" xr:uid="{00000000-0005-0000-0000-0000B1340000}"/>
    <cellStyle name="Normal 75 4 2 2 2 2 2" xfId="17586" xr:uid="{00000000-0005-0000-0000-0000B2340000}"/>
    <cellStyle name="Normal 75 4 2 2 2 3" xfId="13073" xr:uid="{00000000-0005-0000-0000-0000B3340000}"/>
    <cellStyle name="Normal 75 4 2 2 3" xfId="6751" xr:uid="{00000000-0005-0000-0000-0000B4340000}"/>
    <cellStyle name="Normal 75 4 2 2 3 2" xfId="15792" xr:uid="{00000000-0005-0000-0000-0000B5340000}"/>
    <cellStyle name="Normal 75 4 2 2 4" xfId="11279" xr:uid="{00000000-0005-0000-0000-0000B6340000}"/>
    <cellStyle name="Normal 75 4 2 3" xfId="4030" xr:uid="{00000000-0005-0000-0000-0000B7340000}"/>
    <cellStyle name="Normal 75 4 2 3 2" xfId="8544" xr:uid="{00000000-0005-0000-0000-0000B8340000}"/>
    <cellStyle name="Normal 75 4 2 3 2 2" xfId="17585" xr:uid="{00000000-0005-0000-0000-0000B9340000}"/>
    <cellStyle name="Normal 75 4 2 3 3" xfId="13072" xr:uid="{00000000-0005-0000-0000-0000BA340000}"/>
    <cellStyle name="Normal 75 4 2 4" xfId="5623" xr:uid="{00000000-0005-0000-0000-0000BB340000}"/>
    <cellStyle name="Normal 75 4 2 4 2" xfId="14664" xr:uid="{00000000-0005-0000-0000-0000BC340000}"/>
    <cellStyle name="Normal 75 4 2 5" xfId="10151" xr:uid="{00000000-0005-0000-0000-0000BD340000}"/>
    <cellStyle name="Normal 75 4 3" xfId="1664" xr:uid="{00000000-0005-0000-0000-0000BE340000}"/>
    <cellStyle name="Normal 75 4 3 2" xfId="4032" xr:uid="{00000000-0005-0000-0000-0000BF340000}"/>
    <cellStyle name="Normal 75 4 3 2 2" xfId="8546" xr:uid="{00000000-0005-0000-0000-0000C0340000}"/>
    <cellStyle name="Normal 75 4 3 2 2 2" xfId="17587" xr:uid="{00000000-0005-0000-0000-0000C1340000}"/>
    <cellStyle name="Normal 75 4 3 2 3" xfId="13074" xr:uid="{00000000-0005-0000-0000-0000C2340000}"/>
    <cellStyle name="Normal 75 4 3 3" xfId="6187" xr:uid="{00000000-0005-0000-0000-0000C3340000}"/>
    <cellStyle name="Normal 75 4 3 3 2" xfId="15228" xr:uid="{00000000-0005-0000-0000-0000C4340000}"/>
    <cellStyle name="Normal 75 4 3 4" xfId="10715" xr:uid="{00000000-0005-0000-0000-0000C5340000}"/>
    <cellStyle name="Normal 75 4 4" xfId="4029" xr:uid="{00000000-0005-0000-0000-0000C6340000}"/>
    <cellStyle name="Normal 75 4 4 2" xfId="8543" xr:uid="{00000000-0005-0000-0000-0000C7340000}"/>
    <cellStyle name="Normal 75 4 4 2 2" xfId="17584" xr:uid="{00000000-0005-0000-0000-0000C8340000}"/>
    <cellStyle name="Normal 75 4 4 3" xfId="13071" xr:uid="{00000000-0005-0000-0000-0000C9340000}"/>
    <cellStyle name="Normal 75 4 5" xfId="5059" xr:uid="{00000000-0005-0000-0000-0000CA340000}"/>
    <cellStyle name="Normal 75 4 5 2" xfId="14100" xr:uid="{00000000-0005-0000-0000-0000CB340000}"/>
    <cellStyle name="Normal 75 4 6" xfId="9587" xr:uid="{00000000-0005-0000-0000-0000CC340000}"/>
    <cellStyle name="Normal 75 5" xfId="682" xr:uid="{00000000-0005-0000-0000-0000CD340000}"/>
    <cellStyle name="Normal 75 5 2" xfId="1852" xr:uid="{00000000-0005-0000-0000-0000CE340000}"/>
    <cellStyle name="Normal 75 5 2 2" xfId="4034" xr:uid="{00000000-0005-0000-0000-0000CF340000}"/>
    <cellStyle name="Normal 75 5 2 2 2" xfId="8548" xr:uid="{00000000-0005-0000-0000-0000D0340000}"/>
    <cellStyle name="Normal 75 5 2 2 2 2" xfId="17589" xr:uid="{00000000-0005-0000-0000-0000D1340000}"/>
    <cellStyle name="Normal 75 5 2 2 3" xfId="13076" xr:uid="{00000000-0005-0000-0000-0000D2340000}"/>
    <cellStyle name="Normal 75 5 2 3" xfId="6375" xr:uid="{00000000-0005-0000-0000-0000D3340000}"/>
    <cellStyle name="Normal 75 5 2 3 2" xfId="15416" xr:uid="{00000000-0005-0000-0000-0000D4340000}"/>
    <cellStyle name="Normal 75 5 2 4" xfId="10903" xr:uid="{00000000-0005-0000-0000-0000D5340000}"/>
    <cellStyle name="Normal 75 5 3" xfId="4033" xr:uid="{00000000-0005-0000-0000-0000D6340000}"/>
    <cellStyle name="Normal 75 5 3 2" xfId="8547" xr:uid="{00000000-0005-0000-0000-0000D7340000}"/>
    <cellStyle name="Normal 75 5 3 2 2" xfId="17588" xr:uid="{00000000-0005-0000-0000-0000D8340000}"/>
    <cellStyle name="Normal 75 5 3 3" xfId="13075" xr:uid="{00000000-0005-0000-0000-0000D9340000}"/>
    <cellStyle name="Normal 75 5 4" xfId="5247" xr:uid="{00000000-0005-0000-0000-0000DA340000}"/>
    <cellStyle name="Normal 75 5 4 2" xfId="14288" xr:uid="{00000000-0005-0000-0000-0000DB340000}"/>
    <cellStyle name="Normal 75 5 5" xfId="9775" xr:uid="{00000000-0005-0000-0000-0000DC340000}"/>
    <cellStyle name="Normal 75 6" xfId="1288" xr:uid="{00000000-0005-0000-0000-0000DD340000}"/>
    <cellStyle name="Normal 75 6 2" xfId="4035" xr:uid="{00000000-0005-0000-0000-0000DE340000}"/>
    <cellStyle name="Normal 75 6 2 2" xfId="8549" xr:uid="{00000000-0005-0000-0000-0000DF340000}"/>
    <cellStyle name="Normal 75 6 2 2 2" xfId="17590" xr:uid="{00000000-0005-0000-0000-0000E0340000}"/>
    <cellStyle name="Normal 75 6 2 3" xfId="13077" xr:uid="{00000000-0005-0000-0000-0000E1340000}"/>
    <cellStyle name="Normal 75 6 3" xfId="5811" xr:uid="{00000000-0005-0000-0000-0000E2340000}"/>
    <cellStyle name="Normal 75 6 3 2" xfId="14852" xr:uid="{00000000-0005-0000-0000-0000E3340000}"/>
    <cellStyle name="Normal 75 6 4" xfId="10339" xr:uid="{00000000-0005-0000-0000-0000E4340000}"/>
    <cellStyle name="Normal 75 7" xfId="4012" xr:uid="{00000000-0005-0000-0000-0000E5340000}"/>
    <cellStyle name="Normal 75 7 2" xfId="8526" xr:uid="{00000000-0005-0000-0000-0000E6340000}"/>
    <cellStyle name="Normal 75 7 2 2" xfId="17567" xr:uid="{00000000-0005-0000-0000-0000E7340000}"/>
    <cellStyle name="Normal 75 7 3" xfId="13054" xr:uid="{00000000-0005-0000-0000-0000E8340000}"/>
    <cellStyle name="Normal 75 8" xfId="4683" xr:uid="{00000000-0005-0000-0000-0000E9340000}"/>
    <cellStyle name="Normal 75 8 2" xfId="13724" xr:uid="{00000000-0005-0000-0000-0000EA340000}"/>
    <cellStyle name="Normal 75 9" xfId="9211" xr:uid="{00000000-0005-0000-0000-0000EB340000}"/>
    <cellStyle name="Normal 76" xfId="76" xr:uid="{00000000-0005-0000-0000-0000EC340000}"/>
    <cellStyle name="Normal 76 2" xfId="172" xr:uid="{00000000-0005-0000-0000-0000ED340000}"/>
    <cellStyle name="Normal 76 2 2" xfId="401" xr:uid="{00000000-0005-0000-0000-0000EE340000}"/>
    <cellStyle name="Normal 76 2 2 2" xfId="965" xr:uid="{00000000-0005-0000-0000-0000EF340000}"/>
    <cellStyle name="Normal 76 2 2 2 2" xfId="2135" xr:uid="{00000000-0005-0000-0000-0000F0340000}"/>
    <cellStyle name="Normal 76 2 2 2 2 2" xfId="4040" xr:uid="{00000000-0005-0000-0000-0000F1340000}"/>
    <cellStyle name="Normal 76 2 2 2 2 2 2" xfId="8554" xr:uid="{00000000-0005-0000-0000-0000F2340000}"/>
    <cellStyle name="Normal 76 2 2 2 2 2 2 2" xfId="17595" xr:uid="{00000000-0005-0000-0000-0000F3340000}"/>
    <cellStyle name="Normal 76 2 2 2 2 2 3" xfId="13082" xr:uid="{00000000-0005-0000-0000-0000F4340000}"/>
    <cellStyle name="Normal 76 2 2 2 2 3" xfId="6658" xr:uid="{00000000-0005-0000-0000-0000F5340000}"/>
    <cellStyle name="Normal 76 2 2 2 2 3 2" xfId="15699" xr:uid="{00000000-0005-0000-0000-0000F6340000}"/>
    <cellStyle name="Normal 76 2 2 2 2 4" xfId="11186" xr:uid="{00000000-0005-0000-0000-0000F7340000}"/>
    <cellStyle name="Normal 76 2 2 2 3" xfId="4039" xr:uid="{00000000-0005-0000-0000-0000F8340000}"/>
    <cellStyle name="Normal 76 2 2 2 3 2" xfId="8553" xr:uid="{00000000-0005-0000-0000-0000F9340000}"/>
    <cellStyle name="Normal 76 2 2 2 3 2 2" xfId="17594" xr:uid="{00000000-0005-0000-0000-0000FA340000}"/>
    <cellStyle name="Normal 76 2 2 2 3 3" xfId="13081" xr:uid="{00000000-0005-0000-0000-0000FB340000}"/>
    <cellStyle name="Normal 76 2 2 2 4" xfId="5530" xr:uid="{00000000-0005-0000-0000-0000FC340000}"/>
    <cellStyle name="Normal 76 2 2 2 4 2" xfId="14571" xr:uid="{00000000-0005-0000-0000-0000FD340000}"/>
    <cellStyle name="Normal 76 2 2 2 5" xfId="10058" xr:uid="{00000000-0005-0000-0000-0000FE340000}"/>
    <cellStyle name="Normal 76 2 2 3" xfId="1571" xr:uid="{00000000-0005-0000-0000-0000FF340000}"/>
    <cellStyle name="Normal 76 2 2 3 2" xfId="4041" xr:uid="{00000000-0005-0000-0000-000000350000}"/>
    <cellStyle name="Normal 76 2 2 3 2 2" xfId="8555" xr:uid="{00000000-0005-0000-0000-000001350000}"/>
    <cellStyle name="Normal 76 2 2 3 2 2 2" xfId="17596" xr:uid="{00000000-0005-0000-0000-000002350000}"/>
    <cellStyle name="Normal 76 2 2 3 2 3" xfId="13083" xr:uid="{00000000-0005-0000-0000-000003350000}"/>
    <cellStyle name="Normal 76 2 2 3 3" xfId="6094" xr:uid="{00000000-0005-0000-0000-000004350000}"/>
    <cellStyle name="Normal 76 2 2 3 3 2" xfId="15135" xr:uid="{00000000-0005-0000-0000-000005350000}"/>
    <cellStyle name="Normal 76 2 2 3 4" xfId="10622" xr:uid="{00000000-0005-0000-0000-000006350000}"/>
    <cellStyle name="Normal 76 2 2 4" xfId="4038" xr:uid="{00000000-0005-0000-0000-000007350000}"/>
    <cellStyle name="Normal 76 2 2 4 2" xfId="8552" xr:uid="{00000000-0005-0000-0000-000008350000}"/>
    <cellStyle name="Normal 76 2 2 4 2 2" xfId="17593" xr:uid="{00000000-0005-0000-0000-000009350000}"/>
    <cellStyle name="Normal 76 2 2 4 3" xfId="13080" xr:uid="{00000000-0005-0000-0000-00000A350000}"/>
    <cellStyle name="Normal 76 2 2 5" xfId="4966" xr:uid="{00000000-0005-0000-0000-00000B350000}"/>
    <cellStyle name="Normal 76 2 2 5 2" xfId="14007" xr:uid="{00000000-0005-0000-0000-00000C350000}"/>
    <cellStyle name="Normal 76 2 2 6" xfId="9494" xr:uid="{00000000-0005-0000-0000-00000D350000}"/>
    <cellStyle name="Normal 76 2 3" xfId="589" xr:uid="{00000000-0005-0000-0000-00000E350000}"/>
    <cellStyle name="Normal 76 2 3 2" xfId="1153" xr:uid="{00000000-0005-0000-0000-00000F350000}"/>
    <cellStyle name="Normal 76 2 3 2 2" xfId="2323" xr:uid="{00000000-0005-0000-0000-000010350000}"/>
    <cellStyle name="Normal 76 2 3 2 2 2" xfId="4044" xr:uid="{00000000-0005-0000-0000-000011350000}"/>
    <cellStyle name="Normal 76 2 3 2 2 2 2" xfId="8558" xr:uid="{00000000-0005-0000-0000-000012350000}"/>
    <cellStyle name="Normal 76 2 3 2 2 2 2 2" xfId="17599" xr:uid="{00000000-0005-0000-0000-000013350000}"/>
    <cellStyle name="Normal 76 2 3 2 2 2 3" xfId="13086" xr:uid="{00000000-0005-0000-0000-000014350000}"/>
    <cellStyle name="Normal 76 2 3 2 2 3" xfId="6846" xr:uid="{00000000-0005-0000-0000-000015350000}"/>
    <cellStyle name="Normal 76 2 3 2 2 3 2" xfId="15887" xr:uid="{00000000-0005-0000-0000-000016350000}"/>
    <cellStyle name="Normal 76 2 3 2 2 4" xfId="11374" xr:uid="{00000000-0005-0000-0000-000017350000}"/>
    <cellStyle name="Normal 76 2 3 2 3" xfId="4043" xr:uid="{00000000-0005-0000-0000-000018350000}"/>
    <cellStyle name="Normal 76 2 3 2 3 2" xfId="8557" xr:uid="{00000000-0005-0000-0000-000019350000}"/>
    <cellStyle name="Normal 76 2 3 2 3 2 2" xfId="17598" xr:uid="{00000000-0005-0000-0000-00001A350000}"/>
    <cellStyle name="Normal 76 2 3 2 3 3" xfId="13085" xr:uid="{00000000-0005-0000-0000-00001B350000}"/>
    <cellStyle name="Normal 76 2 3 2 4" xfId="5718" xr:uid="{00000000-0005-0000-0000-00001C350000}"/>
    <cellStyle name="Normal 76 2 3 2 4 2" xfId="14759" xr:uid="{00000000-0005-0000-0000-00001D350000}"/>
    <cellStyle name="Normal 76 2 3 2 5" xfId="10246" xr:uid="{00000000-0005-0000-0000-00001E350000}"/>
    <cellStyle name="Normal 76 2 3 3" xfId="1759" xr:uid="{00000000-0005-0000-0000-00001F350000}"/>
    <cellStyle name="Normal 76 2 3 3 2" xfId="4045" xr:uid="{00000000-0005-0000-0000-000020350000}"/>
    <cellStyle name="Normal 76 2 3 3 2 2" xfId="8559" xr:uid="{00000000-0005-0000-0000-000021350000}"/>
    <cellStyle name="Normal 76 2 3 3 2 2 2" xfId="17600" xr:uid="{00000000-0005-0000-0000-000022350000}"/>
    <cellStyle name="Normal 76 2 3 3 2 3" xfId="13087" xr:uid="{00000000-0005-0000-0000-000023350000}"/>
    <cellStyle name="Normal 76 2 3 3 3" xfId="6282" xr:uid="{00000000-0005-0000-0000-000024350000}"/>
    <cellStyle name="Normal 76 2 3 3 3 2" xfId="15323" xr:uid="{00000000-0005-0000-0000-000025350000}"/>
    <cellStyle name="Normal 76 2 3 3 4" xfId="10810" xr:uid="{00000000-0005-0000-0000-000026350000}"/>
    <cellStyle name="Normal 76 2 3 4" xfId="4042" xr:uid="{00000000-0005-0000-0000-000027350000}"/>
    <cellStyle name="Normal 76 2 3 4 2" xfId="8556" xr:uid="{00000000-0005-0000-0000-000028350000}"/>
    <cellStyle name="Normal 76 2 3 4 2 2" xfId="17597" xr:uid="{00000000-0005-0000-0000-000029350000}"/>
    <cellStyle name="Normal 76 2 3 4 3" xfId="13084" xr:uid="{00000000-0005-0000-0000-00002A350000}"/>
    <cellStyle name="Normal 76 2 3 5" xfId="5154" xr:uid="{00000000-0005-0000-0000-00002B350000}"/>
    <cellStyle name="Normal 76 2 3 5 2" xfId="14195" xr:uid="{00000000-0005-0000-0000-00002C350000}"/>
    <cellStyle name="Normal 76 2 3 6" xfId="9682" xr:uid="{00000000-0005-0000-0000-00002D350000}"/>
    <cellStyle name="Normal 76 2 4" xfId="777" xr:uid="{00000000-0005-0000-0000-00002E350000}"/>
    <cellStyle name="Normal 76 2 4 2" xfId="1947" xr:uid="{00000000-0005-0000-0000-00002F350000}"/>
    <cellStyle name="Normal 76 2 4 2 2" xfId="4047" xr:uid="{00000000-0005-0000-0000-000030350000}"/>
    <cellStyle name="Normal 76 2 4 2 2 2" xfId="8561" xr:uid="{00000000-0005-0000-0000-000031350000}"/>
    <cellStyle name="Normal 76 2 4 2 2 2 2" xfId="17602" xr:uid="{00000000-0005-0000-0000-000032350000}"/>
    <cellStyle name="Normal 76 2 4 2 2 3" xfId="13089" xr:uid="{00000000-0005-0000-0000-000033350000}"/>
    <cellStyle name="Normal 76 2 4 2 3" xfId="6470" xr:uid="{00000000-0005-0000-0000-000034350000}"/>
    <cellStyle name="Normal 76 2 4 2 3 2" xfId="15511" xr:uid="{00000000-0005-0000-0000-000035350000}"/>
    <cellStyle name="Normal 76 2 4 2 4" xfId="10998" xr:uid="{00000000-0005-0000-0000-000036350000}"/>
    <cellStyle name="Normal 76 2 4 3" xfId="4046" xr:uid="{00000000-0005-0000-0000-000037350000}"/>
    <cellStyle name="Normal 76 2 4 3 2" xfId="8560" xr:uid="{00000000-0005-0000-0000-000038350000}"/>
    <cellStyle name="Normal 76 2 4 3 2 2" xfId="17601" xr:uid="{00000000-0005-0000-0000-000039350000}"/>
    <cellStyle name="Normal 76 2 4 3 3" xfId="13088" xr:uid="{00000000-0005-0000-0000-00003A350000}"/>
    <cellStyle name="Normal 76 2 4 4" xfId="5342" xr:uid="{00000000-0005-0000-0000-00003B350000}"/>
    <cellStyle name="Normal 76 2 4 4 2" xfId="14383" xr:uid="{00000000-0005-0000-0000-00003C350000}"/>
    <cellStyle name="Normal 76 2 4 5" xfId="9870" xr:uid="{00000000-0005-0000-0000-00003D350000}"/>
    <cellStyle name="Normal 76 2 5" xfId="1383" xr:uid="{00000000-0005-0000-0000-00003E350000}"/>
    <cellStyle name="Normal 76 2 5 2" xfId="4048" xr:uid="{00000000-0005-0000-0000-00003F350000}"/>
    <cellStyle name="Normal 76 2 5 2 2" xfId="8562" xr:uid="{00000000-0005-0000-0000-000040350000}"/>
    <cellStyle name="Normal 76 2 5 2 2 2" xfId="17603" xr:uid="{00000000-0005-0000-0000-000041350000}"/>
    <cellStyle name="Normal 76 2 5 2 3" xfId="13090" xr:uid="{00000000-0005-0000-0000-000042350000}"/>
    <cellStyle name="Normal 76 2 5 3" xfId="5906" xr:uid="{00000000-0005-0000-0000-000043350000}"/>
    <cellStyle name="Normal 76 2 5 3 2" xfId="14947" xr:uid="{00000000-0005-0000-0000-000044350000}"/>
    <cellStyle name="Normal 76 2 5 4" xfId="10434" xr:uid="{00000000-0005-0000-0000-000045350000}"/>
    <cellStyle name="Normal 76 2 6" xfId="4037" xr:uid="{00000000-0005-0000-0000-000046350000}"/>
    <cellStyle name="Normal 76 2 6 2" xfId="8551" xr:uid="{00000000-0005-0000-0000-000047350000}"/>
    <cellStyle name="Normal 76 2 6 2 2" xfId="17592" xr:uid="{00000000-0005-0000-0000-000048350000}"/>
    <cellStyle name="Normal 76 2 6 3" xfId="13079" xr:uid="{00000000-0005-0000-0000-000049350000}"/>
    <cellStyle name="Normal 76 2 7" xfId="4778" xr:uid="{00000000-0005-0000-0000-00004A350000}"/>
    <cellStyle name="Normal 76 2 7 2" xfId="13819" xr:uid="{00000000-0005-0000-0000-00004B350000}"/>
    <cellStyle name="Normal 76 2 8" xfId="9306" xr:uid="{00000000-0005-0000-0000-00004C350000}"/>
    <cellStyle name="Normal 76 3" xfId="307" xr:uid="{00000000-0005-0000-0000-00004D350000}"/>
    <cellStyle name="Normal 76 3 2" xfId="871" xr:uid="{00000000-0005-0000-0000-00004E350000}"/>
    <cellStyle name="Normal 76 3 2 2" xfId="2041" xr:uid="{00000000-0005-0000-0000-00004F350000}"/>
    <cellStyle name="Normal 76 3 2 2 2" xfId="4051" xr:uid="{00000000-0005-0000-0000-000050350000}"/>
    <cellStyle name="Normal 76 3 2 2 2 2" xfId="8565" xr:uid="{00000000-0005-0000-0000-000051350000}"/>
    <cellStyle name="Normal 76 3 2 2 2 2 2" xfId="17606" xr:uid="{00000000-0005-0000-0000-000052350000}"/>
    <cellStyle name="Normal 76 3 2 2 2 3" xfId="13093" xr:uid="{00000000-0005-0000-0000-000053350000}"/>
    <cellStyle name="Normal 76 3 2 2 3" xfId="6564" xr:uid="{00000000-0005-0000-0000-000054350000}"/>
    <cellStyle name="Normal 76 3 2 2 3 2" xfId="15605" xr:uid="{00000000-0005-0000-0000-000055350000}"/>
    <cellStyle name="Normal 76 3 2 2 4" xfId="11092" xr:uid="{00000000-0005-0000-0000-000056350000}"/>
    <cellStyle name="Normal 76 3 2 3" xfId="4050" xr:uid="{00000000-0005-0000-0000-000057350000}"/>
    <cellStyle name="Normal 76 3 2 3 2" xfId="8564" xr:uid="{00000000-0005-0000-0000-000058350000}"/>
    <cellStyle name="Normal 76 3 2 3 2 2" xfId="17605" xr:uid="{00000000-0005-0000-0000-000059350000}"/>
    <cellStyle name="Normal 76 3 2 3 3" xfId="13092" xr:uid="{00000000-0005-0000-0000-00005A350000}"/>
    <cellStyle name="Normal 76 3 2 4" xfId="5436" xr:uid="{00000000-0005-0000-0000-00005B350000}"/>
    <cellStyle name="Normal 76 3 2 4 2" xfId="14477" xr:uid="{00000000-0005-0000-0000-00005C350000}"/>
    <cellStyle name="Normal 76 3 2 5" xfId="9964" xr:uid="{00000000-0005-0000-0000-00005D350000}"/>
    <cellStyle name="Normal 76 3 3" xfId="1477" xr:uid="{00000000-0005-0000-0000-00005E350000}"/>
    <cellStyle name="Normal 76 3 3 2" xfId="4052" xr:uid="{00000000-0005-0000-0000-00005F350000}"/>
    <cellStyle name="Normal 76 3 3 2 2" xfId="8566" xr:uid="{00000000-0005-0000-0000-000060350000}"/>
    <cellStyle name="Normal 76 3 3 2 2 2" xfId="17607" xr:uid="{00000000-0005-0000-0000-000061350000}"/>
    <cellStyle name="Normal 76 3 3 2 3" xfId="13094" xr:uid="{00000000-0005-0000-0000-000062350000}"/>
    <cellStyle name="Normal 76 3 3 3" xfId="6000" xr:uid="{00000000-0005-0000-0000-000063350000}"/>
    <cellStyle name="Normal 76 3 3 3 2" xfId="15041" xr:uid="{00000000-0005-0000-0000-000064350000}"/>
    <cellStyle name="Normal 76 3 3 4" xfId="10528" xr:uid="{00000000-0005-0000-0000-000065350000}"/>
    <cellStyle name="Normal 76 3 4" xfId="4049" xr:uid="{00000000-0005-0000-0000-000066350000}"/>
    <cellStyle name="Normal 76 3 4 2" xfId="8563" xr:uid="{00000000-0005-0000-0000-000067350000}"/>
    <cellStyle name="Normal 76 3 4 2 2" xfId="17604" xr:uid="{00000000-0005-0000-0000-000068350000}"/>
    <cellStyle name="Normal 76 3 4 3" xfId="13091" xr:uid="{00000000-0005-0000-0000-000069350000}"/>
    <cellStyle name="Normal 76 3 5" xfId="4872" xr:uid="{00000000-0005-0000-0000-00006A350000}"/>
    <cellStyle name="Normal 76 3 5 2" xfId="13913" xr:uid="{00000000-0005-0000-0000-00006B350000}"/>
    <cellStyle name="Normal 76 3 6" xfId="9400" xr:uid="{00000000-0005-0000-0000-00006C350000}"/>
    <cellStyle name="Normal 76 4" xfId="495" xr:uid="{00000000-0005-0000-0000-00006D350000}"/>
    <cellStyle name="Normal 76 4 2" xfId="1059" xr:uid="{00000000-0005-0000-0000-00006E350000}"/>
    <cellStyle name="Normal 76 4 2 2" xfId="2229" xr:uid="{00000000-0005-0000-0000-00006F350000}"/>
    <cellStyle name="Normal 76 4 2 2 2" xfId="4055" xr:uid="{00000000-0005-0000-0000-000070350000}"/>
    <cellStyle name="Normal 76 4 2 2 2 2" xfId="8569" xr:uid="{00000000-0005-0000-0000-000071350000}"/>
    <cellStyle name="Normal 76 4 2 2 2 2 2" xfId="17610" xr:uid="{00000000-0005-0000-0000-000072350000}"/>
    <cellStyle name="Normal 76 4 2 2 2 3" xfId="13097" xr:uid="{00000000-0005-0000-0000-000073350000}"/>
    <cellStyle name="Normal 76 4 2 2 3" xfId="6752" xr:uid="{00000000-0005-0000-0000-000074350000}"/>
    <cellStyle name="Normal 76 4 2 2 3 2" xfId="15793" xr:uid="{00000000-0005-0000-0000-000075350000}"/>
    <cellStyle name="Normal 76 4 2 2 4" xfId="11280" xr:uid="{00000000-0005-0000-0000-000076350000}"/>
    <cellStyle name="Normal 76 4 2 3" xfId="4054" xr:uid="{00000000-0005-0000-0000-000077350000}"/>
    <cellStyle name="Normal 76 4 2 3 2" xfId="8568" xr:uid="{00000000-0005-0000-0000-000078350000}"/>
    <cellStyle name="Normal 76 4 2 3 2 2" xfId="17609" xr:uid="{00000000-0005-0000-0000-000079350000}"/>
    <cellStyle name="Normal 76 4 2 3 3" xfId="13096" xr:uid="{00000000-0005-0000-0000-00007A350000}"/>
    <cellStyle name="Normal 76 4 2 4" xfId="5624" xr:uid="{00000000-0005-0000-0000-00007B350000}"/>
    <cellStyle name="Normal 76 4 2 4 2" xfId="14665" xr:uid="{00000000-0005-0000-0000-00007C350000}"/>
    <cellStyle name="Normal 76 4 2 5" xfId="10152" xr:uid="{00000000-0005-0000-0000-00007D350000}"/>
    <cellStyle name="Normal 76 4 3" xfId="1665" xr:uid="{00000000-0005-0000-0000-00007E350000}"/>
    <cellStyle name="Normal 76 4 3 2" xfId="4056" xr:uid="{00000000-0005-0000-0000-00007F350000}"/>
    <cellStyle name="Normal 76 4 3 2 2" xfId="8570" xr:uid="{00000000-0005-0000-0000-000080350000}"/>
    <cellStyle name="Normal 76 4 3 2 2 2" xfId="17611" xr:uid="{00000000-0005-0000-0000-000081350000}"/>
    <cellStyle name="Normal 76 4 3 2 3" xfId="13098" xr:uid="{00000000-0005-0000-0000-000082350000}"/>
    <cellStyle name="Normal 76 4 3 3" xfId="6188" xr:uid="{00000000-0005-0000-0000-000083350000}"/>
    <cellStyle name="Normal 76 4 3 3 2" xfId="15229" xr:uid="{00000000-0005-0000-0000-000084350000}"/>
    <cellStyle name="Normal 76 4 3 4" xfId="10716" xr:uid="{00000000-0005-0000-0000-000085350000}"/>
    <cellStyle name="Normal 76 4 4" xfId="4053" xr:uid="{00000000-0005-0000-0000-000086350000}"/>
    <cellStyle name="Normal 76 4 4 2" xfId="8567" xr:uid="{00000000-0005-0000-0000-000087350000}"/>
    <cellStyle name="Normal 76 4 4 2 2" xfId="17608" xr:uid="{00000000-0005-0000-0000-000088350000}"/>
    <cellStyle name="Normal 76 4 4 3" xfId="13095" xr:uid="{00000000-0005-0000-0000-000089350000}"/>
    <cellStyle name="Normal 76 4 5" xfId="5060" xr:uid="{00000000-0005-0000-0000-00008A350000}"/>
    <cellStyle name="Normal 76 4 5 2" xfId="14101" xr:uid="{00000000-0005-0000-0000-00008B350000}"/>
    <cellStyle name="Normal 76 4 6" xfId="9588" xr:uid="{00000000-0005-0000-0000-00008C350000}"/>
    <cellStyle name="Normal 76 5" xfId="683" xr:uid="{00000000-0005-0000-0000-00008D350000}"/>
    <cellStyle name="Normal 76 5 2" xfId="1853" xr:uid="{00000000-0005-0000-0000-00008E350000}"/>
    <cellStyle name="Normal 76 5 2 2" xfId="4058" xr:uid="{00000000-0005-0000-0000-00008F350000}"/>
    <cellStyle name="Normal 76 5 2 2 2" xfId="8572" xr:uid="{00000000-0005-0000-0000-000090350000}"/>
    <cellStyle name="Normal 76 5 2 2 2 2" xfId="17613" xr:uid="{00000000-0005-0000-0000-000091350000}"/>
    <cellStyle name="Normal 76 5 2 2 3" xfId="13100" xr:uid="{00000000-0005-0000-0000-000092350000}"/>
    <cellStyle name="Normal 76 5 2 3" xfId="6376" xr:uid="{00000000-0005-0000-0000-000093350000}"/>
    <cellStyle name="Normal 76 5 2 3 2" xfId="15417" xr:uid="{00000000-0005-0000-0000-000094350000}"/>
    <cellStyle name="Normal 76 5 2 4" xfId="10904" xr:uid="{00000000-0005-0000-0000-000095350000}"/>
    <cellStyle name="Normal 76 5 3" xfId="4057" xr:uid="{00000000-0005-0000-0000-000096350000}"/>
    <cellStyle name="Normal 76 5 3 2" xfId="8571" xr:uid="{00000000-0005-0000-0000-000097350000}"/>
    <cellStyle name="Normal 76 5 3 2 2" xfId="17612" xr:uid="{00000000-0005-0000-0000-000098350000}"/>
    <cellStyle name="Normal 76 5 3 3" xfId="13099" xr:uid="{00000000-0005-0000-0000-000099350000}"/>
    <cellStyle name="Normal 76 5 4" xfId="5248" xr:uid="{00000000-0005-0000-0000-00009A350000}"/>
    <cellStyle name="Normal 76 5 4 2" xfId="14289" xr:uid="{00000000-0005-0000-0000-00009B350000}"/>
    <cellStyle name="Normal 76 5 5" xfId="9776" xr:uid="{00000000-0005-0000-0000-00009C350000}"/>
    <cellStyle name="Normal 76 6" xfId="1289" xr:uid="{00000000-0005-0000-0000-00009D350000}"/>
    <cellStyle name="Normal 76 6 2" xfId="4059" xr:uid="{00000000-0005-0000-0000-00009E350000}"/>
    <cellStyle name="Normal 76 6 2 2" xfId="8573" xr:uid="{00000000-0005-0000-0000-00009F350000}"/>
    <cellStyle name="Normal 76 6 2 2 2" xfId="17614" xr:uid="{00000000-0005-0000-0000-0000A0350000}"/>
    <cellStyle name="Normal 76 6 2 3" xfId="13101" xr:uid="{00000000-0005-0000-0000-0000A1350000}"/>
    <cellStyle name="Normal 76 6 3" xfId="5812" xr:uid="{00000000-0005-0000-0000-0000A2350000}"/>
    <cellStyle name="Normal 76 6 3 2" xfId="14853" xr:uid="{00000000-0005-0000-0000-0000A3350000}"/>
    <cellStyle name="Normal 76 6 4" xfId="10340" xr:uid="{00000000-0005-0000-0000-0000A4350000}"/>
    <cellStyle name="Normal 76 7" xfId="4036" xr:uid="{00000000-0005-0000-0000-0000A5350000}"/>
    <cellStyle name="Normal 76 7 2" xfId="8550" xr:uid="{00000000-0005-0000-0000-0000A6350000}"/>
    <cellStyle name="Normal 76 7 2 2" xfId="17591" xr:uid="{00000000-0005-0000-0000-0000A7350000}"/>
    <cellStyle name="Normal 76 7 3" xfId="13078" xr:uid="{00000000-0005-0000-0000-0000A8350000}"/>
    <cellStyle name="Normal 76 8" xfId="4684" xr:uid="{00000000-0005-0000-0000-0000A9350000}"/>
    <cellStyle name="Normal 76 8 2" xfId="13725" xr:uid="{00000000-0005-0000-0000-0000AA350000}"/>
    <cellStyle name="Normal 76 9" xfId="9212" xr:uid="{00000000-0005-0000-0000-0000AB350000}"/>
    <cellStyle name="Normal 77" xfId="77" xr:uid="{00000000-0005-0000-0000-0000AC350000}"/>
    <cellStyle name="Normal 77 2" xfId="173" xr:uid="{00000000-0005-0000-0000-0000AD350000}"/>
    <cellStyle name="Normal 77 2 2" xfId="402" xr:uid="{00000000-0005-0000-0000-0000AE350000}"/>
    <cellStyle name="Normal 77 2 2 2" xfId="966" xr:uid="{00000000-0005-0000-0000-0000AF350000}"/>
    <cellStyle name="Normal 77 2 2 2 2" xfId="2136" xr:uid="{00000000-0005-0000-0000-0000B0350000}"/>
    <cellStyle name="Normal 77 2 2 2 2 2" xfId="4064" xr:uid="{00000000-0005-0000-0000-0000B1350000}"/>
    <cellStyle name="Normal 77 2 2 2 2 2 2" xfId="8578" xr:uid="{00000000-0005-0000-0000-0000B2350000}"/>
    <cellStyle name="Normal 77 2 2 2 2 2 2 2" xfId="17619" xr:uid="{00000000-0005-0000-0000-0000B3350000}"/>
    <cellStyle name="Normal 77 2 2 2 2 2 3" xfId="13106" xr:uid="{00000000-0005-0000-0000-0000B4350000}"/>
    <cellStyle name="Normal 77 2 2 2 2 3" xfId="6659" xr:uid="{00000000-0005-0000-0000-0000B5350000}"/>
    <cellStyle name="Normal 77 2 2 2 2 3 2" xfId="15700" xr:uid="{00000000-0005-0000-0000-0000B6350000}"/>
    <cellStyle name="Normal 77 2 2 2 2 4" xfId="11187" xr:uid="{00000000-0005-0000-0000-0000B7350000}"/>
    <cellStyle name="Normal 77 2 2 2 3" xfId="4063" xr:uid="{00000000-0005-0000-0000-0000B8350000}"/>
    <cellStyle name="Normal 77 2 2 2 3 2" xfId="8577" xr:uid="{00000000-0005-0000-0000-0000B9350000}"/>
    <cellStyle name="Normal 77 2 2 2 3 2 2" xfId="17618" xr:uid="{00000000-0005-0000-0000-0000BA350000}"/>
    <cellStyle name="Normal 77 2 2 2 3 3" xfId="13105" xr:uid="{00000000-0005-0000-0000-0000BB350000}"/>
    <cellStyle name="Normal 77 2 2 2 4" xfId="5531" xr:uid="{00000000-0005-0000-0000-0000BC350000}"/>
    <cellStyle name="Normal 77 2 2 2 4 2" xfId="14572" xr:uid="{00000000-0005-0000-0000-0000BD350000}"/>
    <cellStyle name="Normal 77 2 2 2 5" xfId="10059" xr:uid="{00000000-0005-0000-0000-0000BE350000}"/>
    <cellStyle name="Normal 77 2 2 3" xfId="1572" xr:uid="{00000000-0005-0000-0000-0000BF350000}"/>
    <cellStyle name="Normal 77 2 2 3 2" xfId="4065" xr:uid="{00000000-0005-0000-0000-0000C0350000}"/>
    <cellStyle name="Normal 77 2 2 3 2 2" xfId="8579" xr:uid="{00000000-0005-0000-0000-0000C1350000}"/>
    <cellStyle name="Normal 77 2 2 3 2 2 2" xfId="17620" xr:uid="{00000000-0005-0000-0000-0000C2350000}"/>
    <cellStyle name="Normal 77 2 2 3 2 3" xfId="13107" xr:uid="{00000000-0005-0000-0000-0000C3350000}"/>
    <cellStyle name="Normal 77 2 2 3 3" xfId="6095" xr:uid="{00000000-0005-0000-0000-0000C4350000}"/>
    <cellStyle name="Normal 77 2 2 3 3 2" xfId="15136" xr:uid="{00000000-0005-0000-0000-0000C5350000}"/>
    <cellStyle name="Normal 77 2 2 3 4" xfId="10623" xr:uid="{00000000-0005-0000-0000-0000C6350000}"/>
    <cellStyle name="Normal 77 2 2 4" xfId="4062" xr:uid="{00000000-0005-0000-0000-0000C7350000}"/>
    <cellStyle name="Normal 77 2 2 4 2" xfId="8576" xr:uid="{00000000-0005-0000-0000-0000C8350000}"/>
    <cellStyle name="Normal 77 2 2 4 2 2" xfId="17617" xr:uid="{00000000-0005-0000-0000-0000C9350000}"/>
    <cellStyle name="Normal 77 2 2 4 3" xfId="13104" xr:uid="{00000000-0005-0000-0000-0000CA350000}"/>
    <cellStyle name="Normal 77 2 2 5" xfId="4967" xr:uid="{00000000-0005-0000-0000-0000CB350000}"/>
    <cellStyle name="Normal 77 2 2 5 2" xfId="14008" xr:uid="{00000000-0005-0000-0000-0000CC350000}"/>
    <cellStyle name="Normal 77 2 2 6" xfId="9495" xr:uid="{00000000-0005-0000-0000-0000CD350000}"/>
    <cellStyle name="Normal 77 2 3" xfId="590" xr:uid="{00000000-0005-0000-0000-0000CE350000}"/>
    <cellStyle name="Normal 77 2 3 2" xfId="1154" xr:uid="{00000000-0005-0000-0000-0000CF350000}"/>
    <cellStyle name="Normal 77 2 3 2 2" xfId="2324" xr:uid="{00000000-0005-0000-0000-0000D0350000}"/>
    <cellStyle name="Normal 77 2 3 2 2 2" xfId="4068" xr:uid="{00000000-0005-0000-0000-0000D1350000}"/>
    <cellStyle name="Normal 77 2 3 2 2 2 2" xfId="8582" xr:uid="{00000000-0005-0000-0000-0000D2350000}"/>
    <cellStyle name="Normal 77 2 3 2 2 2 2 2" xfId="17623" xr:uid="{00000000-0005-0000-0000-0000D3350000}"/>
    <cellStyle name="Normal 77 2 3 2 2 2 3" xfId="13110" xr:uid="{00000000-0005-0000-0000-0000D4350000}"/>
    <cellStyle name="Normal 77 2 3 2 2 3" xfId="6847" xr:uid="{00000000-0005-0000-0000-0000D5350000}"/>
    <cellStyle name="Normal 77 2 3 2 2 3 2" xfId="15888" xr:uid="{00000000-0005-0000-0000-0000D6350000}"/>
    <cellStyle name="Normal 77 2 3 2 2 4" xfId="11375" xr:uid="{00000000-0005-0000-0000-0000D7350000}"/>
    <cellStyle name="Normal 77 2 3 2 3" xfId="4067" xr:uid="{00000000-0005-0000-0000-0000D8350000}"/>
    <cellStyle name="Normal 77 2 3 2 3 2" xfId="8581" xr:uid="{00000000-0005-0000-0000-0000D9350000}"/>
    <cellStyle name="Normal 77 2 3 2 3 2 2" xfId="17622" xr:uid="{00000000-0005-0000-0000-0000DA350000}"/>
    <cellStyle name="Normal 77 2 3 2 3 3" xfId="13109" xr:uid="{00000000-0005-0000-0000-0000DB350000}"/>
    <cellStyle name="Normal 77 2 3 2 4" xfId="5719" xr:uid="{00000000-0005-0000-0000-0000DC350000}"/>
    <cellStyle name="Normal 77 2 3 2 4 2" xfId="14760" xr:uid="{00000000-0005-0000-0000-0000DD350000}"/>
    <cellStyle name="Normal 77 2 3 2 5" xfId="10247" xr:uid="{00000000-0005-0000-0000-0000DE350000}"/>
    <cellStyle name="Normal 77 2 3 3" xfId="1760" xr:uid="{00000000-0005-0000-0000-0000DF350000}"/>
    <cellStyle name="Normal 77 2 3 3 2" xfId="4069" xr:uid="{00000000-0005-0000-0000-0000E0350000}"/>
    <cellStyle name="Normal 77 2 3 3 2 2" xfId="8583" xr:uid="{00000000-0005-0000-0000-0000E1350000}"/>
    <cellStyle name="Normal 77 2 3 3 2 2 2" xfId="17624" xr:uid="{00000000-0005-0000-0000-0000E2350000}"/>
    <cellStyle name="Normal 77 2 3 3 2 3" xfId="13111" xr:uid="{00000000-0005-0000-0000-0000E3350000}"/>
    <cellStyle name="Normal 77 2 3 3 3" xfId="6283" xr:uid="{00000000-0005-0000-0000-0000E4350000}"/>
    <cellStyle name="Normal 77 2 3 3 3 2" xfId="15324" xr:uid="{00000000-0005-0000-0000-0000E5350000}"/>
    <cellStyle name="Normal 77 2 3 3 4" xfId="10811" xr:uid="{00000000-0005-0000-0000-0000E6350000}"/>
    <cellStyle name="Normal 77 2 3 4" xfId="4066" xr:uid="{00000000-0005-0000-0000-0000E7350000}"/>
    <cellStyle name="Normal 77 2 3 4 2" xfId="8580" xr:uid="{00000000-0005-0000-0000-0000E8350000}"/>
    <cellStyle name="Normal 77 2 3 4 2 2" xfId="17621" xr:uid="{00000000-0005-0000-0000-0000E9350000}"/>
    <cellStyle name="Normal 77 2 3 4 3" xfId="13108" xr:uid="{00000000-0005-0000-0000-0000EA350000}"/>
    <cellStyle name="Normal 77 2 3 5" xfId="5155" xr:uid="{00000000-0005-0000-0000-0000EB350000}"/>
    <cellStyle name="Normal 77 2 3 5 2" xfId="14196" xr:uid="{00000000-0005-0000-0000-0000EC350000}"/>
    <cellStyle name="Normal 77 2 3 6" xfId="9683" xr:uid="{00000000-0005-0000-0000-0000ED350000}"/>
    <cellStyle name="Normal 77 2 4" xfId="778" xr:uid="{00000000-0005-0000-0000-0000EE350000}"/>
    <cellStyle name="Normal 77 2 4 2" xfId="1948" xr:uid="{00000000-0005-0000-0000-0000EF350000}"/>
    <cellStyle name="Normal 77 2 4 2 2" xfId="4071" xr:uid="{00000000-0005-0000-0000-0000F0350000}"/>
    <cellStyle name="Normal 77 2 4 2 2 2" xfId="8585" xr:uid="{00000000-0005-0000-0000-0000F1350000}"/>
    <cellStyle name="Normal 77 2 4 2 2 2 2" xfId="17626" xr:uid="{00000000-0005-0000-0000-0000F2350000}"/>
    <cellStyle name="Normal 77 2 4 2 2 3" xfId="13113" xr:uid="{00000000-0005-0000-0000-0000F3350000}"/>
    <cellStyle name="Normal 77 2 4 2 3" xfId="6471" xr:uid="{00000000-0005-0000-0000-0000F4350000}"/>
    <cellStyle name="Normal 77 2 4 2 3 2" xfId="15512" xr:uid="{00000000-0005-0000-0000-0000F5350000}"/>
    <cellStyle name="Normal 77 2 4 2 4" xfId="10999" xr:uid="{00000000-0005-0000-0000-0000F6350000}"/>
    <cellStyle name="Normal 77 2 4 3" xfId="4070" xr:uid="{00000000-0005-0000-0000-0000F7350000}"/>
    <cellStyle name="Normal 77 2 4 3 2" xfId="8584" xr:uid="{00000000-0005-0000-0000-0000F8350000}"/>
    <cellStyle name="Normal 77 2 4 3 2 2" xfId="17625" xr:uid="{00000000-0005-0000-0000-0000F9350000}"/>
    <cellStyle name="Normal 77 2 4 3 3" xfId="13112" xr:uid="{00000000-0005-0000-0000-0000FA350000}"/>
    <cellStyle name="Normal 77 2 4 4" xfId="5343" xr:uid="{00000000-0005-0000-0000-0000FB350000}"/>
    <cellStyle name="Normal 77 2 4 4 2" xfId="14384" xr:uid="{00000000-0005-0000-0000-0000FC350000}"/>
    <cellStyle name="Normal 77 2 4 5" xfId="9871" xr:uid="{00000000-0005-0000-0000-0000FD350000}"/>
    <cellStyle name="Normal 77 2 5" xfId="1384" xr:uid="{00000000-0005-0000-0000-0000FE350000}"/>
    <cellStyle name="Normal 77 2 5 2" xfId="4072" xr:uid="{00000000-0005-0000-0000-0000FF350000}"/>
    <cellStyle name="Normal 77 2 5 2 2" xfId="8586" xr:uid="{00000000-0005-0000-0000-000000360000}"/>
    <cellStyle name="Normal 77 2 5 2 2 2" xfId="17627" xr:uid="{00000000-0005-0000-0000-000001360000}"/>
    <cellStyle name="Normal 77 2 5 2 3" xfId="13114" xr:uid="{00000000-0005-0000-0000-000002360000}"/>
    <cellStyle name="Normal 77 2 5 3" xfId="5907" xr:uid="{00000000-0005-0000-0000-000003360000}"/>
    <cellStyle name="Normal 77 2 5 3 2" xfId="14948" xr:uid="{00000000-0005-0000-0000-000004360000}"/>
    <cellStyle name="Normal 77 2 5 4" xfId="10435" xr:uid="{00000000-0005-0000-0000-000005360000}"/>
    <cellStyle name="Normal 77 2 6" xfId="4061" xr:uid="{00000000-0005-0000-0000-000006360000}"/>
    <cellStyle name="Normal 77 2 6 2" xfId="8575" xr:uid="{00000000-0005-0000-0000-000007360000}"/>
    <cellStyle name="Normal 77 2 6 2 2" xfId="17616" xr:uid="{00000000-0005-0000-0000-000008360000}"/>
    <cellStyle name="Normal 77 2 6 3" xfId="13103" xr:uid="{00000000-0005-0000-0000-000009360000}"/>
    <cellStyle name="Normal 77 2 7" xfId="4779" xr:uid="{00000000-0005-0000-0000-00000A360000}"/>
    <cellStyle name="Normal 77 2 7 2" xfId="13820" xr:uid="{00000000-0005-0000-0000-00000B360000}"/>
    <cellStyle name="Normal 77 2 8" xfId="9307" xr:uid="{00000000-0005-0000-0000-00000C360000}"/>
    <cellStyle name="Normal 77 3" xfId="308" xr:uid="{00000000-0005-0000-0000-00000D360000}"/>
    <cellStyle name="Normal 77 3 2" xfId="872" xr:uid="{00000000-0005-0000-0000-00000E360000}"/>
    <cellStyle name="Normal 77 3 2 2" xfId="2042" xr:uid="{00000000-0005-0000-0000-00000F360000}"/>
    <cellStyle name="Normal 77 3 2 2 2" xfId="4075" xr:uid="{00000000-0005-0000-0000-000010360000}"/>
    <cellStyle name="Normal 77 3 2 2 2 2" xfId="8589" xr:uid="{00000000-0005-0000-0000-000011360000}"/>
    <cellStyle name="Normal 77 3 2 2 2 2 2" xfId="17630" xr:uid="{00000000-0005-0000-0000-000012360000}"/>
    <cellStyle name="Normal 77 3 2 2 2 3" xfId="13117" xr:uid="{00000000-0005-0000-0000-000013360000}"/>
    <cellStyle name="Normal 77 3 2 2 3" xfId="6565" xr:uid="{00000000-0005-0000-0000-000014360000}"/>
    <cellStyle name="Normal 77 3 2 2 3 2" xfId="15606" xr:uid="{00000000-0005-0000-0000-000015360000}"/>
    <cellStyle name="Normal 77 3 2 2 4" xfId="11093" xr:uid="{00000000-0005-0000-0000-000016360000}"/>
    <cellStyle name="Normal 77 3 2 3" xfId="4074" xr:uid="{00000000-0005-0000-0000-000017360000}"/>
    <cellStyle name="Normal 77 3 2 3 2" xfId="8588" xr:uid="{00000000-0005-0000-0000-000018360000}"/>
    <cellStyle name="Normal 77 3 2 3 2 2" xfId="17629" xr:uid="{00000000-0005-0000-0000-000019360000}"/>
    <cellStyle name="Normal 77 3 2 3 3" xfId="13116" xr:uid="{00000000-0005-0000-0000-00001A360000}"/>
    <cellStyle name="Normal 77 3 2 4" xfId="5437" xr:uid="{00000000-0005-0000-0000-00001B360000}"/>
    <cellStyle name="Normal 77 3 2 4 2" xfId="14478" xr:uid="{00000000-0005-0000-0000-00001C360000}"/>
    <cellStyle name="Normal 77 3 2 5" xfId="9965" xr:uid="{00000000-0005-0000-0000-00001D360000}"/>
    <cellStyle name="Normal 77 3 3" xfId="1478" xr:uid="{00000000-0005-0000-0000-00001E360000}"/>
    <cellStyle name="Normal 77 3 3 2" xfId="4076" xr:uid="{00000000-0005-0000-0000-00001F360000}"/>
    <cellStyle name="Normal 77 3 3 2 2" xfId="8590" xr:uid="{00000000-0005-0000-0000-000020360000}"/>
    <cellStyle name="Normal 77 3 3 2 2 2" xfId="17631" xr:uid="{00000000-0005-0000-0000-000021360000}"/>
    <cellStyle name="Normal 77 3 3 2 3" xfId="13118" xr:uid="{00000000-0005-0000-0000-000022360000}"/>
    <cellStyle name="Normal 77 3 3 3" xfId="6001" xr:uid="{00000000-0005-0000-0000-000023360000}"/>
    <cellStyle name="Normal 77 3 3 3 2" xfId="15042" xr:uid="{00000000-0005-0000-0000-000024360000}"/>
    <cellStyle name="Normal 77 3 3 4" xfId="10529" xr:uid="{00000000-0005-0000-0000-000025360000}"/>
    <cellStyle name="Normal 77 3 4" xfId="4073" xr:uid="{00000000-0005-0000-0000-000026360000}"/>
    <cellStyle name="Normal 77 3 4 2" xfId="8587" xr:uid="{00000000-0005-0000-0000-000027360000}"/>
    <cellStyle name="Normal 77 3 4 2 2" xfId="17628" xr:uid="{00000000-0005-0000-0000-000028360000}"/>
    <cellStyle name="Normal 77 3 4 3" xfId="13115" xr:uid="{00000000-0005-0000-0000-000029360000}"/>
    <cellStyle name="Normal 77 3 5" xfId="4873" xr:uid="{00000000-0005-0000-0000-00002A360000}"/>
    <cellStyle name="Normal 77 3 5 2" xfId="13914" xr:uid="{00000000-0005-0000-0000-00002B360000}"/>
    <cellStyle name="Normal 77 3 6" xfId="9401" xr:uid="{00000000-0005-0000-0000-00002C360000}"/>
    <cellStyle name="Normal 77 4" xfId="496" xr:uid="{00000000-0005-0000-0000-00002D360000}"/>
    <cellStyle name="Normal 77 4 2" xfId="1060" xr:uid="{00000000-0005-0000-0000-00002E360000}"/>
    <cellStyle name="Normal 77 4 2 2" xfId="2230" xr:uid="{00000000-0005-0000-0000-00002F360000}"/>
    <cellStyle name="Normal 77 4 2 2 2" xfId="4079" xr:uid="{00000000-0005-0000-0000-000030360000}"/>
    <cellStyle name="Normal 77 4 2 2 2 2" xfId="8593" xr:uid="{00000000-0005-0000-0000-000031360000}"/>
    <cellStyle name="Normal 77 4 2 2 2 2 2" xfId="17634" xr:uid="{00000000-0005-0000-0000-000032360000}"/>
    <cellStyle name="Normal 77 4 2 2 2 3" xfId="13121" xr:uid="{00000000-0005-0000-0000-000033360000}"/>
    <cellStyle name="Normal 77 4 2 2 3" xfId="6753" xr:uid="{00000000-0005-0000-0000-000034360000}"/>
    <cellStyle name="Normal 77 4 2 2 3 2" xfId="15794" xr:uid="{00000000-0005-0000-0000-000035360000}"/>
    <cellStyle name="Normal 77 4 2 2 4" xfId="11281" xr:uid="{00000000-0005-0000-0000-000036360000}"/>
    <cellStyle name="Normal 77 4 2 3" xfId="4078" xr:uid="{00000000-0005-0000-0000-000037360000}"/>
    <cellStyle name="Normal 77 4 2 3 2" xfId="8592" xr:uid="{00000000-0005-0000-0000-000038360000}"/>
    <cellStyle name="Normal 77 4 2 3 2 2" xfId="17633" xr:uid="{00000000-0005-0000-0000-000039360000}"/>
    <cellStyle name="Normal 77 4 2 3 3" xfId="13120" xr:uid="{00000000-0005-0000-0000-00003A360000}"/>
    <cellStyle name="Normal 77 4 2 4" xfId="5625" xr:uid="{00000000-0005-0000-0000-00003B360000}"/>
    <cellStyle name="Normal 77 4 2 4 2" xfId="14666" xr:uid="{00000000-0005-0000-0000-00003C360000}"/>
    <cellStyle name="Normal 77 4 2 5" xfId="10153" xr:uid="{00000000-0005-0000-0000-00003D360000}"/>
    <cellStyle name="Normal 77 4 3" xfId="1666" xr:uid="{00000000-0005-0000-0000-00003E360000}"/>
    <cellStyle name="Normal 77 4 3 2" xfId="4080" xr:uid="{00000000-0005-0000-0000-00003F360000}"/>
    <cellStyle name="Normal 77 4 3 2 2" xfId="8594" xr:uid="{00000000-0005-0000-0000-000040360000}"/>
    <cellStyle name="Normal 77 4 3 2 2 2" xfId="17635" xr:uid="{00000000-0005-0000-0000-000041360000}"/>
    <cellStyle name="Normal 77 4 3 2 3" xfId="13122" xr:uid="{00000000-0005-0000-0000-000042360000}"/>
    <cellStyle name="Normal 77 4 3 3" xfId="6189" xr:uid="{00000000-0005-0000-0000-000043360000}"/>
    <cellStyle name="Normal 77 4 3 3 2" xfId="15230" xr:uid="{00000000-0005-0000-0000-000044360000}"/>
    <cellStyle name="Normal 77 4 3 4" xfId="10717" xr:uid="{00000000-0005-0000-0000-000045360000}"/>
    <cellStyle name="Normal 77 4 4" xfId="4077" xr:uid="{00000000-0005-0000-0000-000046360000}"/>
    <cellStyle name="Normal 77 4 4 2" xfId="8591" xr:uid="{00000000-0005-0000-0000-000047360000}"/>
    <cellStyle name="Normal 77 4 4 2 2" xfId="17632" xr:uid="{00000000-0005-0000-0000-000048360000}"/>
    <cellStyle name="Normal 77 4 4 3" xfId="13119" xr:uid="{00000000-0005-0000-0000-000049360000}"/>
    <cellStyle name="Normal 77 4 5" xfId="5061" xr:uid="{00000000-0005-0000-0000-00004A360000}"/>
    <cellStyle name="Normal 77 4 5 2" xfId="14102" xr:uid="{00000000-0005-0000-0000-00004B360000}"/>
    <cellStyle name="Normal 77 4 6" xfId="9589" xr:uid="{00000000-0005-0000-0000-00004C360000}"/>
    <cellStyle name="Normal 77 5" xfId="684" xr:uid="{00000000-0005-0000-0000-00004D360000}"/>
    <cellStyle name="Normal 77 5 2" xfId="1854" xr:uid="{00000000-0005-0000-0000-00004E360000}"/>
    <cellStyle name="Normal 77 5 2 2" xfId="4082" xr:uid="{00000000-0005-0000-0000-00004F360000}"/>
    <cellStyle name="Normal 77 5 2 2 2" xfId="8596" xr:uid="{00000000-0005-0000-0000-000050360000}"/>
    <cellStyle name="Normal 77 5 2 2 2 2" xfId="17637" xr:uid="{00000000-0005-0000-0000-000051360000}"/>
    <cellStyle name="Normal 77 5 2 2 3" xfId="13124" xr:uid="{00000000-0005-0000-0000-000052360000}"/>
    <cellStyle name="Normal 77 5 2 3" xfId="6377" xr:uid="{00000000-0005-0000-0000-000053360000}"/>
    <cellStyle name="Normal 77 5 2 3 2" xfId="15418" xr:uid="{00000000-0005-0000-0000-000054360000}"/>
    <cellStyle name="Normal 77 5 2 4" xfId="10905" xr:uid="{00000000-0005-0000-0000-000055360000}"/>
    <cellStyle name="Normal 77 5 3" xfId="4081" xr:uid="{00000000-0005-0000-0000-000056360000}"/>
    <cellStyle name="Normal 77 5 3 2" xfId="8595" xr:uid="{00000000-0005-0000-0000-000057360000}"/>
    <cellStyle name="Normal 77 5 3 2 2" xfId="17636" xr:uid="{00000000-0005-0000-0000-000058360000}"/>
    <cellStyle name="Normal 77 5 3 3" xfId="13123" xr:uid="{00000000-0005-0000-0000-000059360000}"/>
    <cellStyle name="Normal 77 5 4" xfId="5249" xr:uid="{00000000-0005-0000-0000-00005A360000}"/>
    <cellStyle name="Normal 77 5 4 2" xfId="14290" xr:uid="{00000000-0005-0000-0000-00005B360000}"/>
    <cellStyle name="Normal 77 5 5" xfId="9777" xr:uid="{00000000-0005-0000-0000-00005C360000}"/>
    <cellStyle name="Normal 77 6" xfId="1290" xr:uid="{00000000-0005-0000-0000-00005D360000}"/>
    <cellStyle name="Normal 77 6 2" xfId="4083" xr:uid="{00000000-0005-0000-0000-00005E360000}"/>
    <cellStyle name="Normal 77 6 2 2" xfId="8597" xr:uid="{00000000-0005-0000-0000-00005F360000}"/>
    <cellStyle name="Normal 77 6 2 2 2" xfId="17638" xr:uid="{00000000-0005-0000-0000-000060360000}"/>
    <cellStyle name="Normal 77 6 2 3" xfId="13125" xr:uid="{00000000-0005-0000-0000-000061360000}"/>
    <cellStyle name="Normal 77 6 3" xfId="5813" xr:uid="{00000000-0005-0000-0000-000062360000}"/>
    <cellStyle name="Normal 77 6 3 2" xfId="14854" xr:uid="{00000000-0005-0000-0000-000063360000}"/>
    <cellStyle name="Normal 77 6 4" xfId="10341" xr:uid="{00000000-0005-0000-0000-000064360000}"/>
    <cellStyle name="Normal 77 7" xfId="4060" xr:uid="{00000000-0005-0000-0000-000065360000}"/>
    <cellStyle name="Normal 77 7 2" xfId="8574" xr:uid="{00000000-0005-0000-0000-000066360000}"/>
    <cellStyle name="Normal 77 7 2 2" xfId="17615" xr:uid="{00000000-0005-0000-0000-000067360000}"/>
    <cellStyle name="Normal 77 7 3" xfId="13102" xr:uid="{00000000-0005-0000-0000-000068360000}"/>
    <cellStyle name="Normal 77 8" xfId="4685" xr:uid="{00000000-0005-0000-0000-000069360000}"/>
    <cellStyle name="Normal 77 8 2" xfId="13726" xr:uid="{00000000-0005-0000-0000-00006A360000}"/>
    <cellStyle name="Normal 77 9" xfId="9213" xr:uid="{00000000-0005-0000-0000-00006B360000}"/>
    <cellStyle name="Normal 78" xfId="78" xr:uid="{00000000-0005-0000-0000-00006C360000}"/>
    <cellStyle name="Normal 78 2" xfId="174" xr:uid="{00000000-0005-0000-0000-00006D360000}"/>
    <cellStyle name="Normal 78 2 2" xfId="403" xr:uid="{00000000-0005-0000-0000-00006E360000}"/>
    <cellStyle name="Normal 78 2 2 2" xfId="967" xr:uid="{00000000-0005-0000-0000-00006F360000}"/>
    <cellStyle name="Normal 78 2 2 2 2" xfId="2137" xr:uid="{00000000-0005-0000-0000-000070360000}"/>
    <cellStyle name="Normal 78 2 2 2 2 2" xfId="4088" xr:uid="{00000000-0005-0000-0000-000071360000}"/>
    <cellStyle name="Normal 78 2 2 2 2 2 2" xfId="8602" xr:uid="{00000000-0005-0000-0000-000072360000}"/>
    <cellStyle name="Normal 78 2 2 2 2 2 2 2" xfId="17643" xr:uid="{00000000-0005-0000-0000-000073360000}"/>
    <cellStyle name="Normal 78 2 2 2 2 2 3" xfId="13130" xr:uid="{00000000-0005-0000-0000-000074360000}"/>
    <cellStyle name="Normal 78 2 2 2 2 3" xfId="6660" xr:uid="{00000000-0005-0000-0000-000075360000}"/>
    <cellStyle name="Normal 78 2 2 2 2 3 2" xfId="15701" xr:uid="{00000000-0005-0000-0000-000076360000}"/>
    <cellStyle name="Normal 78 2 2 2 2 4" xfId="11188" xr:uid="{00000000-0005-0000-0000-000077360000}"/>
    <cellStyle name="Normal 78 2 2 2 3" xfId="4087" xr:uid="{00000000-0005-0000-0000-000078360000}"/>
    <cellStyle name="Normal 78 2 2 2 3 2" xfId="8601" xr:uid="{00000000-0005-0000-0000-000079360000}"/>
    <cellStyle name="Normal 78 2 2 2 3 2 2" xfId="17642" xr:uid="{00000000-0005-0000-0000-00007A360000}"/>
    <cellStyle name="Normal 78 2 2 2 3 3" xfId="13129" xr:uid="{00000000-0005-0000-0000-00007B360000}"/>
    <cellStyle name="Normal 78 2 2 2 4" xfId="5532" xr:uid="{00000000-0005-0000-0000-00007C360000}"/>
    <cellStyle name="Normal 78 2 2 2 4 2" xfId="14573" xr:uid="{00000000-0005-0000-0000-00007D360000}"/>
    <cellStyle name="Normal 78 2 2 2 5" xfId="10060" xr:uid="{00000000-0005-0000-0000-00007E360000}"/>
    <cellStyle name="Normal 78 2 2 3" xfId="1573" xr:uid="{00000000-0005-0000-0000-00007F360000}"/>
    <cellStyle name="Normal 78 2 2 3 2" xfId="4089" xr:uid="{00000000-0005-0000-0000-000080360000}"/>
    <cellStyle name="Normal 78 2 2 3 2 2" xfId="8603" xr:uid="{00000000-0005-0000-0000-000081360000}"/>
    <cellStyle name="Normal 78 2 2 3 2 2 2" xfId="17644" xr:uid="{00000000-0005-0000-0000-000082360000}"/>
    <cellStyle name="Normal 78 2 2 3 2 3" xfId="13131" xr:uid="{00000000-0005-0000-0000-000083360000}"/>
    <cellStyle name="Normal 78 2 2 3 3" xfId="6096" xr:uid="{00000000-0005-0000-0000-000084360000}"/>
    <cellStyle name="Normal 78 2 2 3 3 2" xfId="15137" xr:uid="{00000000-0005-0000-0000-000085360000}"/>
    <cellStyle name="Normal 78 2 2 3 4" xfId="10624" xr:uid="{00000000-0005-0000-0000-000086360000}"/>
    <cellStyle name="Normal 78 2 2 4" xfId="4086" xr:uid="{00000000-0005-0000-0000-000087360000}"/>
    <cellStyle name="Normal 78 2 2 4 2" xfId="8600" xr:uid="{00000000-0005-0000-0000-000088360000}"/>
    <cellStyle name="Normal 78 2 2 4 2 2" xfId="17641" xr:uid="{00000000-0005-0000-0000-000089360000}"/>
    <cellStyle name="Normal 78 2 2 4 3" xfId="13128" xr:uid="{00000000-0005-0000-0000-00008A360000}"/>
    <cellStyle name="Normal 78 2 2 5" xfId="4968" xr:uid="{00000000-0005-0000-0000-00008B360000}"/>
    <cellStyle name="Normal 78 2 2 5 2" xfId="14009" xr:uid="{00000000-0005-0000-0000-00008C360000}"/>
    <cellStyle name="Normal 78 2 2 6" xfId="9496" xr:uid="{00000000-0005-0000-0000-00008D360000}"/>
    <cellStyle name="Normal 78 2 3" xfId="591" xr:uid="{00000000-0005-0000-0000-00008E360000}"/>
    <cellStyle name="Normal 78 2 3 2" xfId="1155" xr:uid="{00000000-0005-0000-0000-00008F360000}"/>
    <cellStyle name="Normal 78 2 3 2 2" xfId="2325" xr:uid="{00000000-0005-0000-0000-000090360000}"/>
    <cellStyle name="Normal 78 2 3 2 2 2" xfId="4092" xr:uid="{00000000-0005-0000-0000-000091360000}"/>
    <cellStyle name="Normal 78 2 3 2 2 2 2" xfId="8606" xr:uid="{00000000-0005-0000-0000-000092360000}"/>
    <cellStyle name="Normal 78 2 3 2 2 2 2 2" xfId="17647" xr:uid="{00000000-0005-0000-0000-000093360000}"/>
    <cellStyle name="Normal 78 2 3 2 2 2 3" xfId="13134" xr:uid="{00000000-0005-0000-0000-000094360000}"/>
    <cellStyle name="Normal 78 2 3 2 2 3" xfId="6848" xr:uid="{00000000-0005-0000-0000-000095360000}"/>
    <cellStyle name="Normal 78 2 3 2 2 3 2" xfId="15889" xr:uid="{00000000-0005-0000-0000-000096360000}"/>
    <cellStyle name="Normal 78 2 3 2 2 4" xfId="11376" xr:uid="{00000000-0005-0000-0000-000097360000}"/>
    <cellStyle name="Normal 78 2 3 2 3" xfId="4091" xr:uid="{00000000-0005-0000-0000-000098360000}"/>
    <cellStyle name="Normal 78 2 3 2 3 2" xfId="8605" xr:uid="{00000000-0005-0000-0000-000099360000}"/>
    <cellStyle name="Normal 78 2 3 2 3 2 2" xfId="17646" xr:uid="{00000000-0005-0000-0000-00009A360000}"/>
    <cellStyle name="Normal 78 2 3 2 3 3" xfId="13133" xr:uid="{00000000-0005-0000-0000-00009B360000}"/>
    <cellStyle name="Normal 78 2 3 2 4" xfId="5720" xr:uid="{00000000-0005-0000-0000-00009C360000}"/>
    <cellStyle name="Normal 78 2 3 2 4 2" xfId="14761" xr:uid="{00000000-0005-0000-0000-00009D360000}"/>
    <cellStyle name="Normal 78 2 3 2 5" xfId="10248" xr:uid="{00000000-0005-0000-0000-00009E360000}"/>
    <cellStyle name="Normal 78 2 3 3" xfId="1761" xr:uid="{00000000-0005-0000-0000-00009F360000}"/>
    <cellStyle name="Normal 78 2 3 3 2" xfId="4093" xr:uid="{00000000-0005-0000-0000-0000A0360000}"/>
    <cellStyle name="Normal 78 2 3 3 2 2" xfId="8607" xr:uid="{00000000-0005-0000-0000-0000A1360000}"/>
    <cellStyle name="Normal 78 2 3 3 2 2 2" xfId="17648" xr:uid="{00000000-0005-0000-0000-0000A2360000}"/>
    <cellStyle name="Normal 78 2 3 3 2 3" xfId="13135" xr:uid="{00000000-0005-0000-0000-0000A3360000}"/>
    <cellStyle name="Normal 78 2 3 3 3" xfId="6284" xr:uid="{00000000-0005-0000-0000-0000A4360000}"/>
    <cellStyle name="Normal 78 2 3 3 3 2" xfId="15325" xr:uid="{00000000-0005-0000-0000-0000A5360000}"/>
    <cellStyle name="Normal 78 2 3 3 4" xfId="10812" xr:uid="{00000000-0005-0000-0000-0000A6360000}"/>
    <cellStyle name="Normal 78 2 3 4" xfId="4090" xr:uid="{00000000-0005-0000-0000-0000A7360000}"/>
    <cellStyle name="Normal 78 2 3 4 2" xfId="8604" xr:uid="{00000000-0005-0000-0000-0000A8360000}"/>
    <cellStyle name="Normal 78 2 3 4 2 2" xfId="17645" xr:uid="{00000000-0005-0000-0000-0000A9360000}"/>
    <cellStyle name="Normal 78 2 3 4 3" xfId="13132" xr:uid="{00000000-0005-0000-0000-0000AA360000}"/>
    <cellStyle name="Normal 78 2 3 5" xfId="5156" xr:uid="{00000000-0005-0000-0000-0000AB360000}"/>
    <cellStyle name="Normal 78 2 3 5 2" xfId="14197" xr:uid="{00000000-0005-0000-0000-0000AC360000}"/>
    <cellStyle name="Normal 78 2 3 6" xfId="9684" xr:uid="{00000000-0005-0000-0000-0000AD360000}"/>
    <cellStyle name="Normal 78 2 4" xfId="779" xr:uid="{00000000-0005-0000-0000-0000AE360000}"/>
    <cellStyle name="Normal 78 2 4 2" xfId="1949" xr:uid="{00000000-0005-0000-0000-0000AF360000}"/>
    <cellStyle name="Normal 78 2 4 2 2" xfId="4095" xr:uid="{00000000-0005-0000-0000-0000B0360000}"/>
    <cellStyle name="Normal 78 2 4 2 2 2" xfId="8609" xr:uid="{00000000-0005-0000-0000-0000B1360000}"/>
    <cellStyle name="Normal 78 2 4 2 2 2 2" xfId="17650" xr:uid="{00000000-0005-0000-0000-0000B2360000}"/>
    <cellStyle name="Normal 78 2 4 2 2 3" xfId="13137" xr:uid="{00000000-0005-0000-0000-0000B3360000}"/>
    <cellStyle name="Normal 78 2 4 2 3" xfId="6472" xr:uid="{00000000-0005-0000-0000-0000B4360000}"/>
    <cellStyle name="Normal 78 2 4 2 3 2" xfId="15513" xr:uid="{00000000-0005-0000-0000-0000B5360000}"/>
    <cellStyle name="Normal 78 2 4 2 4" xfId="11000" xr:uid="{00000000-0005-0000-0000-0000B6360000}"/>
    <cellStyle name="Normal 78 2 4 3" xfId="4094" xr:uid="{00000000-0005-0000-0000-0000B7360000}"/>
    <cellStyle name="Normal 78 2 4 3 2" xfId="8608" xr:uid="{00000000-0005-0000-0000-0000B8360000}"/>
    <cellStyle name="Normal 78 2 4 3 2 2" xfId="17649" xr:uid="{00000000-0005-0000-0000-0000B9360000}"/>
    <cellStyle name="Normal 78 2 4 3 3" xfId="13136" xr:uid="{00000000-0005-0000-0000-0000BA360000}"/>
    <cellStyle name="Normal 78 2 4 4" xfId="5344" xr:uid="{00000000-0005-0000-0000-0000BB360000}"/>
    <cellStyle name="Normal 78 2 4 4 2" xfId="14385" xr:uid="{00000000-0005-0000-0000-0000BC360000}"/>
    <cellStyle name="Normal 78 2 4 5" xfId="9872" xr:uid="{00000000-0005-0000-0000-0000BD360000}"/>
    <cellStyle name="Normal 78 2 5" xfId="1385" xr:uid="{00000000-0005-0000-0000-0000BE360000}"/>
    <cellStyle name="Normal 78 2 5 2" xfId="4096" xr:uid="{00000000-0005-0000-0000-0000BF360000}"/>
    <cellStyle name="Normal 78 2 5 2 2" xfId="8610" xr:uid="{00000000-0005-0000-0000-0000C0360000}"/>
    <cellStyle name="Normal 78 2 5 2 2 2" xfId="17651" xr:uid="{00000000-0005-0000-0000-0000C1360000}"/>
    <cellStyle name="Normal 78 2 5 2 3" xfId="13138" xr:uid="{00000000-0005-0000-0000-0000C2360000}"/>
    <cellStyle name="Normal 78 2 5 3" xfId="5908" xr:uid="{00000000-0005-0000-0000-0000C3360000}"/>
    <cellStyle name="Normal 78 2 5 3 2" xfId="14949" xr:uid="{00000000-0005-0000-0000-0000C4360000}"/>
    <cellStyle name="Normal 78 2 5 4" xfId="10436" xr:uid="{00000000-0005-0000-0000-0000C5360000}"/>
    <cellStyle name="Normal 78 2 6" xfId="4085" xr:uid="{00000000-0005-0000-0000-0000C6360000}"/>
    <cellStyle name="Normal 78 2 6 2" xfId="8599" xr:uid="{00000000-0005-0000-0000-0000C7360000}"/>
    <cellStyle name="Normal 78 2 6 2 2" xfId="17640" xr:uid="{00000000-0005-0000-0000-0000C8360000}"/>
    <cellStyle name="Normal 78 2 6 3" xfId="13127" xr:uid="{00000000-0005-0000-0000-0000C9360000}"/>
    <cellStyle name="Normal 78 2 7" xfId="4780" xr:uid="{00000000-0005-0000-0000-0000CA360000}"/>
    <cellStyle name="Normal 78 2 7 2" xfId="13821" xr:uid="{00000000-0005-0000-0000-0000CB360000}"/>
    <cellStyle name="Normal 78 2 8" xfId="9308" xr:uid="{00000000-0005-0000-0000-0000CC360000}"/>
    <cellStyle name="Normal 78 3" xfId="309" xr:uid="{00000000-0005-0000-0000-0000CD360000}"/>
    <cellStyle name="Normal 78 3 2" xfId="873" xr:uid="{00000000-0005-0000-0000-0000CE360000}"/>
    <cellStyle name="Normal 78 3 2 2" xfId="2043" xr:uid="{00000000-0005-0000-0000-0000CF360000}"/>
    <cellStyle name="Normal 78 3 2 2 2" xfId="4099" xr:uid="{00000000-0005-0000-0000-0000D0360000}"/>
    <cellStyle name="Normal 78 3 2 2 2 2" xfId="8613" xr:uid="{00000000-0005-0000-0000-0000D1360000}"/>
    <cellStyle name="Normal 78 3 2 2 2 2 2" xfId="17654" xr:uid="{00000000-0005-0000-0000-0000D2360000}"/>
    <cellStyle name="Normal 78 3 2 2 2 3" xfId="13141" xr:uid="{00000000-0005-0000-0000-0000D3360000}"/>
    <cellStyle name="Normal 78 3 2 2 3" xfId="6566" xr:uid="{00000000-0005-0000-0000-0000D4360000}"/>
    <cellStyle name="Normal 78 3 2 2 3 2" xfId="15607" xr:uid="{00000000-0005-0000-0000-0000D5360000}"/>
    <cellStyle name="Normal 78 3 2 2 4" xfId="11094" xr:uid="{00000000-0005-0000-0000-0000D6360000}"/>
    <cellStyle name="Normal 78 3 2 3" xfId="4098" xr:uid="{00000000-0005-0000-0000-0000D7360000}"/>
    <cellStyle name="Normal 78 3 2 3 2" xfId="8612" xr:uid="{00000000-0005-0000-0000-0000D8360000}"/>
    <cellStyle name="Normal 78 3 2 3 2 2" xfId="17653" xr:uid="{00000000-0005-0000-0000-0000D9360000}"/>
    <cellStyle name="Normal 78 3 2 3 3" xfId="13140" xr:uid="{00000000-0005-0000-0000-0000DA360000}"/>
    <cellStyle name="Normal 78 3 2 4" xfId="5438" xr:uid="{00000000-0005-0000-0000-0000DB360000}"/>
    <cellStyle name="Normal 78 3 2 4 2" xfId="14479" xr:uid="{00000000-0005-0000-0000-0000DC360000}"/>
    <cellStyle name="Normal 78 3 2 5" xfId="9966" xr:uid="{00000000-0005-0000-0000-0000DD360000}"/>
    <cellStyle name="Normal 78 3 3" xfId="1479" xr:uid="{00000000-0005-0000-0000-0000DE360000}"/>
    <cellStyle name="Normal 78 3 3 2" xfId="4100" xr:uid="{00000000-0005-0000-0000-0000DF360000}"/>
    <cellStyle name="Normal 78 3 3 2 2" xfId="8614" xr:uid="{00000000-0005-0000-0000-0000E0360000}"/>
    <cellStyle name="Normal 78 3 3 2 2 2" xfId="17655" xr:uid="{00000000-0005-0000-0000-0000E1360000}"/>
    <cellStyle name="Normal 78 3 3 2 3" xfId="13142" xr:uid="{00000000-0005-0000-0000-0000E2360000}"/>
    <cellStyle name="Normal 78 3 3 3" xfId="6002" xr:uid="{00000000-0005-0000-0000-0000E3360000}"/>
    <cellStyle name="Normal 78 3 3 3 2" xfId="15043" xr:uid="{00000000-0005-0000-0000-0000E4360000}"/>
    <cellStyle name="Normal 78 3 3 4" xfId="10530" xr:uid="{00000000-0005-0000-0000-0000E5360000}"/>
    <cellStyle name="Normal 78 3 4" xfId="4097" xr:uid="{00000000-0005-0000-0000-0000E6360000}"/>
    <cellStyle name="Normal 78 3 4 2" xfId="8611" xr:uid="{00000000-0005-0000-0000-0000E7360000}"/>
    <cellStyle name="Normal 78 3 4 2 2" xfId="17652" xr:uid="{00000000-0005-0000-0000-0000E8360000}"/>
    <cellStyle name="Normal 78 3 4 3" xfId="13139" xr:uid="{00000000-0005-0000-0000-0000E9360000}"/>
    <cellStyle name="Normal 78 3 5" xfId="4874" xr:uid="{00000000-0005-0000-0000-0000EA360000}"/>
    <cellStyle name="Normal 78 3 5 2" xfId="13915" xr:uid="{00000000-0005-0000-0000-0000EB360000}"/>
    <cellStyle name="Normal 78 3 6" xfId="9402" xr:uid="{00000000-0005-0000-0000-0000EC360000}"/>
    <cellStyle name="Normal 78 4" xfId="497" xr:uid="{00000000-0005-0000-0000-0000ED360000}"/>
    <cellStyle name="Normal 78 4 2" xfId="1061" xr:uid="{00000000-0005-0000-0000-0000EE360000}"/>
    <cellStyle name="Normal 78 4 2 2" xfId="2231" xr:uid="{00000000-0005-0000-0000-0000EF360000}"/>
    <cellStyle name="Normal 78 4 2 2 2" xfId="4103" xr:uid="{00000000-0005-0000-0000-0000F0360000}"/>
    <cellStyle name="Normal 78 4 2 2 2 2" xfId="8617" xr:uid="{00000000-0005-0000-0000-0000F1360000}"/>
    <cellStyle name="Normal 78 4 2 2 2 2 2" xfId="17658" xr:uid="{00000000-0005-0000-0000-0000F2360000}"/>
    <cellStyle name="Normal 78 4 2 2 2 3" xfId="13145" xr:uid="{00000000-0005-0000-0000-0000F3360000}"/>
    <cellStyle name="Normal 78 4 2 2 3" xfId="6754" xr:uid="{00000000-0005-0000-0000-0000F4360000}"/>
    <cellStyle name="Normal 78 4 2 2 3 2" xfId="15795" xr:uid="{00000000-0005-0000-0000-0000F5360000}"/>
    <cellStyle name="Normal 78 4 2 2 4" xfId="11282" xr:uid="{00000000-0005-0000-0000-0000F6360000}"/>
    <cellStyle name="Normal 78 4 2 3" xfId="4102" xr:uid="{00000000-0005-0000-0000-0000F7360000}"/>
    <cellStyle name="Normal 78 4 2 3 2" xfId="8616" xr:uid="{00000000-0005-0000-0000-0000F8360000}"/>
    <cellStyle name="Normal 78 4 2 3 2 2" xfId="17657" xr:uid="{00000000-0005-0000-0000-0000F9360000}"/>
    <cellStyle name="Normal 78 4 2 3 3" xfId="13144" xr:uid="{00000000-0005-0000-0000-0000FA360000}"/>
    <cellStyle name="Normal 78 4 2 4" xfId="5626" xr:uid="{00000000-0005-0000-0000-0000FB360000}"/>
    <cellStyle name="Normal 78 4 2 4 2" xfId="14667" xr:uid="{00000000-0005-0000-0000-0000FC360000}"/>
    <cellStyle name="Normal 78 4 2 5" xfId="10154" xr:uid="{00000000-0005-0000-0000-0000FD360000}"/>
    <cellStyle name="Normal 78 4 3" xfId="1667" xr:uid="{00000000-0005-0000-0000-0000FE360000}"/>
    <cellStyle name="Normal 78 4 3 2" xfId="4104" xr:uid="{00000000-0005-0000-0000-0000FF360000}"/>
    <cellStyle name="Normal 78 4 3 2 2" xfId="8618" xr:uid="{00000000-0005-0000-0000-000000370000}"/>
    <cellStyle name="Normal 78 4 3 2 2 2" xfId="17659" xr:uid="{00000000-0005-0000-0000-000001370000}"/>
    <cellStyle name="Normal 78 4 3 2 3" xfId="13146" xr:uid="{00000000-0005-0000-0000-000002370000}"/>
    <cellStyle name="Normal 78 4 3 3" xfId="6190" xr:uid="{00000000-0005-0000-0000-000003370000}"/>
    <cellStyle name="Normal 78 4 3 3 2" xfId="15231" xr:uid="{00000000-0005-0000-0000-000004370000}"/>
    <cellStyle name="Normal 78 4 3 4" xfId="10718" xr:uid="{00000000-0005-0000-0000-000005370000}"/>
    <cellStyle name="Normal 78 4 4" xfId="4101" xr:uid="{00000000-0005-0000-0000-000006370000}"/>
    <cellStyle name="Normal 78 4 4 2" xfId="8615" xr:uid="{00000000-0005-0000-0000-000007370000}"/>
    <cellStyle name="Normal 78 4 4 2 2" xfId="17656" xr:uid="{00000000-0005-0000-0000-000008370000}"/>
    <cellStyle name="Normal 78 4 4 3" xfId="13143" xr:uid="{00000000-0005-0000-0000-000009370000}"/>
    <cellStyle name="Normal 78 4 5" xfId="5062" xr:uid="{00000000-0005-0000-0000-00000A370000}"/>
    <cellStyle name="Normal 78 4 5 2" xfId="14103" xr:uid="{00000000-0005-0000-0000-00000B370000}"/>
    <cellStyle name="Normal 78 4 6" xfId="9590" xr:uid="{00000000-0005-0000-0000-00000C370000}"/>
    <cellStyle name="Normal 78 5" xfId="685" xr:uid="{00000000-0005-0000-0000-00000D370000}"/>
    <cellStyle name="Normal 78 5 2" xfId="1855" xr:uid="{00000000-0005-0000-0000-00000E370000}"/>
    <cellStyle name="Normal 78 5 2 2" xfId="4106" xr:uid="{00000000-0005-0000-0000-00000F370000}"/>
    <cellStyle name="Normal 78 5 2 2 2" xfId="8620" xr:uid="{00000000-0005-0000-0000-000010370000}"/>
    <cellStyle name="Normal 78 5 2 2 2 2" xfId="17661" xr:uid="{00000000-0005-0000-0000-000011370000}"/>
    <cellStyle name="Normal 78 5 2 2 3" xfId="13148" xr:uid="{00000000-0005-0000-0000-000012370000}"/>
    <cellStyle name="Normal 78 5 2 3" xfId="6378" xr:uid="{00000000-0005-0000-0000-000013370000}"/>
    <cellStyle name="Normal 78 5 2 3 2" xfId="15419" xr:uid="{00000000-0005-0000-0000-000014370000}"/>
    <cellStyle name="Normal 78 5 2 4" xfId="10906" xr:uid="{00000000-0005-0000-0000-000015370000}"/>
    <cellStyle name="Normal 78 5 3" xfId="4105" xr:uid="{00000000-0005-0000-0000-000016370000}"/>
    <cellStyle name="Normal 78 5 3 2" xfId="8619" xr:uid="{00000000-0005-0000-0000-000017370000}"/>
    <cellStyle name="Normal 78 5 3 2 2" xfId="17660" xr:uid="{00000000-0005-0000-0000-000018370000}"/>
    <cellStyle name="Normal 78 5 3 3" xfId="13147" xr:uid="{00000000-0005-0000-0000-000019370000}"/>
    <cellStyle name="Normal 78 5 4" xfId="5250" xr:uid="{00000000-0005-0000-0000-00001A370000}"/>
    <cellStyle name="Normal 78 5 4 2" xfId="14291" xr:uid="{00000000-0005-0000-0000-00001B370000}"/>
    <cellStyle name="Normal 78 5 5" xfId="9778" xr:uid="{00000000-0005-0000-0000-00001C370000}"/>
    <cellStyle name="Normal 78 6" xfId="1291" xr:uid="{00000000-0005-0000-0000-00001D370000}"/>
    <cellStyle name="Normal 78 6 2" xfId="4107" xr:uid="{00000000-0005-0000-0000-00001E370000}"/>
    <cellStyle name="Normal 78 6 2 2" xfId="8621" xr:uid="{00000000-0005-0000-0000-00001F370000}"/>
    <cellStyle name="Normal 78 6 2 2 2" xfId="17662" xr:uid="{00000000-0005-0000-0000-000020370000}"/>
    <cellStyle name="Normal 78 6 2 3" xfId="13149" xr:uid="{00000000-0005-0000-0000-000021370000}"/>
    <cellStyle name="Normal 78 6 3" xfId="5814" xr:uid="{00000000-0005-0000-0000-000022370000}"/>
    <cellStyle name="Normal 78 6 3 2" xfId="14855" xr:uid="{00000000-0005-0000-0000-000023370000}"/>
    <cellStyle name="Normal 78 6 4" xfId="10342" xr:uid="{00000000-0005-0000-0000-000024370000}"/>
    <cellStyle name="Normal 78 7" xfId="4084" xr:uid="{00000000-0005-0000-0000-000025370000}"/>
    <cellStyle name="Normal 78 7 2" xfId="8598" xr:uid="{00000000-0005-0000-0000-000026370000}"/>
    <cellStyle name="Normal 78 7 2 2" xfId="17639" xr:uid="{00000000-0005-0000-0000-000027370000}"/>
    <cellStyle name="Normal 78 7 3" xfId="13126" xr:uid="{00000000-0005-0000-0000-000028370000}"/>
    <cellStyle name="Normal 78 8" xfId="4686" xr:uid="{00000000-0005-0000-0000-000029370000}"/>
    <cellStyle name="Normal 78 8 2" xfId="13727" xr:uid="{00000000-0005-0000-0000-00002A370000}"/>
    <cellStyle name="Normal 78 9" xfId="9214" xr:uid="{00000000-0005-0000-0000-00002B370000}"/>
    <cellStyle name="Normal 79" xfId="79" xr:uid="{00000000-0005-0000-0000-00002C370000}"/>
    <cellStyle name="Normal 79 2" xfId="175" xr:uid="{00000000-0005-0000-0000-00002D370000}"/>
    <cellStyle name="Normal 79 2 2" xfId="404" xr:uid="{00000000-0005-0000-0000-00002E370000}"/>
    <cellStyle name="Normal 79 2 2 2" xfId="968" xr:uid="{00000000-0005-0000-0000-00002F370000}"/>
    <cellStyle name="Normal 79 2 2 2 2" xfId="2138" xr:uid="{00000000-0005-0000-0000-000030370000}"/>
    <cellStyle name="Normal 79 2 2 2 2 2" xfId="4112" xr:uid="{00000000-0005-0000-0000-000031370000}"/>
    <cellStyle name="Normal 79 2 2 2 2 2 2" xfId="8626" xr:uid="{00000000-0005-0000-0000-000032370000}"/>
    <cellStyle name="Normal 79 2 2 2 2 2 2 2" xfId="17667" xr:uid="{00000000-0005-0000-0000-000033370000}"/>
    <cellStyle name="Normal 79 2 2 2 2 2 3" xfId="13154" xr:uid="{00000000-0005-0000-0000-000034370000}"/>
    <cellStyle name="Normal 79 2 2 2 2 3" xfId="6661" xr:uid="{00000000-0005-0000-0000-000035370000}"/>
    <cellStyle name="Normal 79 2 2 2 2 3 2" xfId="15702" xr:uid="{00000000-0005-0000-0000-000036370000}"/>
    <cellStyle name="Normal 79 2 2 2 2 4" xfId="11189" xr:uid="{00000000-0005-0000-0000-000037370000}"/>
    <cellStyle name="Normal 79 2 2 2 3" xfId="4111" xr:uid="{00000000-0005-0000-0000-000038370000}"/>
    <cellStyle name="Normal 79 2 2 2 3 2" xfId="8625" xr:uid="{00000000-0005-0000-0000-000039370000}"/>
    <cellStyle name="Normal 79 2 2 2 3 2 2" xfId="17666" xr:uid="{00000000-0005-0000-0000-00003A370000}"/>
    <cellStyle name="Normal 79 2 2 2 3 3" xfId="13153" xr:uid="{00000000-0005-0000-0000-00003B370000}"/>
    <cellStyle name="Normal 79 2 2 2 4" xfId="5533" xr:uid="{00000000-0005-0000-0000-00003C370000}"/>
    <cellStyle name="Normal 79 2 2 2 4 2" xfId="14574" xr:uid="{00000000-0005-0000-0000-00003D370000}"/>
    <cellStyle name="Normal 79 2 2 2 5" xfId="10061" xr:uid="{00000000-0005-0000-0000-00003E370000}"/>
    <cellStyle name="Normal 79 2 2 3" xfId="1574" xr:uid="{00000000-0005-0000-0000-00003F370000}"/>
    <cellStyle name="Normal 79 2 2 3 2" xfId="4113" xr:uid="{00000000-0005-0000-0000-000040370000}"/>
    <cellStyle name="Normal 79 2 2 3 2 2" xfId="8627" xr:uid="{00000000-0005-0000-0000-000041370000}"/>
    <cellStyle name="Normal 79 2 2 3 2 2 2" xfId="17668" xr:uid="{00000000-0005-0000-0000-000042370000}"/>
    <cellStyle name="Normal 79 2 2 3 2 3" xfId="13155" xr:uid="{00000000-0005-0000-0000-000043370000}"/>
    <cellStyle name="Normal 79 2 2 3 3" xfId="6097" xr:uid="{00000000-0005-0000-0000-000044370000}"/>
    <cellStyle name="Normal 79 2 2 3 3 2" xfId="15138" xr:uid="{00000000-0005-0000-0000-000045370000}"/>
    <cellStyle name="Normal 79 2 2 3 4" xfId="10625" xr:uid="{00000000-0005-0000-0000-000046370000}"/>
    <cellStyle name="Normal 79 2 2 4" xfId="4110" xr:uid="{00000000-0005-0000-0000-000047370000}"/>
    <cellStyle name="Normal 79 2 2 4 2" xfId="8624" xr:uid="{00000000-0005-0000-0000-000048370000}"/>
    <cellStyle name="Normal 79 2 2 4 2 2" xfId="17665" xr:uid="{00000000-0005-0000-0000-000049370000}"/>
    <cellStyle name="Normal 79 2 2 4 3" xfId="13152" xr:uid="{00000000-0005-0000-0000-00004A370000}"/>
    <cellStyle name="Normal 79 2 2 5" xfId="4969" xr:uid="{00000000-0005-0000-0000-00004B370000}"/>
    <cellStyle name="Normal 79 2 2 5 2" xfId="14010" xr:uid="{00000000-0005-0000-0000-00004C370000}"/>
    <cellStyle name="Normal 79 2 2 6" xfId="9497" xr:uid="{00000000-0005-0000-0000-00004D370000}"/>
    <cellStyle name="Normal 79 2 3" xfId="592" xr:uid="{00000000-0005-0000-0000-00004E370000}"/>
    <cellStyle name="Normal 79 2 3 2" xfId="1156" xr:uid="{00000000-0005-0000-0000-00004F370000}"/>
    <cellStyle name="Normal 79 2 3 2 2" xfId="2326" xr:uid="{00000000-0005-0000-0000-000050370000}"/>
    <cellStyle name="Normal 79 2 3 2 2 2" xfId="4116" xr:uid="{00000000-0005-0000-0000-000051370000}"/>
    <cellStyle name="Normal 79 2 3 2 2 2 2" xfId="8630" xr:uid="{00000000-0005-0000-0000-000052370000}"/>
    <cellStyle name="Normal 79 2 3 2 2 2 2 2" xfId="17671" xr:uid="{00000000-0005-0000-0000-000053370000}"/>
    <cellStyle name="Normal 79 2 3 2 2 2 3" xfId="13158" xr:uid="{00000000-0005-0000-0000-000054370000}"/>
    <cellStyle name="Normal 79 2 3 2 2 3" xfId="6849" xr:uid="{00000000-0005-0000-0000-000055370000}"/>
    <cellStyle name="Normal 79 2 3 2 2 3 2" xfId="15890" xr:uid="{00000000-0005-0000-0000-000056370000}"/>
    <cellStyle name="Normal 79 2 3 2 2 4" xfId="11377" xr:uid="{00000000-0005-0000-0000-000057370000}"/>
    <cellStyle name="Normal 79 2 3 2 3" xfId="4115" xr:uid="{00000000-0005-0000-0000-000058370000}"/>
    <cellStyle name="Normal 79 2 3 2 3 2" xfId="8629" xr:uid="{00000000-0005-0000-0000-000059370000}"/>
    <cellStyle name="Normal 79 2 3 2 3 2 2" xfId="17670" xr:uid="{00000000-0005-0000-0000-00005A370000}"/>
    <cellStyle name="Normal 79 2 3 2 3 3" xfId="13157" xr:uid="{00000000-0005-0000-0000-00005B370000}"/>
    <cellStyle name="Normal 79 2 3 2 4" xfId="5721" xr:uid="{00000000-0005-0000-0000-00005C370000}"/>
    <cellStyle name="Normal 79 2 3 2 4 2" xfId="14762" xr:uid="{00000000-0005-0000-0000-00005D370000}"/>
    <cellStyle name="Normal 79 2 3 2 5" xfId="10249" xr:uid="{00000000-0005-0000-0000-00005E370000}"/>
    <cellStyle name="Normal 79 2 3 3" xfId="1762" xr:uid="{00000000-0005-0000-0000-00005F370000}"/>
    <cellStyle name="Normal 79 2 3 3 2" xfId="4117" xr:uid="{00000000-0005-0000-0000-000060370000}"/>
    <cellStyle name="Normal 79 2 3 3 2 2" xfId="8631" xr:uid="{00000000-0005-0000-0000-000061370000}"/>
    <cellStyle name="Normal 79 2 3 3 2 2 2" xfId="17672" xr:uid="{00000000-0005-0000-0000-000062370000}"/>
    <cellStyle name="Normal 79 2 3 3 2 3" xfId="13159" xr:uid="{00000000-0005-0000-0000-000063370000}"/>
    <cellStyle name="Normal 79 2 3 3 3" xfId="6285" xr:uid="{00000000-0005-0000-0000-000064370000}"/>
    <cellStyle name="Normal 79 2 3 3 3 2" xfId="15326" xr:uid="{00000000-0005-0000-0000-000065370000}"/>
    <cellStyle name="Normal 79 2 3 3 4" xfId="10813" xr:uid="{00000000-0005-0000-0000-000066370000}"/>
    <cellStyle name="Normal 79 2 3 4" xfId="4114" xr:uid="{00000000-0005-0000-0000-000067370000}"/>
    <cellStyle name="Normal 79 2 3 4 2" xfId="8628" xr:uid="{00000000-0005-0000-0000-000068370000}"/>
    <cellStyle name="Normal 79 2 3 4 2 2" xfId="17669" xr:uid="{00000000-0005-0000-0000-000069370000}"/>
    <cellStyle name="Normal 79 2 3 4 3" xfId="13156" xr:uid="{00000000-0005-0000-0000-00006A370000}"/>
    <cellStyle name="Normal 79 2 3 5" xfId="5157" xr:uid="{00000000-0005-0000-0000-00006B370000}"/>
    <cellStyle name="Normal 79 2 3 5 2" xfId="14198" xr:uid="{00000000-0005-0000-0000-00006C370000}"/>
    <cellStyle name="Normal 79 2 3 6" xfId="9685" xr:uid="{00000000-0005-0000-0000-00006D370000}"/>
    <cellStyle name="Normal 79 2 4" xfId="780" xr:uid="{00000000-0005-0000-0000-00006E370000}"/>
    <cellStyle name="Normal 79 2 4 2" xfId="1950" xr:uid="{00000000-0005-0000-0000-00006F370000}"/>
    <cellStyle name="Normal 79 2 4 2 2" xfId="4119" xr:uid="{00000000-0005-0000-0000-000070370000}"/>
    <cellStyle name="Normal 79 2 4 2 2 2" xfId="8633" xr:uid="{00000000-0005-0000-0000-000071370000}"/>
    <cellStyle name="Normal 79 2 4 2 2 2 2" xfId="17674" xr:uid="{00000000-0005-0000-0000-000072370000}"/>
    <cellStyle name="Normal 79 2 4 2 2 3" xfId="13161" xr:uid="{00000000-0005-0000-0000-000073370000}"/>
    <cellStyle name="Normal 79 2 4 2 3" xfId="6473" xr:uid="{00000000-0005-0000-0000-000074370000}"/>
    <cellStyle name="Normal 79 2 4 2 3 2" xfId="15514" xr:uid="{00000000-0005-0000-0000-000075370000}"/>
    <cellStyle name="Normal 79 2 4 2 4" xfId="11001" xr:uid="{00000000-0005-0000-0000-000076370000}"/>
    <cellStyle name="Normal 79 2 4 3" xfId="4118" xr:uid="{00000000-0005-0000-0000-000077370000}"/>
    <cellStyle name="Normal 79 2 4 3 2" xfId="8632" xr:uid="{00000000-0005-0000-0000-000078370000}"/>
    <cellStyle name="Normal 79 2 4 3 2 2" xfId="17673" xr:uid="{00000000-0005-0000-0000-000079370000}"/>
    <cellStyle name="Normal 79 2 4 3 3" xfId="13160" xr:uid="{00000000-0005-0000-0000-00007A370000}"/>
    <cellStyle name="Normal 79 2 4 4" xfId="5345" xr:uid="{00000000-0005-0000-0000-00007B370000}"/>
    <cellStyle name="Normal 79 2 4 4 2" xfId="14386" xr:uid="{00000000-0005-0000-0000-00007C370000}"/>
    <cellStyle name="Normal 79 2 4 5" xfId="9873" xr:uid="{00000000-0005-0000-0000-00007D370000}"/>
    <cellStyle name="Normal 79 2 5" xfId="1386" xr:uid="{00000000-0005-0000-0000-00007E370000}"/>
    <cellStyle name="Normal 79 2 5 2" xfId="4120" xr:uid="{00000000-0005-0000-0000-00007F370000}"/>
    <cellStyle name="Normal 79 2 5 2 2" xfId="8634" xr:uid="{00000000-0005-0000-0000-000080370000}"/>
    <cellStyle name="Normal 79 2 5 2 2 2" xfId="17675" xr:uid="{00000000-0005-0000-0000-000081370000}"/>
    <cellStyle name="Normal 79 2 5 2 3" xfId="13162" xr:uid="{00000000-0005-0000-0000-000082370000}"/>
    <cellStyle name="Normal 79 2 5 3" xfId="5909" xr:uid="{00000000-0005-0000-0000-000083370000}"/>
    <cellStyle name="Normal 79 2 5 3 2" xfId="14950" xr:uid="{00000000-0005-0000-0000-000084370000}"/>
    <cellStyle name="Normal 79 2 5 4" xfId="10437" xr:uid="{00000000-0005-0000-0000-000085370000}"/>
    <cellStyle name="Normal 79 2 6" xfId="4109" xr:uid="{00000000-0005-0000-0000-000086370000}"/>
    <cellStyle name="Normal 79 2 6 2" xfId="8623" xr:uid="{00000000-0005-0000-0000-000087370000}"/>
    <cellStyle name="Normal 79 2 6 2 2" xfId="17664" xr:uid="{00000000-0005-0000-0000-000088370000}"/>
    <cellStyle name="Normal 79 2 6 3" xfId="13151" xr:uid="{00000000-0005-0000-0000-000089370000}"/>
    <cellStyle name="Normal 79 2 7" xfId="4781" xr:uid="{00000000-0005-0000-0000-00008A370000}"/>
    <cellStyle name="Normal 79 2 7 2" xfId="13822" xr:uid="{00000000-0005-0000-0000-00008B370000}"/>
    <cellStyle name="Normal 79 2 8" xfId="9309" xr:uid="{00000000-0005-0000-0000-00008C370000}"/>
    <cellStyle name="Normal 79 3" xfId="310" xr:uid="{00000000-0005-0000-0000-00008D370000}"/>
    <cellStyle name="Normal 79 3 2" xfId="874" xr:uid="{00000000-0005-0000-0000-00008E370000}"/>
    <cellStyle name="Normal 79 3 2 2" xfId="2044" xr:uid="{00000000-0005-0000-0000-00008F370000}"/>
    <cellStyle name="Normal 79 3 2 2 2" xfId="4123" xr:uid="{00000000-0005-0000-0000-000090370000}"/>
    <cellStyle name="Normal 79 3 2 2 2 2" xfId="8637" xr:uid="{00000000-0005-0000-0000-000091370000}"/>
    <cellStyle name="Normal 79 3 2 2 2 2 2" xfId="17678" xr:uid="{00000000-0005-0000-0000-000092370000}"/>
    <cellStyle name="Normal 79 3 2 2 2 3" xfId="13165" xr:uid="{00000000-0005-0000-0000-000093370000}"/>
    <cellStyle name="Normal 79 3 2 2 3" xfId="6567" xr:uid="{00000000-0005-0000-0000-000094370000}"/>
    <cellStyle name="Normal 79 3 2 2 3 2" xfId="15608" xr:uid="{00000000-0005-0000-0000-000095370000}"/>
    <cellStyle name="Normal 79 3 2 2 4" xfId="11095" xr:uid="{00000000-0005-0000-0000-000096370000}"/>
    <cellStyle name="Normal 79 3 2 3" xfId="4122" xr:uid="{00000000-0005-0000-0000-000097370000}"/>
    <cellStyle name="Normal 79 3 2 3 2" xfId="8636" xr:uid="{00000000-0005-0000-0000-000098370000}"/>
    <cellStyle name="Normal 79 3 2 3 2 2" xfId="17677" xr:uid="{00000000-0005-0000-0000-000099370000}"/>
    <cellStyle name="Normal 79 3 2 3 3" xfId="13164" xr:uid="{00000000-0005-0000-0000-00009A370000}"/>
    <cellStyle name="Normal 79 3 2 4" xfId="5439" xr:uid="{00000000-0005-0000-0000-00009B370000}"/>
    <cellStyle name="Normal 79 3 2 4 2" xfId="14480" xr:uid="{00000000-0005-0000-0000-00009C370000}"/>
    <cellStyle name="Normal 79 3 2 5" xfId="9967" xr:uid="{00000000-0005-0000-0000-00009D370000}"/>
    <cellStyle name="Normal 79 3 3" xfId="1480" xr:uid="{00000000-0005-0000-0000-00009E370000}"/>
    <cellStyle name="Normal 79 3 3 2" xfId="4124" xr:uid="{00000000-0005-0000-0000-00009F370000}"/>
    <cellStyle name="Normal 79 3 3 2 2" xfId="8638" xr:uid="{00000000-0005-0000-0000-0000A0370000}"/>
    <cellStyle name="Normal 79 3 3 2 2 2" xfId="17679" xr:uid="{00000000-0005-0000-0000-0000A1370000}"/>
    <cellStyle name="Normal 79 3 3 2 3" xfId="13166" xr:uid="{00000000-0005-0000-0000-0000A2370000}"/>
    <cellStyle name="Normal 79 3 3 3" xfId="6003" xr:uid="{00000000-0005-0000-0000-0000A3370000}"/>
    <cellStyle name="Normal 79 3 3 3 2" xfId="15044" xr:uid="{00000000-0005-0000-0000-0000A4370000}"/>
    <cellStyle name="Normal 79 3 3 4" xfId="10531" xr:uid="{00000000-0005-0000-0000-0000A5370000}"/>
    <cellStyle name="Normal 79 3 4" xfId="4121" xr:uid="{00000000-0005-0000-0000-0000A6370000}"/>
    <cellStyle name="Normal 79 3 4 2" xfId="8635" xr:uid="{00000000-0005-0000-0000-0000A7370000}"/>
    <cellStyle name="Normal 79 3 4 2 2" xfId="17676" xr:uid="{00000000-0005-0000-0000-0000A8370000}"/>
    <cellStyle name="Normal 79 3 4 3" xfId="13163" xr:uid="{00000000-0005-0000-0000-0000A9370000}"/>
    <cellStyle name="Normal 79 3 5" xfId="4875" xr:uid="{00000000-0005-0000-0000-0000AA370000}"/>
    <cellStyle name="Normal 79 3 5 2" xfId="13916" xr:uid="{00000000-0005-0000-0000-0000AB370000}"/>
    <cellStyle name="Normal 79 3 6" xfId="9403" xr:uid="{00000000-0005-0000-0000-0000AC370000}"/>
    <cellStyle name="Normal 79 4" xfId="498" xr:uid="{00000000-0005-0000-0000-0000AD370000}"/>
    <cellStyle name="Normal 79 4 2" xfId="1062" xr:uid="{00000000-0005-0000-0000-0000AE370000}"/>
    <cellStyle name="Normal 79 4 2 2" xfId="2232" xr:uid="{00000000-0005-0000-0000-0000AF370000}"/>
    <cellStyle name="Normal 79 4 2 2 2" xfId="4127" xr:uid="{00000000-0005-0000-0000-0000B0370000}"/>
    <cellStyle name="Normal 79 4 2 2 2 2" xfId="8641" xr:uid="{00000000-0005-0000-0000-0000B1370000}"/>
    <cellStyle name="Normal 79 4 2 2 2 2 2" xfId="17682" xr:uid="{00000000-0005-0000-0000-0000B2370000}"/>
    <cellStyle name="Normal 79 4 2 2 2 3" xfId="13169" xr:uid="{00000000-0005-0000-0000-0000B3370000}"/>
    <cellStyle name="Normal 79 4 2 2 3" xfId="6755" xr:uid="{00000000-0005-0000-0000-0000B4370000}"/>
    <cellStyle name="Normal 79 4 2 2 3 2" xfId="15796" xr:uid="{00000000-0005-0000-0000-0000B5370000}"/>
    <cellStyle name="Normal 79 4 2 2 4" xfId="11283" xr:uid="{00000000-0005-0000-0000-0000B6370000}"/>
    <cellStyle name="Normal 79 4 2 3" xfId="4126" xr:uid="{00000000-0005-0000-0000-0000B7370000}"/>
    <cellStyle name="Normal 79 4 2 3 2" xfId="8640" xr:uid="{00000000-0005-0000-0000-0000B8370000}"/>
    <cellStyle name="Normal 79 4 2 3 2 2" xfId="17681" xr:uid="{00000000-0005-0000-0000-0000B9370000}"/>
    <cellStyle name="Normal 79 4 2 3 3" xfId="13168" xr:uid="{00000000-0005-0000-0000-0000BA370000}"/>
    <cellStyle name="Normal 79 4 2 4" xfId="5627" xr:uid="{00000000-0005-0000-0000-0000BB370000}"/>
    <cellStyle name="Normal 79 4 2 4 2" xfId="14668" xr:uid="{00000000-0005-0000-0000-0000BC370000}"/>
    <cellStyle name="Normal 79 4 2 5" xfId="10155" xr:uid="{00000000-0005-0000-0000-0000BD370000}"/>
    <cellStyle name="Normal 79 4 3" xfId="1668" xr:uid="{00000000-0005-0000-0000-0000BE370000}"/>
    <cellStyle name="Normal 79 4 3 2" xfId="4128" xr:uid="{00000000-0005-0000-0000-0000BF370000}"/>
    <cellStyle name="Normal 79 4 3 2 2" xfId="8642" xr:uid="{00000000-0005-0000-0000-0000C0370000}"/>
    <cellStyle name="Normal 79 4 3 2 2 2" xfId="17683" xr:uid="{00000000-0005-0000-0000-0000C1370000}"/>
    <cellStyle name="Normal 79 4 3 2 3" xfId="13170" xr:uid="{00000000-0005-0000-0000-0000C2370000}"/>
    <cellStyle name="Normal 79 4 3 3" xfId="6191" xr:uid="{00000000-0005-0000-0000-0000C3370000}"/>
    <cellStyle name="Normal 79 4 3 3 2" xfId="15232" xr:uid="{00000000-0005-0000-0000-0000C4370000}"/>
    <cellStyle name="Normal 79 4 3 4" xfId="10719" xr:uid="{00000000-0005-0000-0000-0000C5370000}"/>
    <cellStyle name="Normal 79 4 4" xfId="4125" xr:uid="{00000000-0005-0000-0000-0000C6370000}"/>
    <cellStyle name="Normal 79 4 4 2" xfId="8639" xr:uid="{00000000-0005-0000-0000-0000C7370000}"/>
    <cellStyle name="Normal 79 4 4 2 2" xfId="17680" xr:uid="{00000000-0005-0000-0000-0000C8370000}"/>
    <cellStyle name="Normal 79 4 4 3" xfId="13167" xr:uid="{00000000-0005-0000-0000-0000C9370000}"/>
    <cellStyle name="Normal 79 4 5" xfId="5063" xr:uid="{00000000-0005-0000-0000-0000CA370000}"/>
    <cellStyle name="Normal 79 4 5 2" xfId="14104" xr:uid="{00000000-0005-0000-0000-0000CB370000}"/>
    <cellStyle name="Normal 79 4 6" xfId="9591" xr:uid="{00000000-0005-0000-0000-0000CC370000}"/>
    <cellStyle name="Normal 79 5" xfId="686" xr:uid="{00000000-0005-0000-0000-0000CD370000}"/>
    <cellStyle name="Normal 79 5 2" xfId="1856" xr:uid="{00000000-0005-0000-0000-0000CE370000}"/>
    <cellStyle name="Normal 79 5 2 2" xfId="4130" xr:uid="{00000000-0005-0000-0000-0000CF370000}"/>
    <cellStyle name="Normal 79 5 2 2 2" xfId="8644" xr:uid="{00000000-0005-0000-0000-0000D0370000}"/>
    <cellStyle name="Normal 79 5 2 2 2 2" xfId="17685" xr:uid="{00000000-0005-0000-0000-0000D1370000}"/>
    <cellStyle name="Normal 79 5 2 2 3" xfId="13172" xr:uid="{00000000-0005-0000-0000-0000D2370000}"/>
    <cellStyle name="Normal 79 5 2 3" xfId="6379" xr:uid="{00000000-0005-0000-0000-0000D3370000}"/>
    <cellStyle name="Normal 79 5 2 3 2" xfId="15420" xr:uid="{00000000-0005-0000-0000-0000D4370000}"/>
    <cellStyle name="Normal 79 5 2 4" xfId="10907" xr:uid="{00000000-0005-0000-0000-0000D5370000}"/>
    <cellStyle name="Normal 79 5 3" xfId="4129" xr:uid="{00000000-0005-0000-0000-0000D6370000}"/>
    <cellStyle name="Normal 79 5 3 2" xfId="8643" xr:uid="{00000000-0005-0000-0000-0000D7370000}"/>
    <cellStyle name="Normal 79 5 3 2 2" xfId="17684" xr:uid="{00000000-0005-0000-0000-0000D8370000}"/>
    <cellStyle name="Normal 79 5 3 3" xfId="13171" xr:uid="{00000000-0005-0000-0000-0000D9370000}"/>
    <cellStyle name="Normal 79 5 4" xfId="5251" xr:uid="{00000000-0005-0000-0000-0000DA370000}"/>
    <cellStyle name="Normal 79 5 4 2" xfId="14292" xr:uid="{00000000-0005-0000-0000-0000DB370000}"/>
    <cellStyle name="Normal 79 5 5" xfId="9779" xr:uid="{00000000-0005-0000-0000-0000DC370000}"/>
    <cellStyle name="Normal 79 6" xfId="1292" xr:uid="{00000000-0005-0000-0000-0000DD370000}"/>
    <cellStyle name="Normal 79 6 2" xfId="4131" xr:uid="{00000000-0005-0000-0000-0000DE370000}"/>
    <cellStyle name="Normal 79 6 2 2" xfId="8645" xr:uid="{00000000-0005-0000-0000-0000DF370000}"/>
    <cellStyle name="Normal 79 6 2 2 2" xfId="17686" xr:uid="{00000000-0005-0000-0000-0000E0370000}"/>
    <cellStyle name="Normal 79 6 2 3" xfId="13173" xr:uid="{00000000-0005-0000-0000-0000E1370000}"/>
    <cellStyle name="Normal 79 6 3" xfId="5815" xr:uid="{00000000-0005-0000-0000-0000E2370000}"/>
    <cellStyle name="Normal 79 6 3 2" xfId="14856" xr:uid="{00000000-0005-0000-0000-0000E3370000}"/>
    <cellStyle name="Normal 79 6 4" xfId="10343" xr:uid="{00000000-0005-0000-0000-0000E4370000}"/>
    <cellStyle name="Normal 79 7" xfId="4108" xr:uid="{00000000-0005-0000-0000-0000E5370000}"/>
    <cellStyle name="Normal 79 7 2" xfId="8622" xr:uid="{00000000-0005-0000-0000-0000E6370000}"/>
    <cellStyle name="Normal 79 7 2 2" xfId="17663" xr:uid="{00000000-0005-0000-0000-0000E7370000}"/>
    <cellStyle name="Normal 79 7 3" xfId="13150" xr:uid="{00000000-0005-0000-0000-0000E8370000}"/>
    <cellStyle name="Normal 79 8" xfId="4687" xr:uid="{00000000-0005-0000-0000-0000E9370000}"/>
    <cellStyle name="Normal 79 8 2" xfId="13728" xr:uid="{00000000-0005-0000-0000-0000EA370000}"/>
    <cellStyle name="Normal 79 9" xfId="9215" xr:uid="{00000000-0005-0000-0000-0000EB370000}"/>
    <cellStyle name="Normal 8" xfId="2347" xr:uid="{00000000-0005-0000-0000-0000EC370000}"/>
    <cellStyle name="Normal 8 2" xfId="9133" xr:uid="{00000000-0005-0000-0000-0000ED370000}"/>
    <cellStyle name="Normal 80" xfId="80" xr:uid="{00000000-0005-0000-0000-0000EE370000}"/>
    <cellStyle name="Normal 80 2" xfId="176" xr:uid="{00000000-0005-0000-0000-0000EF370000}"/>
    <cellStyle name="Normal 80 2 2" xfId="405" xr:uid="{00000000-0005-0000-0000-0000F0370000}"/>
    <cellStyle name="Normal 80 2 2 2" xfId="969" xr:uid="{00000000-0005-0000-0000-0000F1370000}"/>
    <cellStyle name="Normal 80 2 2 2 2" xfId="2139" xr:uid="{00000000-0005-0000-0000-0000F2370000}"/>
    <cellStyle name="Normal 80 2 2 2 2 2" xfId="4136" xr:uid="{00000000-0005-0000-0000-0000F3370000}"/>
    <cellStyle name="Normal 80 2 2 2 2 2 2" xfId="8650" xr:uid="{00000000-0005-0000-0000-0000F4370000}"/>
    <cellStyle name="Normal 80 2 2 2 2 2 2 2" xfId="17691" xr:uid="{00000000-0005-0000-0000-0000F5370000}"/>
    <cellStyle name="Normal 80 2 2 2 2 2 3" xfId="13178" xr:uid="{00000000-0005-0000-0000-0000F6370000}"/>
    <cellStyle name="Normal 80 2 2 2 2 3" xfId="6662" xr:uid="{00000000-0005-0000-0000-0000F7370000}"/>
    <cellStyle name="Normal 80 2 2 2 2 3 2" xfId="15703" xr:uid="{00000000-0005-0000-0000-0000F8370000}"/>
    <cellStyle name="Normal 80 2 2 2 2 4" xfId="11190" xr:uid="{00000000-0005-0000-0000-0000F9370000}"/>
    <cellStyle name="Normal 80 2 2 2 3" xfId="4135" xr:uid="{00000000-0005-0000-0000-0000FA370000}"/>
    <cellStyle name="Normal 80 2 2 2 3 2" xfId="8649" xr:uid="{00000000-0005-0000-0000-0000FB370000}"/>
    <cellStyle name="Normal 80 2 2 2 3 2 2" xfId="17690" xr:uid="{00000000-0005-0000-0000-0000FC370000}"/>
    <cellStyle name="Normal 80 2 2 2 3 3" xfId="13177" xr:uid="{00000000-0005-0000-0000-0000FD370000}"/>
    <cellStyle name="Normal 80 2 2 2 4" xfId="5534" xr:uid="{00000000-0005-0000-0000-0000FE370000}"/>
    <cellStyle name="Normal 80 2 2 2 4 2" xfId="14575" xr:uid="{00000000-0005-0000-0000-0000FF370000}"/>
    <cellStyle name="Normal 80 2 2 2 5" xfId="10062" xr:uid="{00000000-0005-0000-0000-000000380000}"/>
    <cellStyle name="Normal 80 2 2 3" xfId="1575" xr:uid="{00000000-0005-0000-0000-000001380000}"/>
    <cellStyle name="Normal 80 2 2 3 2" xfId="4137" xr:uid="{00000000-0005-0000-0000-000002380000}"/>
    <cellStyle name="Normal 80 2 2 3 2 2" xfId="8651" xr:uid="{00000000-0005-0000-0000-000003380000}"/>
    <cellStyle name="Normal 80 2 2 3 2 2 2" xfId="17692" xr:uid="{00000000-0005-0000-0000-000004380000}"/>
    <cellStyle name="Normal 80 2 2 3 2 3" xfId="13179" xr:uid="{00000000-0005-0000-0000-000005380000}"/>
    <cellStyle name="Normal 80 2 2 3 3" xfId="6098" xr:uid="{00000000-0005-0000-0000-000006380000}"/>
    <cellStyle name="Normal 80 2 2 3 3 2" xfId="15139" xr:uid="{00000000-0005-0000-0000-000007380000}"/>
    <cellStyle name="Normal 80 2 2 3 4" xfId="10626" xr:uid="{00000000-0005-0000-0000-000008380000}"/>
    <cellStyle name="Normal 80 2 2 4" xfId="4134" xr:uid="{00000000-0005-0000-0000-000009380000}"/>
    <cellStyle name="Normal 80 2 2 4 2" xfId="8648" xr:uid="{00000000-0005-0000-0000-00000A380000}"/>
    <cellStyle name="Normal 80 2 2 4 2 2" xfId="17689" xr:uid="{00000000-0005-0000-0000-00000B380000}"/>
    <cellStyle name="Normal 80 2 2 4 3" xfId="13176" xr:uid="{00000000-0005-0000-0000-00000C380000}"/>
    <cellStyle name="Normal 80 2 2 5" xfId="4970" xr:uid="{00000000-0005-0000-0000-00000D380000}"/>
    <cellStyle name="Normal 80 2 2 5 2" xfId="14011" xr:uid="{00000000-0005-0000-0000-00000E380000}"/>
    <cellStyle name="Normal 80 2 2 6" xfId="9498" xr:uid="{00000000-0005-0000-0000-00000F380000}"/>
    <cellStyle name="Normal 80 2 3" xfId="593" xr:uid="{00000000-0005-0000-0000-000010380000}"/>
    <cellStyle name="Normal 80 2 3 2" xfId="1157" xr:uid="{00000000-0005-0000-0000-000011380000}"/>
    <cellStyle name="Normal 80 2 3 2 2" xfId="2327" xr:uid="{00000000-0005-0000-0000-000012380000}"/>
    <cellStyle name="Normal 80 2 3 2 2 2" xfId="4140" xr:uid="{00000000-0005-0000-0000-000013380000}"/>
    <cellStyle name="Normal 80 2 3 2 2 2 2" xfId="8654" xr:uid="{00000000-0005-0000-0000-000014380000}"/>
    <cellStyle name="Normal 80 2 3 2 2 2 2 2" xfId="17695" xr:uid="{00000000-0005-0000-0000-000015380000}"/>
    <cellStyle name="Normal 80 2 3 2 2 2 3" xfId="13182" xr:uid="{00000000-0005-0000-0000-000016380000}"/>
    <cellStyle name="Normal 80 2 3 2 2 3" xfId="6850" xr:uid="{00000000-0005-0000-0000-000017380000}"/>
    <cellStyle name="Normal 80 2 3 2 2 3 2" xfId="15891" xr:uid="{00000000-0005-0000-0000-000018380000}"/>
    <cellStyle name="Normal 80 2 3 2 2 4" xfId="11378" xr:uid="{00000000-0005-0000-0000-000019380000}"/>
    <cellStyle name="Normal 80 2 3 2 3" xfId="4139" xr:uid="{00000000-0005-0000-0000-00001A380000}"/>
    <cellStyle name="Normal 80 2 3 2 3 2" xfId="8653" xr:uid="{00000000-0005-0000-0000-00001B380000}"/>
    <cellStyle name="Normal 80 2 3 2 3 2 2" xfId="17694" xr:uid="{00000000-0005-0000-0000-00001C380000}"/>
    <cellStyle name="Normal 80 2 3 2 3 3" xfId="13181" xr:uid="{00000000-0005-0000-0000-00001D380000}"/>
    <cellStyle name="Normal 80 2 3 2 4" xfId="5722" xr:uid="{00000000-0005-0000-0000-00001E380000}"/>
    <cellStyle name="Normal 80 2 3 2 4 2" xfId="14763" xr:uid="{00000000-0005-0000-0000-00001F380000}"/>
    <cellStyle name="Normal 80 2 3 2 5" xfId="10250" xr:uid="{00000000-0005-0000-0000-000020380000}"/>
    <cellStyle name="Normal 80 2 3 3" xfId="1763" xr:uid="{00000000-0005-0000-0000-000021380000}"/>
    <cellStyle name="Normal 80 2 3 3 2" xfId="4141" xr:uid="{00000000-0005-0000-0000-000022380000}"/>
    <cellStyle name="Normal 80 2 3 3 2 2" xfId="8655" xr:uid="{00000000-0005-0000-0000-000023380000}"/>
    <cellStyle name="Normal 80 2 3 3 2 2 2" xfId="17696" xr:uid="{00000000-0005-0000-0000-000024380000}"/>
    <cellStyle name="Normal 80 2 3 3 2 3" xfId="13183" xr:uid="{00000000-0005-0000-0000-000025380000}"/>
    <cellStyle name="Normal 80 2 3 3 3" xfId="6286" xr:uid="{00000000-0005-0000-0000-000026380000}"/>
    <cellStyle name="Normal 80 2 3 3 3 2" xfId="15327" xr:uid="{00000000-0005-0000-0000-000027380000}"/>
    <cellStyle name="Normal 80 2 3 3 4" xfId="10814" xr:uid="{00000000-0005-0000-0000-000028380000}"/>
    <cellStyle name="Normal 80 2 3 4" xfId="4138" xr:uid="{00000000-0005-0000-0000-000029380000}"/>
    <cellStyle name="Normal 80 2 3 4 2" xfId="8652" xr:uid="{00000000-0005-0000-0000-00002A380000}"/>
    <cellStyle name="Normal 80 2 3 4 2 2" xfId="17693" xr:uid="{00000000-0005-0000-0000-00002B380000}"/>
    <cellStyle name="Normal 80 2 3 4 3" xfId="13180" xr:uid="{00000000-0005-0000-0000-00002C380000}"/>
    <cellStyle name="Normal 80 2 3 5" xfId="5158" xr:uid="{00000000-0005-0000-0000-00002D380000}"/>
    <cellStyle name="Normal 80 2 3 5 2" xfId="14199" xr:uid="{00000000-0005-0000-0000-00002E380000}"/>
    <cellStyle name="Normal 80 2 3 6" xfId="9686" xr:uid="{00000000-0005-0000-0000-00002F380000}"/>
    <cellStyle name="Normal 80 2 4" xfId="781" xr:uid="{00000000-0005-0000-0000-000030380000}"/>
    <cellStyle name="Normal 80 2 4 2" xfId="1951" xr:uid="{00000000-0005-0000-0000-000031380000}"/>
    <cellStyle name="Normal 80 2 4 2 2" xfId="4143" xr:uid="{00000000-0005-0000-0000-000032380000}"/>
    <cellStyle name="Normal 80 2 4 2 2 2" xfId="8657" xr:uid="{00000000-0005-0000-0000-000033380000}"/>
    <cellStyle name="Normal 80 2 4 2 2 2 2" xfId="17698" xr:uid="{00000000-0005-0000-0000-000034380000}"/>
    <cellStyle name="Normal 80 2 4 2 2 3" xfId="13185" xr:uid="{00000000-0005-0000-0000-000035380000}"/>
    <cellStyle name="Normal 80 2 4 2 3" xfId="6474" xr:uid="{00000000-0005-0000-0000-000036380000}"/>
    <cellStyle name="Normal 80 2 4 2 3 2" xfId="15515" xr:uid="{00000000-0005-0000-0000-000037380000}"/>
    <cellStyle name="Normal 80 2 4 2 4" xfId="11002" xr:uid="{00000000-0005-0000-0000-000038380000}"/>
    <cellStyle name="Normal 80 2 4 3" xfId="4142" xr:uid="{00000000-0005-0000-0000-000039380000}"/>
    <cellStyle name="Normal 80 2 4 3 2" xfId="8656" xr:uid="{00000000-0005-0000-0000-00003A380000}"/>
    <cellStyle name="Normal 80 2 4 3 2 2" xfId="17697" xr:uid="{00000000-0005-0000-0000-00003B380000}"/>
    <cellStyle name="Normal 80 2 4 3 3" xfId="13184" xr:uid="{00000000-0005-0000-0000-00003C380000}"/>
    <cellStyle name="Normal 80 2 4 4" xfId="5346" xr:uid="{00000000-0005-0000-0000-00003D380000}"/>
    <cellStyle name="Normal 80 2 4 4 2" xfId="14387" xr:uid="{00000000-0005-0000-0000-00003E380000}"/>
    <cellStyle name="Normal 80 2 4 5" xfId="9874" xr:uid="{00000000-0005-0000-0000-00003F380000}"/>
    <cellStyle name="Normal 80 2 5" xfId="1387" xr:uid="{00000000-0005-0000-0000-000040380000}"/>
    <cellStyle name="Normal 80 2 5 2" xfId="4144" xr:uid="{00000000-0005-0000-0000-000041380000}"/>
    <cellStyle name="Normal 80 2 5 2 2" xfId="8658" xr:uid="{00000000-0005-0000-0000-000042380000}"/>
    <cellStyle name="Normal 80 2 5 2 2 2" xfId="17699" xr:uid="{00000000-0005-0000-0000-000043380000}"/>
    <cellStyle name="Normal 80 2 5 2 3" xfId="13186" xr:uid="{00000000-0005-0000-0000-000044380000}"/>
    <cellStyle name="Normal 80 2 5 3" xfId="5910" xr:uid="{00000000-0005-0000-0000-000045380000}"/>
    <cellStyle name="Normal 80 2 5 3 2" xfId="14951" xr:uid="{00000000-0005-0000-0000-000046380000}"/>
    <cellStyle name="Normal 80 2 5 4" xfId="10438" xr:uid="{00000000-0005-0000-0000-000047380000}"/>
    <cellStyle name="Normal 80 2 6" xfId="4133" xr:uid="{00000000-0005-0000-0000-000048380000}"/>
    <cellStyle name="Normal 80 2 6 2" xfId="8647" xr:uid="{00000000-0005-0000-0000-000049380000}"/>
    <cellStyle name="Normal 80 2 6 2 2" xfId="17688" xr:uid="{00000000-0005-0000-0000-00004A380000}"/>
    <cellStyle name="Normal 80 2 6 3" xfId="13175" xr:uid="{00000000-0005-0000-0000-00004B380000}"/>
    <cellStyle name="Normal 80 2 7" xfId="4782" xr:uid="{00000000-0005-0000-0000-00004C380000}"/>
    <cellStyle name="Normal 80 2 7 2" xfId="13823" xr:uid="{00000000-0005-0000-0000-00004D380000}"/>
    <cellStyle name="Normal 80 2 8" xfId="9310" xr:uid="{00000000-0005-0000-0000-00004E380000}"/>
    <cellStyle name="Normal 80 3" xfId="311" xr:uid="{00000000-0005-0000-0000-00004F380000}"/>
    <cellStyle name="Normal 80 3 2" xfId="875" xr:uid="{00000000-0005-0000-0000-000050380000}"/>
    <cellStyle name="Normal 80 3 2 2" xfId="2045" xr:uid="{00000000-0005-0000-0000-000051380000}"/>
    <cellStyle name="Normal 80 3 2 2 2" xfId="4147" xr:uid="{00000000-0005-0000-0000-000052380000}"/>
    <cellStyle name="Normal 80 3 2 2 2 2" xfId="8661" xr:uid="{00000000-0005-0000-0000-000053380000}"/>
    <cellStyle name="Normal 80 3 2 2 2 2 2" xfId="17702" xr:uid="{00000000-0005-0000-0000-000054380000}"/>
    <cellStyle name="Normal 80 3 2 2 2 3" xfId="13189" xr:uid="{00000000-0005-0000-0000-000055380000}"/>
    <cellStyle name="Normal 80 3 2 2 3" xfId="6568" xr:uid="{00000000-0005-0000-0000-000056380000}"/>
    <cellStyle name="Normal 80 3 2 2 3 2" xfId="15609" xr:uid="{00000000-0005-0000-0000-000057380000}"/>
    <cellStyle name="Normal 80 3 2 2 4" xfId="11096" xr:uid="{00000000-0005-0000-0000-000058380000}"/>
    <cellStyle name="Normal 80 3 2 3" xfId="4146" xr:uid="{00000000-0005-0000-0000-000059380000}"/>
    <cellStyle name="Normal 80 3 2 3 2" xfId="8660" xr:uid="{00000000-0005-0000-0000-00005A380000}"/>
    <cellStyle name="Normal 80 3 2 3 2 2" xfId="17701" xr:uid="{00000000-0005-0000-0000-00005B380000}"/>
    <cellStyle name="Normal 80 3 2 3 3" xfId="13188" xr:uid="{00000000-0005-0000-0000-00005C380000}"/>
    <cellStyle name="Normal 80 3 2 4" xfId="5440" xr:uid="{00000000-0005-0000-0000-00005D380000}"/>
    <cellStyle name="Normal 80 3 2 4 2" xfId="14481" xr:uid="{00000000-0005-0000-0000-00005E380000}"/>
    <cellStyle name="Normal 80 3 2 5" xfId="9968" xr:uid="{00000000-0005-0000-0000-00005F380000}"/>
    <cellStyle name="Normal 80 3 3" xfId="1481" xr:uid="{00000000-0005-0000-0000-000060380000}"/>
    <cellStyle name="Normal 80 3 3 2" xfId="4148" xr:uid="{00000000-0005-0000-0000-000061380000}"/>
    <cellStyle name="Normal 80 3 3 2 2" xfId="8662" xr:uid="{00000000-0005-0000-0000-000062380000}"/>
    <cellStyle name="Normal 80 3 3 2 2 2" xfId="17703" xr:uid="{00000000-0005-0000-0000-000063380000}"/>
    <cellStyle name="Normal 80 3 3 2 3" xfId="13190" xr:uid="{00000000-0005-0000-0000-000064380000}"/>
    <cellStyle name="Normal 80 3 3 3" xfId="6004" xr:uid="{00000000-0005-0000-0000-000065380000}"/>
    <cellStyle name="Normal 80 3 3 3 2" xfId="15045" xr:uid="{00000000-0005-0000-0000-000066380000}"/>
    <cellStyle name="Normal 80 3 3 4" xfId="10532" xr:uid="{00000000-0005-0000-0000-000067380000}"/>
    <cellStyle name="Normal 80 3 4" xfId="4145" xr:uid="{00000000-0005-0000-0000-000068380000}"/>
    <cellStyle name="Normal 80 3 4 2" xfId="8659" xr:uid="{00000000-0005-0000-0000-000069380000}"/>
    <cellStyle name="Normal 80 3 4 2 2" xfId="17700" xr:uid="{00000000-0005-0000-0000-00006A380000}"/>
    <cellStyle name="Normal 80 3 4 3" xfId="13187" xr:uid="{00000000-0005-0000-0000-00006B380000}"/>
    <cellStyle name="Normal 80 3 5" xfId="4876" xr:uid="{00000000-0005-0000-0000-00006C380000}"/>
    <cellStyle name="Normal 80 3 5 2" xfId="13917" xr:uid="{00000000-0005-0000-0000-00006D380000}"/>
    <cellStyle name="Normal 80 3 6" xfId="9404" xr:uid="{00000000-0005-0000-0000-00006E380000}"/>
    <cellStyle name="Normal 80 4" xfId="499" xr:uid="{00000000-0005-0000-0000-00006F380000}"/>
    <cellStyle name="Normal 80 4 2" xfId="1063" xr:uid="{00000000-0005-0000-0000-000070380000}"/>
    <cellStyle name="Normal 80 4 2 2" xfId="2233" xr:uid="{00000000-0005-0000-0000-000071380000}"/>
    <cellStyle name="Normal 80 4 2 2 2" xfId="4151" xr:uid="{00000000-0005-0000-0000-000072380000}"/>
    <cellStyle name="Normal 80 4 2 2 2 2" xfId="8665" xr:uid="{00000000-0005-0000-0000-000073380000}"/>
    <cellStyle name="Normal 80 4 2 2 2 2 2" xfId="17706" xr:uid="{00000000-0005-0000-0000-000074380000}"/>
    <cellStyle name="Normal 80 4 2 2 2 3" xfId="13193" xr:uid="{00000000-0005-0000-0000-000075380000}"/>
    <cellStyle name="Normal 80 4 2 2 3" xfId="6756" xr:uid="{00000000-0005-0000-0000-000076380000}"/>
    <cellStyle name="Normal 80 4 2 2 3 2" xfId="15797" xr:uid="{00000000-0005-0000-0000-000077380000}"/>
    <cellStyle name="Normal 80 4 2 2 4" xfId="11284" xr:uid="{00000000-0005-0000-0000-000078380000}"/>
    <cellStyle name="Normal 80 4 2 3" xfId="4150" xr:uid="{00000000-0005-0000-0000-000079380000}"/>
    <cellStyle name="Normal 80 4 2 3 2" xfId="8664" xr:uid="{00000000-0005-0000-0000-00007A380000}"/>
    <cellStyle name="Normal 80 4 2 3 2 2" xfId="17705" xr:uid="{00000000-0005-0000-0000-00007B380000}"/>
    <cellStyle name="Normal 80 4 2 3 3" xfId="13192" xr:uid="{00000000-0005-0000-0000-00007C380000}"/>
    <cellStyle name="Normal 80 4 2 4" xfId="5628" xr:uid="{00000000-0005-0000-0000-00007D380000}"/>
    <cellStyle name="Normal 80 4 2 4 2" xfId="14669" xr:uid="{00000000-0005-0000-0000-00007E380000}"/>
    <cellStyle name="Normal 80 4 2 5" xfId="10156" xr:uid="{00000000-0005-0000-0000-00007F380000}"/>
    <cellStyle name="Normal 80 4 3" xfId="1669" xr:uid="{00000000-0005-0000-0000-000080380000}"/>
    <cellStyle name="Normal 80 4 3 2" xfId="4152" xr:uid="{00000000-0005-0000-0000-000081380000}"/>
    <cellStyle name="Normal 80 4 3 2 2" xfId="8666" xr:uid="{00000000-0005-0000-0000-000082380000}"/>
    <cellStyle name="Normal 80 4 3 2 2 2" xfId="17707" xr:uid="{00000000-0005-0000-0000-000083380000}"/>
    <cellStyle name="Normal 80 4 3 2 3" xfId="13194" xr:uid="{00000000-0005-0000-0000-000084380000}"/>
    <cellStyle name="Normal 80 4 3 3" xfId="6192" xr:uid="{00000000-0005-0000-0000-000085380000}"/>
    <cellStyle name="Normal 80 4 3 3 2" xfId="15233" xr:uid="{00000000-0005-0000-0000-000086380000}"/>
    <cellStyle name="Normal 80 4 3 4" xfId="10720" xr:uid="{00000000-0005-0000-0000-000087380000}"/>
    <cellStyle name="Normal 80 4 4" xfId="4149" xr:uid="{00000000-0005-0000-0000-000088380000}"/>
    <cellStyle name="Normal 80 4 4 2" xfId="8663" xr:uid="{00000000-0005-0000-0000-000089380000}"/>
    <cellStyle name="Normal 80 4 4 2 2" xfId="17704" xr:uid="{00000000-0005-0000-0000-00008A380000}"/>
    <cellStyle name="Normal 80 4 4 3" xfId="13191" xr:uid="{00000000-0005-0000-0000-00008B380000}"/>
    <cellStyle name="Normal 80 4 5" xfId="5064" xr:uid="{00000000-0005-0000-0000-00008C380000}"/>
    <cellStyle name="Normal 80 4 5 2" xfId="14105" xr:uid="{00000000-0005-0000-0000-00008D380000}"/>
    <cellStyle name="Normal 80 4 6" xfId="9592" xr:uid="{00000000-0005-0000-0000-00008E380000}"/>
    <cellStyle name="Normal 80 5" xfId="687" xr:uid="{00000000-0005-0000-0000-00008F380000}"/>
    <cellStyle name="Normal 80 5 2" xfId="1857" xr:uid="{00000000-0005-0000-0000-000090380000}"/>
    <cellStyle name="Normal 80 5 2 2" xfId="4154" xr:uid="{00000000-0005-0000-0000-000091380000}"/>
    <cellStyle name="Normal 80 5 2 2 2" xfId="8668" xr:uid="{00000000-0005-0000-0000-000092380000}"/>
    <cellStyle name="Normal 80 5 2 2 2 2" xfId="17709" xr:uid="{00000000-0005-0000-0000-000093380000}"/>
    <cellStyle name="Normal 80 5 2 2 3" xfId="13196" xr:uid="{00000000-0005-0000-0000-000094380000}"/>
    <cellStyle name="Normal 80 5 2 3" xfId="6380" xr:uid="{00000000-0005-0000-0000-000095380000}"/>
    <cellStyle name="Normal 80 5 2 3 2" xfId="15421" xr:uid="{00000000-0005-0000-0000-000096380000}"/>
    <cellStyle name="Normal 80 5 2 4" xfId="10908" xr:uid="{00000000-0005-0000-0000-000097380000}"/>
    <cellStyle name="Normal 80 5 3" xfId="4153" xr:uid="{00000000-0005-0000-0000-000098380000}"/>
    <cellStyle name="Normal 80 5 3 2" xfId="8667" xr:uid="{00000000-0005-0000-0000-000099380000}"/>
    <cellStyle name="Normal 80 5 3 2 2" xfId="17708" xr:uid="{00000000-0005-0000-0000-00009A380000}"/>
    <cellStyle name="Normal 80 5 3 3" xfId="13195" xr:uid="{00000000-0005-0000-0000-00009B380000}"/>
    <cellStyle name="Normal 80 5 4" xfId="5252" xr:uid="{00000000-0005-0000-0000-00009C380000}"/>
    <cellStyle name="Normal 80 5 4 2" xfId="14293" xr:uid="{00000000-0005-0000-0000-00009D380000}"/>
    <cellStyle name="Normal 80 5 5" xfId="9780" xr:uid="{00000000-0005-0000-0000-00009E380000}"/>
    <cellStyle name="Normal 80 6" xfId="1293" xr:uid="{00000000-0005-0000-0000-00009F380000}"/>
    <cellStyle name="Normal 80 6 2" xfId="4155" xr:uid="{00000000-0005-0000-0000-0000A0380000}"/>
    <cellStyle name="Normal 80 6 2 2" xfId="8669" xr:uid="{00000000-0005-0000-0000-0000A1380000}"/>
    <cellStyle name="Normal 80 6 2 2 2" xfId="17710" xr:uid="{00000000-0005-0000-0000-0000A2380000}"/>
    <cellStyle name="Normal 80 6 2 3" xfId="13197" xr:uid="{00000000-0005-0000-0000-0000A3380000}"/>
    <cellStyle name="Normal 80 6 3" xfId="5816" xr:uid="{00000000-0005-0000-0000-0000A4380000}"/>
    <cellStyle name="Normal 80 6 3 2" xfId="14857" xr:uid="{00000000-0005-0000-0000-0000A5380000}"/>
    <cellStyle name="Normal 80 6 4" xfId="10344" xr:uid="{00000000-0005-0000-0000-0000A6380000}"/>
    <cellStyle name="Normal 80 7" xfId="4132" xr:uid="{00000000-0005-0000-0000-0000A7380000}"/>
    <cellStyle name="Normal 80 7 2" xfId="8646" xr:uid="{00000000-0005-0000-0000-0000A8380000}"/>
    <cellStyle name="Normal 80 7 2 2" xfId="17687" xr:uid="{00000000-0005-0000-0000-0000A9380000}"/>
    <cellStyle name="Normal 80 7 3" xfId="13174" xr:uid="{00000000-0005-0000-0000-0000AA380000}"/>
    <cellStyle name="Normal 80 8" xfId="4688" xr:uid="{00000000-0005-0000-0000-0000AB380000}"/>
    <cellStyle name="Normal 80 8 2" xfId="13729" xr:uid="{00000000-0005-0000-0000-0000AC380000}"/>
    <cellStyle name="Normal 80 9" xfId="9216" xr:uid="{00000000-0005-0000-0000-0000AD380000}"/>
    <cellStyle name="Normal 81" xfId="81" xr:uid="{00000000-0005-0000-0000-0000AE380000}"/>
    <cellStyle name="Normal 81 2" xfId="177" xr:uid="{00000000-0005-0000-0000-0000AF380000}"/>
    <cellStyle name="Normal 81 2 2" xfId="406" xr:uid="{00000000-0005-0000-0000-0000B0380000}"/>
    <cellStyle name="Normal 81 2 2 2" xfId="970" xr:uid="{00000000-0005-0000-0000-0000B1380000}"/>
    <cellStyle name="Normal 81 2 2 2 2" xfId="2140" xr:uid="{00000000-0005-0000-0000-0000B2380000}"/>
    <cellStyle name="Normal 81 2 2 2 2 2" xfId="4160" xr:uid="{00000000-0005-0000-0000-0000B3380000}"/>
    <cellStyle name="Normal 81 2 2 2 2 2 2" xfId="8674" xr:uid="{00000000-0005-0000-0000-0000B4380000}"/>
    <cellStyle name="Normal 81 2 2 2 2 2 2 2" xfId="17715" xr:uid="{00000000-0005-0000-0000-0000B5380000}"/>
    <cellStyle name="Normal 81 2 2 2 2 2 3" xfId="13202" xr:uid="{00000000-0005-0000-0000-0000B6380000}"/>
    <cellStyle name="Normal 81 2 2 2 2 3" xfId="6663" xr:uid="{00000000-0005-0000-0000-0000B7380000}"/>
    <cellStyle name="Normal 81 2 2 2 2 3 2" xfId="15704" xr:uid="{00000000-0005-0000-0000-0000B8380000}"/>
    <cellStyle name="Normal 81 2 2 2 2 4" xfId="11191" xr:uid="{00000000-0005-0000-0000-0000B9380000}"/>
    <cellStyle name="Normal 81 2 2 2 3" xfId="4159" xr:uid="{00000000-0005-0000-0000-0000BA380000}"/>
    <cellStyle name="Normal 81 2 2 2 3 2" xfId="8673" xr:uid="{00000000-0005-0000-0000-0000BB380000}"/>
    <cellStyle name="Normal 81 2 2 2 3 2 2" xfId="17714" xr:uid="{00000000-0005-0000-0000-0000BC380000}"/>
    <cellStyle name="Normal 81 2 2 2 3 3" xfId="13201" xr:uid="{00000000-0005-0000-0000-0000BD380000}"/>
    <cellStyle name="Normal 81 2 2 2 4" xfId="5535" xr:uid="{00000000-0005-0000-0000-0000BE380000}"/>
    <cellStyle name="Normal 81 2 2 2 4 2" xfId="14576" xr:uid="{00000000-0005-0000-0000-0000BF380000}"/>
    <cellStyle name="Normal 81 2 2 2 5" xfId="10063" xr:uid="{00000000-0005-0000-0000-0000C0380000}"/>
    <cellStyle name="Normal 81 2 2 3" xfId="1576" xr:uid="{00000000-0005-0000-0000-0000C1380000}"/>
    <cellStyle name="Normal 81 2 2 3 2" xfId="4161" xr:uid="{00000000-0005-0000-0000-0000C2380000}"/>
    <cellStyle name="Normal 81 2 2 3 2 2" xfId="8675" xr:uid="{00000000-0005-0000-0000-0000C3380000}"/>
    <cellStyle name="Normal 81 2 2 3 2 2 2" xfId="17716" xr:uid="{00000000-0005-0000-0000-0000C4380000}"/>
    <cellStyle name="Normal 81 2 2 3 2 3" xfId="13203" xr:uid="{00000000-0005-0000-0000-0000C5380000}"/>
    <cellStyle name="Normal 81 2 2 3 3" xfId="6099" xr:uid="{00000000-0005-0000-0000-0000C6380000}"/>
    <cellStyle name="Normal 81 2 2 3 3 2" xfId="15140" xr:uid="{00000000-0005-0000-0000-0000C7380000}"/>
    <cellStyle name="Normal 81 2 2 3 4" xfId="10627" xr:uid="{00000000-0005-0000-0000-0000C8380000}"/>
    <cellStyle name="Normal 81 2 2 4" xfId="4158" xr:uid="{00000000-0005-0000-0000-0000C9380000}"/>
    <cellStyle name="Normal 81 2 2 4 2" xfId="8672" xr:uid="{00000000-0005-0000-0000-0000CA380000}"/>
    <cellStyle name="Normal 81 2 2 4 2 2" xfId="17713" xr:uid="{00000000-0005-0000-0000-0000CB380000}"/>
    <cellStyle name="Normal 81 2 2 4 3" xfId="13200" xr:uid="{00000000-0005-0000-0000-0000CC380000}"/>
    <cellStyle name="Normal 81 2 2 5" xfId="4971" xr:uid="{00000000-0005-0000-0000-0000CD380000}"/>
    <cellStyle name="Normal 81 2 2 5 2" xfId="14012" xr:uid="{00000000-0005-0000-0000-0000CE380000}"/>
    <cellStyle name="Normal 81 2 2 6" xfId="9499" xr:uid="{00000000-0005-0000-0000-0000CF380000}"/>
    <cellStyle name="Normal 81 2 3" xfId="594" xr:uid="{00000000-0005-0000-0000-0000D0380000}"/>
    <cellStyle name="Normal 81 2 3 2" xfId="1158" xr:uid="{00000000-0005-0000-0000-0000D1380000}"/>
    <cellStyle name="Normal 81 2 3 2 2" xfId="2328" xr:uid="{00000000-0005-0000-0000-0000D2380000}"/>
    <cellStyle name="Normal 81 2 3 2 2 2" xfId="4164" xr:uid="{00000000-0005-0000-0000-0000D3380000}"/>
    <cellStyle name="Normal 81 2 3 2 2 2 2" xfId="8678" xr:uid="{00000000-0005-0000-0000-0000D4380000}"/>
    <cellStyle name="Normal 81 2 3 2 2 2 2 2" xfId="17719" xr:uid="{00000000-0005-0000-0000-0000D5380000}"/>
    <cellStyle name="Normal 81 2 3 2 2 2 3" xfId="13206" xr:uid="{00000000-0005-0000-0000-0000D6380000}"/>
    <cellStyle name="Normal 81 2 3 2 2 3" xfId="6851" xr:uid="{00000000-0005-0000-0000-0000D7380000}"/>
    <cellStyle name="Normal 81 2 3 2 2 3 2" xfId="15892" xr:uid="{00000000-0005-0000-0000-0000D8380000}"/>
    <cellStyle name="Normal 81 2 3 2 2 4" xfId="11379" xr:uid="{00000000-0005-0000-0000-0000D9380000}"/>
    <cellStyle name="Normal 81 2 3 2 3" xfId="4163" xr:uid="{00000000-0005-0000-0000-0000DA380000}"/>
    <cellStyle name="Normal 81 2 3 2 3 2" xfId="8677" xr:uid="{00000000-0005-0000-0000-0000DB380000}"/>
    <cellStyle name="Normal 81 2 3 2 3 2 2" xfId="17718" xr:uid="{00000000-0005-0000-0000-0000DC380000}"/>
    <cellStyle name="Normal 81 2 3 2 3 3" xfId="13205" xr:uid="{00000000-0005-0000-0000-0000DD380000}"/>
    <cellStyle name="Normal 81 2 3 2 4" xfId="5723" xr:uid="{00000000-0005-0000-0000-0000DE380000}"/>
    <cellStyle name="Normal 81 2 3 2 4 2" xfId="14764" xr:uid="{00000000-0005-0000-0000-0000DF380000}"/>
    <cellStyle name="Normal 81 2 3 2 5" xfId="10251" xr:uid="{00000000-0005-0000-0000-0000E0380000}"/>
    <cellStyle name="Normal 81 2 3 3" xfId="1764" xr:uid="{00000000-0005-0000-0000-0000E1380000}"/>
    <cellStyle name="Normal 81 2 3 3 2" xfId="4165" xr:uid="{00000000-0005-0000-0000-0000E2380000}"/>
    <cellStyle name="Normal 81 2 3 3 2 2" xfId="8679" xr:uid="{00000000-0005-0000-0000-0000E3380000}"/>
    <cellStyle name="Normal 81 2 3 3 2 2 2" xfId="17720" xr:uid="{00000000-0005-0000-0000-0000E4380000}"/>
    <cellStyle name="Normal 81 2 3 3 2 3" xfId="13207" xr:uid="{00000000-0005-0000-0000-0000E5380000}"/>
    <cellStyle name="Normal 81 2 3 3 3" xfId="6287" xr:uid="{00000000-0005-0000-0000-0000E6380000}"/>
    <cellStyle name="Normal 81 2 3 3 3 2" xfId="15328" xr:uid="{00000000-0005-0000-0000-0000E7380000}"/>
    <cellStyle name="Normal 81 2 3 3 4" xfId="10815" xr:uid="{00000000-0005-0000-0000-0000E8380000}"/>
    <cellStyle name="Normal 81 2 3 4" xfId="4162" xr:uid="{00000000-0005-0000-0000-0000E9380000}"/>
    <cellStyle name="Normal 81 2 3 4 2" xfId="8676" xr:uid="{00000000-0005-0000-0000-0000EA380000}"/>
    <cellStyle name="Normal 81 2 3 4 2 2" xfId="17717" xr:uid="{00000000-0005-0000-0000-0000EB380000}"/>
    <cellStyle name="Normal 81 2 3 4 3" xfId="13204" xr:uid="{00000000-0005-0000-0000-0000EC380000}"/>
    <cellStyle name="Normal 81 2 3 5" xfId="5159" xr:uid="{00000000-0005-0000-0000-0000ED380000}"/>
    <cellStyle name="Normal 81 2 3 5 2" xfId="14200" xr:uid="{00000000-0005-0000-0000-0000EE380000}"/>
    <cellStyle name="Normal 81 2 3 6" xfId="9687" xr:uid="{00000000-0005-0000-0000-0000EF380000}"/>
    <cellStyle name="Normal 81 2 4" xfId="782" xr:uid="{00000000-0005-0000-0000-0000F0380000}"/>
    <cellStyle name="Normal 81 2 4 2" xfId="1952" xr:uid="{00000000-0005-0000-0000-0000F1380000}"/>
    <cellStyle name="Normal 81 2 4 2 2" xfId="4167" xr:uid="{00000000-0005-0000-0000-0000F2380000}"/>
    <cellStyle name="Normal 81 2 4 2 2 2" xfId="8681" xr:uid="{00000000-0005-0000-0000-0000F3380000}"/>
    <cellStyle name="Normal 81 2 4 2 2 2 2" xfId="17722" xr:uid="{00000000-0005-0000-0000-0000F4380000}"/>
    <cellStyle name="Normal 81 2 4 2 2 3" xfId="13209" xr:uid="{00000000-0005-0000-0000-0000F5380000}"/>
    <cellStyle name="Normal 81 2 4 2 3" xfId="6475" xr:uid="{00000000-0005-0000-0000-0000F6380000}"/>
    <cellStyle name="Normal 81 2 4 2 3 2" xfId="15516" xr:uid="{00000000-0005-0000-0000-0000F7380000}"/>
    <cellStyle name="Normal 81 2 4 2 4" xfId="11003" xr:uid="{00000000-0005-0000-0000-0000F8380000}"/>
    <cellStyle name="Normal 81 2 4 3" xfId="4166" xr:uid="{00000000-0005-0000-0000-0000F9380000}"/>
    <cellStyle name="Normal 81 2 4 3 2" xfId="8680" xr:uid="{00000000-0005-0000-0000-0000FA380000}"/>
    <cellStyle name="Normal 81 2 4 3 2 2" xfId="17721" xr:uid="{00000000-0005-0000-0000-0000FB380000}"/>
    <cellStyle name="Normal 81 2 4 3 3" xfId="13208" xr:uid="{00000000-0005-0000-0000-0000FC380000}"/>
    <cellStyle name="Normal 81 2 4 4" xfId="5347" xr:uid="{00000000-0005-0000-0000-0000FD380000}"/>
    <cellStyle name="Normal 81 2 4 4 2" xfId="14388" xr:uid="{00000000-0005-0000-0000-0000FE380000}"/>
    <cellStyle name="Normal 81 2 4 5" xfId="9875" xr:uid="{00000000-0005-0000-0000-0000FF380000}"/>
    <cellStyle name="Normal 81 2 5" xfId="1388" xr:uid="{00000000-0005-0000-0000-000000390000}"/>
    <cellStyle name="Normal 81 2 5 2" xfId="4168" xr:uid="{00000000-0005-0000-0000-000001390000}"/>
    <cellStyle name="Normal 81 2 5 2 2" xfId="8682" xr:uid="{00000000-0005-0000-0000-000002390000}"/>
    <cellStyle name="Normal 81 2 5 2 2 2" xfId="17723" xr:uid="{00000000-0005-0000-0000-000003390000}"/>
    <cellStyle name="Normal 81 2 5 2 3" xfId="13210" xr:uid="{00000000-0005-0000-0000-000004390000}"/>
    <cellStyle name="Normal 81 2 5 3" xfId="5911" xr:uid="{00000000-0005-0000-0000-000005390000}"/>
    <cellStyle name="Normal 81 2 5 3 2" xfId="14952" xr:uid="{00000000-0005-0000-0000-000006390000}"/>
    <cellStyle name="Normal 81 2 5 4" xfId="10439" xr:uid="{00000000-0005-0000-0000-000007390000}"/>
    <cellStyle name="Normal 81 2 6" xfId="4157" xr:uid="{00000000-0005-0000-0000-000008390000}"/>
    <cellStyle name="Normal 81 2 6 2" xfId="8671" xr:uid="{00000000-0005-0000-0000-000009390000}"/>
    <cellStyle name="Normal 81 2 6 2 2" xfId="17712" xr:uid="{00000000-0005-0000-0000-00000A390000}"/>
    <cellStyle name="Normal 81 2 6 3" xfId="13199" xr:uid="{00000000-0005-0000-0000-00000B390000}"/>
    <cellStyle name="Normal 81 2 7" xfId="4783" xr:uid="{00000000-0005-0000-0000-00000C390000}"/>
    <cellStyle name="Normal 81 2 7 2" xfId="13824" xr:uid="{00000000-0005-0000-0000-00000D390000}"/>
    <cellStyle name="Normal 81 2 8" xfId="9311" xr:uid="{00000000-0005-0000-0000-00000E390000}"/>
    <cellStyle name="Normal 81 3" xfId="312" xr:uid="{00000000-0005-0000-0000-00000F390000}"/>
    <cellStyle name="Normal 81 3 2" xfId="876" xr:uid="{00000000-0005-0000-0000-000010390000}"/>
    <cellStyle name="Normal 81 3 2 2" xfId="2046" xr:uid="{00000000-0005-0000-0000-000011390000}"/>
    <cellStyle name="Normal 81 3 2 2 2" xfId="4171" xr:uid="{00000000-0005-0000-0000-000012390000}"/>
    <cellStyle name="Normal 81 3 2 2 2 2" xfId="8685" xr:uid="{00000000-0005-0000-0000-000013390000}"/>
    <cellStyle name="Normal 81 3 2 2 2 2 2" xfId="17726" xr:uid="{00000000-0005-0000-0000-000014390000}"/>
    <cellStyle name="Normal 81 3 2 2 2 3" xfId="13213" xr:uid="{00000000-0005-0000-0000-000015390000}"/>
    <cellStyle name="Normal 81 3 2 2 3" xfId="6569" xr:uid="{00000000-0005-0000-0000-000016390000}"/>
    <cellStyle name="Normal 81 3 2 2 3 2" xfId="15610" xr:uid="{00000000-0005-0000-0000-000017390000}"/>
    <cellStyle name="Normal 81 3 2 2 4" xfId="11097" xr:uid="{00000000-0005-0000-0000-000018390000}"/>
    <cellStyle name="Normal 81 3 2 3" xfId="4170" xr:uid="{00000000-0005-0000-0000-000019390000}"/>
    <cellStyle name="Normal 81 3 2 3 2" xfId="8684" xr:uid="{00000000-0005-0000-0000-00001A390000}"/>
    <cellStyle name="Normal 81 3 2 3 2 2" xfId="17725" xr:uid="{00000000-0005-0000-0000-00001B390000}"/>
    <cellStyle name="Normal 81 3 2 3 3" xfId="13212" xr:uid="{00000000-0005-0000-0000-00001C390000}"/>
    <cellStyle name="Normal 81 3 2 4" xfId="5441" xr:uid="{00000000-0005-0000-0000-00001D390000}"/>
    <cellStyle name="Normal 81 3 2 4 2" xfId="14482" xr:uid="{00000000-0005-0000-0000-00001E390000}"/>
    <cellStyle name="Normal 81 3 2 5" xfId="9969" xr:uid="{00000000-0005-0000-0000-00001F390000}"/>
    <cellStyle name="Normal 81 3 3" xfId="1482" xr:uid="{00000000-0005-0000-0000-000020390000}"/>
    <cellStyle name="Normal 81 3 3 2" xfId="4172" xr:uid="{00000000-0005-0000-0000-000021390000}"/>
    <cellStyle name="Normal 81 3 3 2 2" xfId="8686" xr:uid="{00000000-0005-0000-0000-000022390000}"/>
    <cellStyle name="Normal 81 3 3 2 2 2" xfId="17727" xr:uid="{00000000-0005-0000-0000-000023390000}"/>
    <cellStyle name="Normal 81 3 3 2 3" xfId="13214" xr:uid="{00000000-0005-0000-0000-000024390000}"/>
    <cellStyle name="Normal 81 3 3 3" xfId="6005" xr:uid="{00000000-0005-0000-0000-000025390000}"/>
    <cellStyle name="Normal 81 3 3 3 2" xfId="15046" xr:uid="{00000000-0005-0000-0000-000026390000}"/>
    <cellStyle name="Normal 81 3 3 4" xfId="10533" xr:uid="{00000000-0005-0000-0000-000027390000}"/>
    <cellStyle name="Normal 81 3 4" xfId="4169" xr:uid="{00000000-0005-0000-0000-000028390000}"/>
    <cellStyle name="Normal 81 3 4 2" xfId="8683" xr:uid="{00000000-0005-0000-0000-000029390000}"/>
    <cellStyle name="Normal 81 3 4 2 2" xfId="17724" xr:uid="{00000000-0005-0000-0000-00002A390000}"/>
    <cellStyle name="Normal 81 3 4 3" xfId="13211" xr:uid="{00000000-0005-0000-0000-00002B390000}"/>
    <cellStyle name="Normal 81 3 5" xfId="4877" xr:uid="{00000000-0005-0000-0000-00002C390000}"/>
    <cellStyle name="Normal 81 3 5 2" xfId="13918" xr:uid="{00000000-0005-0000-0000-00002D390000}"/>
    <cellStyle name="Normal 81 3 6" xfId="9405" xr:uid="{00000000-0005-0000-0000-00002E390000}"/>
    <cellStyle name="Normal 81 4" xfId="500" xr:uid="{00000000-0005-0000-0000-00002F390000}"/>
    <cellStyle name="Normal 81 4 2" xfId="1064" xr:uid="{00000000-0005-0000-0000-000030390000}"/>
    <cellStyle name="Normal 81 4 2 2" xfId="2234" xr:uid="{00000000-0005-0000-0000-000031390000}"/>
    <cellStyle name="Normal 81 4 2 2 2" xfId="4175" xr:uid="{00000000-0005-0000-0000-000032390000}"/>
    <cellStyle name="Normal 81 4 2 2 2 2" xfId="8689" xr:uid="{00000000-0005-0000-0000-000033390000}"/>
    <cellStyle name="Normal 81 4 2 2 2 2 2" xfId="17730" xr:uid="{00000000-0005-0000-0000-000034390000}"/>
    <cellStyle name="Normal 81 4 2 2 2 3" xfId="13217" xr:uid="{00000000-0005-0000-0000-000035390000}"/>
    <cellStyle name="Normal 81 4 2 2 3" xfId="6757" xr:uid="{00000000-0005-0000-0000-000036390000}"/>
    <cellStyle name="Normal 81 4 2 2 3 2" xfId="15798" xr:uid="{00000000-0005-0000-0000-000037390000}"/>
    <cellStyle name="Normal 81 4 2 2 4" xfId="11285" xr:uid="{00000000-0005-0000-0000-000038390000}"/>
    <cellStyle name="Normal 81 4 2 3" xfId="4174" xr:uid="{00000000-0005-0000-0000-000039390000}"/>
    <cellStyle name="Normal 81 4 2 3 2" xfId="8688" xr:uid="{00000000-0005-0000-0000-00003A390000}"/>
    <cellStyle name="Normal 81 4 2 3 2 2" xfId="17729" xr:uid="{00000000-0005-0000-0000-00003B390000}"/>
    <cellStyle name="Normal 81 4 2 3 3" xfId="13216" xr:uid="{00000000-0005-0000-0000-00003C390000}"/>
    <cellStyle name="Normal 81 4 2 4" xfId="5629" xr:uid="{00000000-0005-0000-0000-00003D390000}"/>
    <cellStyle name="Normal 81 4 2 4 2" xfId="14670" xr:uid="{00000000-0005-0000-0000-00003E390000}"/>
    <cellStyle name="Normal 81 4 2 5" xfId="10157" xr:uid="{00000000-0005-0000-0000-00003F390000}"/>
    <cellStyle name="Normal 81 4 3" xfId="1670" xr:uid="{00000000-0005-0000-0000-000040390000}"/>
    <cellStyle name="Normal 81 4 3 2" xfId="4176" xr:uid="{00000000-0005-0000-0000-000041390000}"/>
    <cellStyle name="Normal 81 4 3 2 2" xfId="8690" xr:uid="{00000000-0005-0000-0000-000042390000}"/>
    <cellStyle name="Normal 81 4 3 2 2 2" xfId="17731" xr:uid="{00000000-0005-0000-0000-000043390000}"/>
    <cellStyle name="Normal 81 4 3 2 3" xfId="13218" xr:uid="{00000000-0005-0000-0000-000044390000}"/>
    <cellStyle name="Normal 81 4 3 3" xfId="6193" xr:uid="{00000000-0005-0000-0000-000045390000}"/>
    <cellStyle name="Normal 81 4 3 3 2" xfId="15234" xr:uid="{00000000-0005-0000-0000-000046390000}"/>
    <cellStyle name="Normal 81 4 3 4" xfId="10721" xr:uid="{00000000-0005-0000-0000-000047390000}"/>
    <cellStyle name="Normal 81 4 4" xfId="4173" xr:uid="{00000000-0005-0000-0000-000048390000}"/>
    <cellStyle name="Normal 81 4 4 2" xfId="8687" xr:uid="{00000000-0005-0000-0000-000049390000}"/>
    <cellStyle name="Normal 81 4 4 2 2" xfId="17728" xr:uid="{00000000-0005-0000-0000-00004A390000}"/>
    <cellStyle name="Normal 81 4 4 3" xfId="13215" xr:uid="{00000000-0005-0000-0000-00004B390000}"/>
    <cellStyle name="Normal 81 4 5" xfId="5065" xr:uid="{00000000-0005-0000-0000-00004C390000}"/>
    <cellStyle name="Normal 81 4 5 2" xfId="14106" xr:uid="{00000000-0005-0000-0000-00004D390000}"/>
    <cellStyle name="Normal 81 4 6" xfId="9593" xr:uid="{00000000-0005-0000-0000-00004E390000}"/>
    <cellStyle name="Normal 81 5" xfId="688" xr:uid="{00000000-0005-0000-0000-00004F390000}"/>
    <cellStyle name="Normal 81 5 2" xfId="1858" xr:uid="{00000000-0005-0000-0000-000050390000}"/>
    <cellStyle name="Normal 81 5 2 2" xfId="4178" xr:uid="{00000000-0005-0000-0000-000051390000}"/>
    <cellStyle name="Normal 81 5 2 2 2" xfId="8692" xr:uid="{00000000-0005-0000-0000-000052390000}"/>
    <cellStyle name="Normal 81 5 2 2 2 2" xfId="17733" xr:uid="{00000000-0005-0000-0000-000053390000}"/>
    <cellStyle name="Normal 81 5 2 2 3" xfId="13220" xr:uid="{00000000-0005-0000-0000-000054390000}"/>
    <cellStyle name="Normal 81 5 2 3" xfId="6381" xr:uid="{00000000-0005-0000-0000-000055390000}"/>
    <cellStyle name="Normal 81 5 2 3 2" xfId="15422" xr:uid="{00000000-0005-0000-0000-000056390000}"/>
    <cellStyle name="Normal 81 5 2 4" xfId="10909" xr:uid="{00000000-0005-0000-0000-000057390000}"/>
    <cellStyle name="Normal 81 5 3" xfId="4177" xr:uid="{00000000-0005-0000-0000-000058390000}"/>
    <cellStyle name="Normal 81 5 3 2" xfId="8691" xr:uid="{00000000-0005-0000-0000-000059390000}"/>
    <cellStyle name="Normal 81 5 3 2 2" xfId="17732" xr:uid="{00000000-0005-0000-0000-00005A390000}"/>
    <cellStyle name="Normal 81 5 3 3" xfId="13219" xr:uid="{00000000-0005-0000-0000-00005B390000}"/>
    <cellStyle name="Normal 81 5 4" xfId="5253" xr:uid="{00000000-0005-0000-0000-00005C390000}"/>
    <cellStyle name="Normal 81 5 4 2" xfId="14294" xr:uid="{00000000-0005-0000-0000-00005D390000}"/>
    <cellStyle name="Normal 81 5 5" xfId="9781" xr:uid="{00000000-0005-0000-0000-00005E390000}"/>
    <cellStyle name="Normal 81 6" xfId="1294" xr:uid="{00000000-0005-0000-0000-00005F390000}"/>
    <cellStyle name="Normal 81 6 2" xfId="4179" xr:uid="{00000000-0005-0000-0000-000060390000}"/>
    <cellStyle name="Normal 81 6 2 2" xfId="8693" xr:uid="{00000000-0005-0000-0000-000061390000}"/>
    <cellStyle name="Normal 81 6 2 2 2" xfId="17734" xr:uid="{00000000-0005-0000-0000-000062390000}"/>
    <cellStyle name="Normal 81 6 2 3" xfId="13221" xr:uid="{00000000-0005-0000-0000-000063390000}"/>
    <cellStyle name="Normal 81 6 3" xfId="5817" xr:uid="{00000000-0005-0000-0000-000064390000}"/>
    <cellStyle name="Normal 81 6 3 2" xfId="14858" xr:uid="{00000000-0005-0000-0000-000065390000}"/>
    <cellStyle name="Normal 81 6 4" xfId="10345" xr:uid="{00000000-0005-0000-0000-000066390000}"/>
    <cellStyle name="Normal 81 7" xfId="4156" xr:uid="{00000000-0005-0000-0000-000067390000}"/>
    <cellStyle name="Normal 81 7 2" xfId="8670" xr:uid="{00000000-0005-0000-0000-000068390000}"/>
    <cellStyle name="Normal 81 7 2 2" xfId="17711" xr:uid="{00000000-0005-0000-0000-000069390000}"/>
    <cellStyle name="Normal 81 7 3" xfId="13198" xr:uid="{00000000-0005-0000-0000-00006A390000}"/>
    <cellStyle name="Normal 81 8" xfId="4689" xr:uid="{00000000-0005-0000-0000-00006B390000}"/>
    <cellStyle name="Normal 81 8 2" xfId="13730" xr:uid="{00000000-0005-0000-0000-00006C390000}"/>
    <cellStyle name="Normal 81 9" xfId="9217" xr:uid="{00000000-0005-0000-0000-00006D390000}"/>
    <cellStyle name="Normal 82" xfId="82" xr:uid="{00000000-0005-0000-0000-00006E390000}"/>
    <cellStyle name="Normal 82 2" xfId="178" xr:uid="{00000000-0005-0000-0000-00006F390000}"/>
    <cellStyle name="Normal 82 2 2" xfId="407" xr:uid="{00000000-0005-0000-0000-000070390000}"/>
    <cellStyle name="Normal 82 2 2 2" xfId="971" xr:uid="{00000000-0005-0000-0000-000071390000}"/>
    <cellStyle name="Normal 82 2 2 2 2" xfId="2141" xr:uid="{00000000-0005-0000-0000-000072390000}"/>
    <cellStyle name="Normal 82 2 2 2 2 2" xfId="4184" xr:uid="{00000000-0005-0000-0000-000073390000}"/>
    <cellStyle name="Normal 82 2 2 2 2 2 2" xfId="8698" xr:uid="{00000000-0005-0000-0000-000074390000}"/>
    <cellStyle name="Normal 82 2 2 2 2 2 2 2" xfId="17739" xr:uid="{00000000-0005-0000-0000-000075390000}"/>
    <cellStyle name="Normal 82 2 2 2 2 2 3" xfId="13226" xr:uid="{00000000-0005-0000-0000-000076390000}"/>
    <cellStyle name="Normal 82 2 2 2 2 3" xfId="6664" xr:uid="{00000000-0005-0000-0000-000077390000}"/>
    <cellStyle name="Normal 82 2 2 2 2 3 2" xfId="15705" xr:uid="{00000000-0005-0000-0000-000078390000}"/>
    <cellStyle name="Normal 82 2 2 2 2 4" xfId="11192" xr:uid="{00000000-0005-0000-0000-000079390000}"/>
    <cellStyle name="Normal 82 2 2 2 3" xfId="4183" xr:uid="{00000000-0005-0000-0000-00007A390000}"/>
    <cellStyle name="Normal 82 2 2 2 3 2" xfId="8697" xr:uid="{00000000-0005-0000-0000-00007B390000}"/>
    <cellStyle name="Normal 82 2 2 2 3 2 2" xfId="17738" xr:uid="{00000000-0005-0000-0000-00007C390000}"/>
    <cellStyle name="Normal 82 2 2 2 3 3" xfId="13225" xr:uid="{00000000-0005-0000-0000-00007D390000}"/>
    <cellStyle name="Normal 82 2 2 2 4" xfId="5536" xr:uid="{00000000-0005-0000-0000-00007E390000}"/>
    <cellStyle name="Normal 82 2 2 2 4 2" xfId="14577" xr:uid="{00000000-0005-0000-0000-00007F390000}"/>
    <cellStyle name="Normal 82 2 2 2 5" xfId="10064" xr:uid="{00000000-0005-0000-0000-000080390000}"/>
    <cellStyle name="Normal 82 2 2 3" xfId="1577" xr:uid="{00000000-0005-0000-0000-000081390000}"/>
    <cellStyle name="Normal 82 2 2 3 2" xfId="4185" xr:uid="{00000000-0005-0000-0000-000082390000}"/>
    <cellStyle name="Normal 82 2 2 3 2 2" xfId="8699" xr:uid="{00000000-0005-0000-0000-000083390000}"/>
    <cellStyle name="Normal 82 2 2 3 2 2 2" xfId="17740" xr:uid="{00000000-0005-0000-0000-000084390000}"/>
    <cellStyle name="Normal 82 2 2 3 2 3" xfId="13227" xr:uid="{00000000-0005-0000-0000-000085390000}"/>
    <cellStyle name="Normal 82 2 2 3 3" xfId="6100" xr:uid="{00000000-0005-0000-0000-000086390000}"/>
    <cellStyle name="Normal 82 2 2 3 3 2" xfId="15141" xr:uid="{00000000-0005-0000-0000-000087390000}"/>
    <cellStyle name="Normal 82 2 2 3 4" xfId="10628" xr:uid="{00000000-0005-0000-0000-000088390000}"/>
    <cellStyle name="Normal 82 2 2 4" xfId="4182" xr:uid="{00000000-0005-0000-0000-000089390000}"/>
    <cellStyle name="Normal 82 2 2 4 2" xfId="8696" xr:uid="{00000000-0005-0000-0000-00008A390000}"/>
    <cellStyle name="Normal 82 2 2 4 2 2" xfId="17737" xr:uid="{00000000-0005-0000-0000-00008B390000}"/>
    <cellStyle name="Normal 82 2 2 4 3" xfId="13224" xr:uid="{00000000-0005-0000-0000-00008C390000}"/>
    <cellStyle name="Normal 82 2 2 5" xfId="4972" xr:uid="{00000000-0005-0000-0000-00008D390000}"/>
    <cellStyle name="Normal 82 2 2 5 2" xfId="14013" xr:uid="{00000000-0005-0000-0000-00008E390000}"/>
    <cellStyle name="Normal 82 2 2 6" xfId="9500" xr:uid="{00000000-0005-0000-0000-00008F390000}"/>
    <cellStyle name="Normal 82 2 3" xfId="595" xr:uid="{00000000-0005-0000-0000-000090390000}"/>
    <cellStyle name="Normal 82 2 3 2" xfId="1159" xr:uid="{00000000-0005-0000-0000-000091390000}"/>
    <cellStyle name="Normal 82 2 3 2 2" xfId="2329" xr:uid="{00000000-0005-0000-0000-000092390000}"/>
    <cellStyle name="Normal 82 2 3 2 2 2" xfId="4188" xr:uid="{00000000-0005-0000-0000-000093390000}"/>
    <cellStyle name="Normal 82 2 3 2 2 2 2" xfId="8702" xr:uid="{00000000-0005-0000-0000-000094390000}"/>
    <cellStyle name="Normal 82 2 3 2 2 2 2 2" xfId="17743" xr:uid="{00000000-0005-0000-0000-000095390000}"/>
    <cellStyle name="Normal 82 2 3 2 2 2 3" xfId="13230" xr:uid="{00000000-0005-0000-0000-000096390000}"/>
    <cellStyle name="Normal 82 2 3 2 2 3" xfId="6852" xr:uid="{00000000-0005-0000-0000-000097390000}"/>
    <cellStyle name="Normal 82 2 3 2 2 3 2" xfId="15893" xr:uid="{00000000-0005-0000-0000-000098390000}"/>
    <cellStyle name="Normal 82 2 3 2 2 4" xfId="11380" xr:uid="{00000000-0005-0000-0000-000099390000}"/>
    <cellStyle name="Normal 82 2 3 2 3" xfId="4187" xr:uid="{00000000-0005-0000-0000-00009A390000}"/>
    <cellStyle name="Normal 82 2 3 2 3 2" xfId="8701" xr:uid="{00000000-0005-0000-0000-00009B390000}"/>
    <cellStyle name="Normal 82 2 3 2 3 2 2" xfId="17742" xr:uid="{00000000-0005-0000-0000-00009C390000}"/>
    <cellStyle name="Normal 82 2 3 2 3 3" xfId="13229" xr:uid="{00000000-0005-0000-0000-00009D390000}"/>
    <cellStyle name="Normal 82 2 3 2 4" xfId="5724" xr:uid="{00000000-0005-0000-0000-00009E390000}"/>
    <cellStyle name="Normal 82 2 3 2 4 2" xfId="14765" xr:uid="{00000000-0005-0000-0000-00009F390000}"/>
    <cellStyle name="Normal 82 2 3 2 5" xfId="10252" xr:uid="{00000000-0005-0000-0000-0000A0390000}"/>
    <cellStyle name="Normal 82 2 3 3" xfId="1765" xr:uid="{00000000-0005-0000-0000-0000A1390000}"/>
    <cellStyle name="Normal 82 2 3 3 2" xfId="4189" xr:uid="{00000000-0005-0000-0000-0000A2390000}"/>
    <cellStyle name="Normal 82 2 3 3 2 2" xfId="8703" xr:uid="{00000000-0005-0000-0000-0000A3390000}"/>
    <cellStyle name="Normal 82 2 3 3 2 2 2" xfId="17744" xr:uid="{00000000-0005-0000-0000-0000A4390000}"/>
    <cellStyle name="Normal 82 2 3 3 2 3" xfId="13231" xr:uid="{00000000-0005-0000-0000-0000A5390000}"/>
    <cellStyle name="Normal 82 2 3 3 3" xfId="6288" xr:uid="{00000000-0005-0000-0000-0000A6390000}"/>
    <cellStyle name="Normal 82 2 3 3 3 2" xfId="15329" xr:uid="{00000000-0005-0000-0000-0000A7390000}"/>
    <cellStyle name="Normal 82 2 3 3 4" xfId="10816" xr:uid="{00000000-0005-0000-0000-0000A8390000}"/>
    <cellStyle name="Normal 82 2 3 4" xfId="4186" xr:uid="{00000000-0005-0000-0000-0000A9390000}"/>
    <cellStyle name="Normal 82 2 3 4 2" xfId="8700" xr:uid="{00000000-0005-0000-0000-0000AA390000}"/>
    <cellStyle name="Normal 82 2 3 4 2 2" xfId="17741" xr:uid="{00000000-0005-0000-0000-0000AB390000}"/>
    <cellStyle name="Normal 82 2 3 4 3" xfId="13228" xr:uid="{00000000-0005-0000-0000-0000AC390000}"/>
    <cellStyle name="Normal 82 2 3 5" xfId="5160" xr:uid="{00000000-0005-0000-0000-0000AD390000}"/>
    <cellStyle name="Normal 82 2 3 5 2" xfId="14201" xr:uid="{00000000-0005-0000-0000-0000AE390000}"/>
    <cellStyle name="Normal 82 2 3 6" xfId="9688" xr:uid="{00000000-0005-0000-0000-0000AF390000}"/>
    <cellStyle name="Normal 82 2 4" xfId="783" xr:uid="{00000000-0005-0000-0000-0000B0390000}"/>
    <cellStyle name="Normal 82 2 4 2" xfId="1953" xr:uid="{00000000-0005-0000-0000-0000B1390000}"/>
    <cellStyle name="Normal 82 2 4 2 2" xfId="4191" xr:uid="{00000000-0005-0000-0000-0000B2390000}"/>
    <cellStyle name="Normal 82 2 4 2 2 2" xfId="8705" xr:uid="{00000000-0005-0000-0000-0000B3390000}"/>
    <cellStyle name="Normal 82 2 4 2 2 2 2" xfId="17746" xr:uid="{00000000-0005-0000-0000-0000B4390000}"/>
    <cellStyle name="Normal 82 2 4 2 2 3" xfId="13233" xr:uid="{00000000-0005-0000-0000-0000B5390000}"/>
    <cellStyle name="Normal 82 2 4 2 3" xfId="6476" xr:uid="{00000000-0005-0000-0000-0000B6390000}"/>
    <cellStyle name="Normal 82 2 4 2 3 2" xfId="15517" xr:uid="{00000000-0005-0000-0000-0000B7390000}"/>
    <cellStyle name="Normal 82 2 4 2 4" xfId="11004" xr:uid="{00000000-0005-0000-0000-0000B8390000}"/>
    <cellStyle name="Normal 82 2 4 3" xfId="4190" xr:uid="{00000000-0005-0000-0000-0000B9390000}"/>
    <cellStyle name="Normal 82 2 4 3 2" xfId="8704" xr:uid="{00000000-0005-0000-0000-0000BA390000}"/>
    <cellStyle name="Normal 82 2 4 3 2 2" xfId="17745" xr:uid="{00000000-0005-0000-0000-0000BB390000}"/>
    <cellStyle name="Normal 82 2 4 3 3" xfId="13232" xr:uid="{00000000-0005-0000-0000-0000BC390000}"/>
    <cellStyle name="Normal 82 2 4 4" xfId="5348" xr:uid="{00000000-0005-0000-0000-0000BD390000}"/>
    <cellStyle name="Normal 82 2 4 4 2" xfId="14389" xr:uid="{00000000-0005-0000-0000-0000BE390000}"/>
    <cellStyle name="Normal 82 2 4 5" xfId="9876" xr:uid="{00000000-0005-0000-0000-0000BF390000}"/>
    <cellStyle name="Normal 82 2 5" xfId="1389" xr:uid="{00000000-0005-0000-0000-0000C0390000}"/>
    <cellStyle name="Normal 82 2 5 2" xfId="4192" xr:uid="{00000000-0005-0000-0000-0000C1390000}"/>
    <cellStyle name="Normal 82 2 5 2 2" xfId="8706" xr:uid="{00000000-0005-0000-0000-0000C2390000}"/>
    <cellStyle name="Normal 82 2 5 2 2 2" xfId="17747" xr:uid="{00000000-0005-0000-0000-0000C3390000}"/>
    <cellStyle name="Normal 82 2 5 2 3" xfId="13234" xr:uid="{00000000-0005-0000-0000-0000C4390000}"/>
    <cellStyle name="Normal 82 2 5 3" xfId="5912" xr:uid="{00000000-0005-0000-0000-0000C5390000}"/>
    <cellStyle name="Normal 82 2 5 3 2" xfId="14953" xr:uid="{00000000-0005-0000-0000-0000C6390000}"/>
    <cellStyle name="Normal 82 2 5 4" xfId="10440" xr:uid="{00000000-0005-0000-0000-0000C7390000}"/>
    <cellStyle name="Normal 82 2 6" xfId="4181" xr:uid="{00000000-0005-0000-0000-0000C8390000}"/>
    <cellStyle name="Normal 82 2 6 2" xfId="8695" xr:uid="{00000000-0005-0000-0000-0000C9390000}"/>
    <cellStyle name="Normal 82 2 6 2 2" xfId="17736" xr:uid="{00000000-0005-0000-0000-0000CA390000}"/>
    <cellStyle name="Normal 82 2 6 3" xfId="13223" xr:uid="{00000000-0005-0000-0000-0000CB390000}"/>
    <cellStyle name="Normal 82 2 7" xfId="4784" xr:uid="{00000000-0005-0000-0000-0000CC390000}"/>
    <cellStyle name="Normal 82 2 7 2" xfId="13825" xr:uid="{00000000-0005-0000-0000-0000CD390000}"/>
    <cellStyle name="Normal 82 2 8" xfId="9312" xr:uid="{00000000-0005-0000-0000-0000CE390000}"/>
    <cellStyle name="Normal 82 3" xfId="313" xr:uid="{00000000-0005-0000-0000-0000CF390000}"/>
    <cellStyle name="Normal 82 3 2" xfId="877" xr:uid="{00000000-0005-0000-0000-0000D0390000}"/>
    <cellStyle name="Normal 82 3 2 2" xfId="2047" xr:uid="{00000000-0005-0000-0000-0000D1390000}"/>
    <cellStyle name="Normal 82 3 2 2 2" xfId="4195" xr:uid="{00000000-0005-0000-0000-0000D2390000}"/>
    <cellStyle name="Normal 82 3 2 2 2 2" xfId="8709" xr:uid="{00000000-0005-0000-0000-0000D3390000}"/>
    <cellStyle name="Normal 82 3 2 2 2 2 2" xfId="17750" xr:uid="{00000000-0005-0000-0000-0000D4390000}"/>
    <cellStyle name="Normal 82 3 2 2 2 3" xfId="13237" xr:uid="{00000000-0005-0000-0000-0000D5390000}"/>
    <cellStyle name="Normal 82 3 2 2 3" xfId="6570" xr:uid="{00000000-0005-0000-0000-0000D6390000}"/>
    <cellStyle name="Normal 82 3 2 2 3 2" xfId="15611" xr:uid="{00000000-0005-0000-0000-0000D7390000}"/>
    <cellStyle name="Normal 82 3 2 2 4" xfId="11098" xr:uid="{00000000-0005-0000-0000-0000D8390000}"/>
    <cellStyle name="Normal 82 3 2 3" xfId="4194" xr:uid="{00000000-0005-0000-0000-0000D9390000}"/>
    <cellStyle name="Normal 82 3 2 3 2" xfId="8708" xr:uid="{00000000-0005-0000-0000-0000DA390000}"/>
    <cellStyle name="Normal 82 3 2 3 2 2" xfId="17749" xr:uid="{00000000-0005-0000-0000-0000DB390000}"/>
    <cellStyle name="Normal 82 3 2 3 3" xfId="13236" xr:uid="{00000000-0005-0000-0000-0000DC390000}"/>
    <cellStyle name="Normal 82 3 2 4" xfId="5442" xr:uid="{00000000-0005-0000-0000-0000DD390000}"/>
    <cellStyle name="Normal 82 3 2 4 2" xfId="14483" xr:uid="{00000000-0005-0000-0000-0000DE390000}"/>
    <cellStyle name="Normal 82 3 2 5" xfId="9970" xr:uid="{00000000-0005-0000-0000-0000DF390000}"/>
    <cellStyle name="Normal 82 3 3" xfId="1483" xr:uid="{00000000-0005-0000-0000-0000E0390000}"/>
    <cellStyle name="Normal 82 3 3 2" xfId="4196" xr:uid="{00000000-0005-0000-0000-0000E1390000}"/>
    <cellStyle name="Normal 82 3 3 2 2" xfId="8710" xr:uid="{00000000-0005-0000-0000-0000E2390000}"/>
    <cellStyle name="Normal 82 3 3 2 2 2" xfId="17751" xr:uid="{00000000-0005-0000-0000-0000E3390000}"/>
    <cellStyle name="Normal 82 3 3 2 3" xfId="13238" xr:uid="{00000000-0005-0000-0000-0000E4390000}"/>
    <cellStyle name="Normal 82 3 3 3" xfId="6006" xr:uid="{00000000-0005-0000-0000-0000E5390000}"/>
    <cellStyle name="Normal 82 3 3 3 2" xfId="15047" xr:uid="{00000000-0005-0000-0000-0000E6390000}"/>
    <cellStyle name="Normal 82 3 3 4" xfId="10534" xr:uid="{00000000-0005-0000-0000-0000E7390000}"/>
    <cellStyle name="Normal 82 3 4" xfId="4193" xr:uid="{00000000-0005-0000-0000-0000E8390000}"/>
    <cellStyle name="Normal 82 3 4 2" xfId="8707" xr:uid="{00000000-0005-0000-0000-0000E9390000}"/>
    <cellStyle name="Normal 82 3 4 2 2" xfId="17748" xr:uid="{00000000-0005-0000-0000-0000EA390000}"/>
    <cellStyle name="Normal 82 3 4 3" xfId="13235" xr:uid="{00000000-0005-0000-0000-0000EB390000}"/>
    <cellStyle name="Normal 82 3 5" xfId="4878" xr:uid="{00000000-0005-0000-0000-0000EC390000}"/>
    <cellStyle name="Normal 82 3 5 2" xfId="13919" xr:uid="{00000000-0005-0000-0000-0000ED390000}"/>
    <cellStyle name="Normal 82 3 6" xfId="9406" xr:uid="{00000000-0005-0000-0000-0000EE390000}"/>
    <cellStyle name="Normal 82 4" xfId="501" xr:uid="{00000000-0005-0000-0000-0000EF390000}"/>
    <cellStyle name="Normal 82 4 2" xfId="1065" xr:uid="{00000000-0005-0000-0000-0000F0390000}"/>
    <cellStyle name="Normal 82 4 2 2" xfId="2235" xr:uid="{00000000-0005-0000-0000-0000F1390000}"/>
    <cellStyle name="Normal 82 4 2 2 2" xfId="4199" xr:uid="{00000000-0005-0000-0000-0000F2390000}"/>
    <cellStyle name="Normal 82 4 2 2 2 2" xfId="8713" xr:uid="{00000000-0005-0000-0000-0000F3390000}"/>
    <cellStyle name="Normal 82 4 2 2 2 2 2" xfId="17754" xr:uid="{00000000-0005-0000-0000-0000F4390000}"/>
    <cellStyle name="Normal 82 4 2 2 2 3" xfId="13241" xr:uid="{00000000-0005-0000-0000-0000F5390000}"/>
    <cellStyle name="Normal 82 4 2 2 3" xfId="6758" xr:uid="{00000000-0005-0000-0000-0000F6390000}"/>
    <cellStyle name="Normal 82 4 2 2 3 2" xfId="15799" xr:uid="{00000000-0005-0000-0000-0000F7390000}"/>
    <cellStyle name="Normal 82 4 2 2 4" xfId="11286" xr:uid="{00000000-0005-0000-0000-0000F8390000}"/>
    <cellStyle name="Normal 82 4 2 3" xfId="4198" xr:uid="{00000000-0005-0000-0000-0000F9390000}"/>
    <cellStyle name="Normal 82 4 2 3 2" xfId="8712" xr:uid="{00000000-0005-0000-0000-0000FA390000}"/>
    <cellStyle name="Normal 82 4 2 3 2 2" xfId="17753" xr:uid="{00000000-0005-0000-0000-0000FB390000}"/>
    <cellStyle name="Normal 82 4 2 3 3" xfId="13240" xr:uid="{00000000-0005-0000-0000-0000FC390000}"/>
    <cellStyle name="Normal 82 4 2 4" xfId="5630" xr:uid="{00000000-0005-0000-0000-0000FD390000}"/>
    <cellStyle name="Normal 82 4 2 4 2" xfId="14671" xr:uid="{00000000-0005-0000-0000-0000FE390000}"/>
    <cellStyle name="Normal 82 4 2 5" xfId="10158" xr:uid="{00000000-0005-0000-0000-0000FF390000}"/>
    <cellStyle name="Normal 82 4 3" xfId="1671" xr:uid="{00000000-0005-0000-0000-0000003A0000}"/>
    <cellStyle name="Normal 82 4 3 2" xfId="4200" xr:uid="{00000000-0005-0000-0000-0000013A0000}"/>
    <cellStyle name="Normal 82 4 3 2 2" xfId="8714" xr:uid="{00000000-0005-0000-0000-0000023A0000}"/>
    <cellStyle name="Normal 82 4 3 2 2 2" xfId="17755" xr:uid="{00000000-0005-0000-0000-0000033A0000}"/>
    <cellStyle name="Normal 82 4 3 2 3" xfId="13242" xr:uid="{00000000-0005-0000-0000-0000043A0000}"/>
    <cellStyle name="Normal 82 4 3 3" xfId="6194" xr:uid="{00000000-0005-0000-0000-0000053A0000}"/>
    <cellStyle name="Normal 82 4 3 3 2" xfId="15235" xr:uid="{00000000-0005-0000-0000-0000063A0000}"/>
    <cellStyle name="Normal 82 4 3 4" xfId="10722" xr:uid="{00000000-0005-0000-0000-0000073A0000}"/>
    <cellStyle name="Normal 82 4 4" xfId="4197" xr:uid="{00000000-0005-0000-0000-0000083A0000}"/>
    <cellStyle name="Normal 82 4 4 2" xfId="8711" xr:uid="{00000000-0005-0000-0000-0000093A0000}"/>
    <cellStyle name="Normal 82 4 4 2 2" xfId="17752" xr:uid="{00000000-0005-0000-0000-00000A3A0000}"/>
    <cellStyle name="Normal 82 4 4 3" xfId="13239" xr:uid="{00000000-0005-0000-0000-00000B3A0000}"/>
    <cellStyle name="Normal 82 4 5" xfId="5066" xr:uid="{00000000-0005-0000-0000-00000C3A0000}"/>
    <cellStyle name="Normal 82 4 5 2" xfId="14107" xr:uid="{00000000-0005-0000-0000-00000D3A0000}"/>
    <cellStyle name="Normal 82 4 6" xfId="9594" xr:uid="{00000000-0005-0000-0000-00000E3A0000}"/>
    <cellStyle name="Normal 82 5" xfId="689" xr:uid="{00000000-0005-0000-0000-00000F3A0000}"/>
    <cellStyle name="Normal 82 5 2" xfId="1859" xr:uid="{00000000-0005-0000-0000-0000103A0000}"/>
    <cellStyle name="Normal 82 5 2 2" xfId="4202" xr:uid="{00000000-0005-0000-0000-0000113A0000}"/>
    <cellStyle name="Normal 82 5 2 2 2" xfId="8716" xr:uid="{00000000-0005-0000-0000-0000123A0000}"/>
    <cellStyle name="Normal 82 5 2 2 2 2" xfId="17757" xr:uid="{00000000-0005-0000-0000-0000133A0000}"/>
    <cellStyle name="Normal 82 5 2 2 3" xfId="13244" xr:uid="{00000000-0005-0000-0000-0000143A0000}"/>
    <cellStyle name="Normal 82 5 2 3" xfId="6382" xr:uid="{00000000-0005-0000-0000-0000153A0000}"/>
    <cellStyle name="Normal 82 5 2 3 2" xfId="15423" xr:uid="{00000000-0005-0000-0000-0000163A0000}"/>
    <cellStyle name="Normal 82 5 2 4" xfId="10910" xr:uid="{00000000-0005-0000-0000-0000173A0000}"/>
    <cellStyle name="Normal 82 5 3" xfId="4201" xr:uid="{00000000-0005-0000-0000-0000183A0000}"/>
    <cellStyle name="Normal 82 5 3 2" xfId="8715" xr:uid="{00000000-0005-0000-0000-0000193A0000}"/>
    <cellStyle name="Normal 82 5 3 2 2" xfId="17756" xr:uid="{00000000-0005-0000-0000-00001A3A0000}"/>
    <cellStyle name="Normal 82 5 3 3" xfId="13243" xr:uid="{00000000-0005-0000-0000-00001B3A0000}"/>
    <cellStyle name="Normal 82 5 4" xfId="5254" xr:uid="{00000000-0005-0000-0000-00001C3A0000}"/>
    <cellStyle name="Normal 82 5 4 2" xfId="14295" xr:uid="{00000000-0005-0000-0000-00001D3A0000}"/>
    <cellStyle name="Normal 82 5 5" xfId="9782" xr:uid="{00000000-0005-0000-0000-00001E3A0000}"/>
    <cellStyle name="Normal 82 6" xfId="1295" xr:uid="{00000000-0005-0000-0000-00001F3A0000}"/>
    <cellStyle name="Normal 82 6 2" xfId="4203" xr:uid="{00000000-0005-0000-0000-0000203A0000}"/>
    <cellStyle name="Normal 82 6 2 2" xfId="8717" xr:uid="{00000000-0005-0000-0000-0000213A0000}"/>
    <cellStyle name="Normal 82 6 2 2 2" xfId="17758" xr:uid="{00000000-0005-0000-0000-0000223A0000}"/>
    <cellStyle name="Normal 82 6 2 3" xfId="13245" xr:uid="{00000000-0005-0000-0000-0000233A0000}"/>
    <cellStyle name="Normal 82 6 3" xfId="5818" xr:uid="{00000000-0005-0000-0000-0000243A0000}"/>
    <cellStyle name="Normal 82 6 3 2" xfId="14859" xr:uid="{00000000-0005-0000-0000-0000253A0000}"/>
    <cellStyle name="Normal 82 6 4" xfId="10346" xr:uid="{00000000-0005-0000-0000-0000263A0000}"/>
    <cellStyle name="Normal 82 7" xfId="4180" xr:uid="{00000000-0005-0000-0000-0000273A0000}"/>
    <cellStyle name="Normal 82 7 2" xfId="8694" xr:uid="{00000000-0005-0000-0000-0000283A0000}"/>
    <cellStyle name="Normal 82 7 2 2" xfId="17735" xr:uid="{00000000-0005-0000-0000-0000293A0000}"/>
    <cellStyle name="Normal 82 7 3" xfId="13222" xr:uid="{00000000-0005-0000-0000-00002A3A0000}"/>
    <cellStyle name="Normal 82 8" xfId="4690" xr:uid="{00000000-0005-0000-0000-00002B3A0000}"/>
    <cellStyle name="Normal 82 8 2" xfId="13731" xr:uid="{00000000-0005-0000-0000-00002C3A0000}"/>
    <cellStyle name="Normal 82 9" xfId="9218" xr:uid="{00000000-0005-0000-0000-00002D3A0000}"/>
    <cellStyle name="Normal 83" xfId="83" xr:uid="{00000000-0005-0000-0000-00002E3A0000}"/>
    <cellStyle name="Normal 83 2" xfId="179" xr:uid="{00000000-0005-0000-0000-00002F3A0000}"/>
    <cellStyle name="Normal 83 2 2" xfId="408" xr:uid="{00000000-0005-0000-0000-0000303A0000}"/>
    <cellStyle name="Normal 83 2 2 2" xfId="972" xr:uid="{00000000-0005-0000-0000-0000313A0000}"/>
    <cellStyle name="Normal 83 2 2 2 2" xfId="2142" xr:uid="{00000000-0005-0000-0000-0000323A0000}"/>
    <cellStyle name="Normal 83 2 2 2 2 2" xfId="4208" xr:uid="{00000000-0005-0000-0000-0000333A0000}"/>
    <cellStyle name="Normal 83 2 2 2 2 2 2" xfId="8722" xr:uid="{00000000-0005-0000-0000-0000343A0000}"/>
    <cellStyle name="Normal 83 2 2 2 2 2 2 2" xfId="17763" xr:uid="{00000000-0005-0000-0000-0000353A0000}"/>
    <cellStyle name="Normal 83 2 2 2 2 2 3" xfId="13250" xr:uid="{00000000-0005-0000-0000-0000363A0000}"/>
    <cellStyle name="Normal 83 2 2 2 2 3" xfId="6665" xr:uid="{00000000-0005-0000-0000-0000373A0000}"/>
    <cellStyle name="Normal 83 2 2 2 2 3 2" xfId="15706" xr:uid="{00000000-0005-0000-0000-0000383A0000}"/>
    <cellStyle name="Normal 83 2 2 2 2 4" xfId="11193" xr:uid="{00000000-0005-0000-0000-0000393A0000}"/>
    <cellStyle name="Normal 83 2 2 2 3" xfId="4207" xr:uid="{00000000-0005-0000-0000-00003A3A0000}"/>
    <cellStyle name="Normal 83 2 2 2 3 2" xfId="8721" xr:uid="{00000000-0005-0000-0000-00003B3A0000}"/>
    <cellStyle name="Normal 83 2 2 2 3 2 2" xfId="17762" xr:uid="{00000000-0005-0000-0000-00003C3A0000}"/>
    <cellStyle name="Normal 83 2 2 2 3 3" xfId="13249" xr:uid="{00000000-0005-0000-0000-00003D3A0000}"/>
    <cellStyle name="Normal 83 2 2 2 4" xfId="5537" xr:uid="{00000000-0005-0000-0000-00003E3A0000}"/>
    <cellStyle name="Normal 83 2 2 2 4 2" xfId="14578" xr:uid="{00000000-0005-0000-0000-00003F3A0000}"/>
    <cellStyle name="Normal 83 2 2 2 5" xfId="10065" xr:uid="{00000000-0005-0000-0000-0000403A0000}"/>
    <cellStyle name="Normal 83 2 2 3" xfId="1578" xr:uid="{00000000-0005-0000-0000-0000413A0000}"/>
    <cellStyle name="Normal 83 2 2 3 2" xfId="4209" xr:uid="{00000000-0005-0000-0000-0000423A0000}"/>
    <cellStyle name="Normal 83 2 2 3 2 2" xfId="8723" xr:uid="{00000000-0005-0000-0000-0000433A0000}"/>
    <cellStyle name="Normal 83 2 2 3 2 2 2" xfId="17764" xr:uid="{00000000-0005-0000-0000-0000443A0000}"/>
    <cellStyle name="Normal 83 2 2 3 2 3" xfId="13251" xr:uid="{00000000-0005-0000-0000-0000453A0000}"/>
    <cellStyle name="Normal 83 2 2 3 3" xfId="6101" xr:uid="{00000000-0005-0000-0000-0000463A0000}"/>
    <cellStyle name="Normal 83 2 2 3 3 2" xfId="15142" xr:uid="{00000000-0005-0000-0000-0000473A0000}"/>
    <cellStyle name="Normal 83 2 2 3 4" xfId="10629" xr:uid="{00000000-0005-0000-0000-0000483A0000}"/>
    <cellStyle name="Normal 83 2 2 4" xfId="4206" xr:uid="{00000000-0005-0000-0000-0000493A0000}"/>
    <cellStyle name="Normal 83 2 2 4 2" xfId="8720" xr:uid="{00000000-0005-0000-0000-00004A3A0000}"/>
    <cellStyle name="Normal 83 2 2 4 2 2" xfId="17761" xr:uid="{00000000-0005-0000-0000-00004B3A0000}"/>
    <cellStyle name="Normal 83 2 2 4 3" xfId="13248" xr:uid="{00000000-0005-0000-0000-00004C3A0000}"/>
    <cellStyle name="Normal 83 2 2 5" xfId="4973" xr:uid="{00000000-0005-0000-0000-00004D3A0000}"/>
    <cellStyle name="Normal 83 2 2 5 2" xfId="14014" xr:uid="{00000000-0005-0000-0000-00004E3A0000}"/>
    <cellStyle name="Normal 83 2 2 6" xfId="9501" xr:uid="{00000000-0005-0000-0000-00004F3A0000}"/>
    <cellStyle name="Normal 83 2 3" xfId="596" xr:uid="{00000000-0005-0000-0000-0000503A0000}"/>
    <cellStyle name="Normal 83 2 3 2" xfId="1160" xr:uid="{00000000-0005-0000-0000-0000513A0000}"/>
    <cellStyle name="Normal 83 2 3 2 2" xfId="2330" xr:uid="{00000000-0005-0000-0000-0000523A0000}"/>
    <cellStyle name="Normal 83 2 3 2 2 2" xfId="4212" xr:uid="{00000000-0005-0000-0000-0000533A0000}"/>
    <cellStyle name="Normal 83 2 3 2 2 2 2" xfId="8726" xr:uid="{00000000-0005-0000-0000-0000543A0000}"/>
    <cellStyle name="Normal 83 2 3 2 2 2 2 2" xfId="17767" xr:uid="{00000000-0005-0000-0000-0000553A0000}"/>
    <cellStyle name="Normal 83 2 3 2 2 2 3" xfId="13254" xr:uid="{00000000-0005-0000-0000-0000563A0000}"/>
    <cellStyle name="Normal 83 2 3 2 2 3" xfId="6853" xr:uid="{00000000-0005-0000-0000-0000573A0000}"/>
    <cellStyle name="Normal 83 2 3 2 2 3 2" xfId="15894" xr:uid="{00000000-0005-0000-0000-0000583A0000}"/>
    <cellStyle name="Normal 83 2 3 2 2 4" xfId="11381" xr:uid="{00000000-0005-0000-0000-0000593A0000}"/>
    <cellStyle name="Normal 83 2 3 2 3" xfId="4211" xr:uid="{00000000-0005-0000-0000-00005A3A0000}"/>
    <cellStyle name="Normal 83 2 3 2 3 2" xfId="8725" xr:uid="{00000000-0005-0000-0000-00005B3A0000}"/>
    <cellStyle name="Normal 83 2 3 2 3 2 2" xfId="17766" xr:uid="{00000000-0005-0000-0000-00005C3A0000}"/>
    <cellStyle name="Normal 83 2 3 2 3 3" xfId="13253" xr:uid="{00000000-0005-0000-0000-00005D3A0000}"/>
    <cellStyle name="Normal 83 2 3 2 4" xfId="5725" xr:uid="{00000000-0005-0000-0000-00005E3A0000}"/>
    <cellStyle name="Normal 83 2 3 2 4 2" xfId="14766" xr:uid="{00000000-0005-0000-0000-00005F3A0000}"/>
    <cellStyle name="Normal 83 2 3 2 5" xfId="10253" xr:uid="{00000000-0005-0000-0000-0000603A0000}"/>
    <cellStyle name="Normal 83 2 3 3" xfId="1766" xr:uid="{00000000-0005-0000-0000-0000613A0000}"/>
    <cellStyle name="Normal 83 2 3 3 2" xfId="4213" xr:uid="{00000000-0005-0000-0000-0000623A0000}"/>
    <cellStyle name="Normal 83 2 3 3 2 2" xfId="8727" xr:uid="{00000000-0005-0000-0000-0000633A0000}"/>
    <cellStyle name="Normal 83 2 3 3 2 2 2" xfId="17768" xr:uid="{00000000-0005-0000-0000-0000643A0000}"/>
    <cellStyle name="Normal 83 2 3 3 2 3" xfId="13255" xr:uid="{00000000-0005-0000-0000-0000653A0000}"/>
    <cellStyle name="Normal 83 2 3 3 3" xfId="6289" xr:uid="{00000000-0005-0000-0000-0000663A0000}"/>
    <cellStyle name="Normal 83 2 3 3 3 2" xfId="15330" xr:uid="{00000000-0005-0000-0000-0000673A0000}"/>
    <cellStyle name="Normal 83 2 3 3 4" xfId="10817" xr:uid="{00000000-0005-0000-0000-0000683A0000}"/>
    <cellStyle name="Normal 83 2 3 4" xfId="4210" xr:uid="{00000000-0005-0000-0000-0000693A0000}"/>
    <cellStyle name="Normal 83 2 3 4 2" xfId="8724" xr:uid="{00000000-0005-0000-0000-00006A3A0000}"/>
    <cellStyle name="Normal 83 2 3 4 2 2" xfId="17765" xr:uid="{00000000-0005-0000-0000-00006B3A0000}"/>
    <cellStyle name="Normal 83 2 3 4 3" xfId="13252" xr:uid="{00000000-0005-0000-0000-00006C3A0000}"/>
    <cellStyle name="Normal 83 2 3 5" xfId="5161" xr:uid="{00000000-0005-0000-0000-00006D3A0000}"/>
    <cellStyle name="Normal 83 2 3 5 2" xfId="14202" xr:uid="{00000000-0005-0000-0000-00006E3A0000}"/>
    <cellStyle name="Normal 83 2 3 6" xfId="9689" xr:uid="{00000000-0005-0000-0000-00006F3A0000}"/>
    <cellStyle name="Normal 83 2 4" xfId="784" xr:uid="{00000000-0005-0000-0000-0000703A0000}"/>
    <cellStyle name="Normal 83 2 4 2" xfId="1954" xr:uid="{00000000-0005-0000-0000-0000713A0000}"/>
    <cellStyle name="Normal 83 2 4 2 2" xfId="4215" xr:uid="{00000000-0005-0000-0000-0000723A0000}"/>
    <cellStyle name="Normal 83 2 4 2 2 2" xfId="8729" xr:uid="{00000000-0005-0000-0000-0000733A0000}"/>
    <cellStyle name="Normal 83 2 4 2 2 2 2" xfId="17770" xr:uid="{00000000-0005-0000-0000-0000743A0000}"/>
    <cellStyle name="Normal 83 2 4 2 2 3" xfId="13257" xr:uid="{00000000-0005-0000-0000-0000753A0000}"/>
    <cellStyle name="Normal 83 2 4 2 3" xfId="6477" xr:uid="{00000000-0005-0000-0000-0000763A0000}"/>
    <cellStyle name="Normal 83 2 4 2 3 2" xfId="15518" xr:uid="{00000000-0005-0000-0000-0000773A0000}"/>
    <cellStyle name="Normal 83 2 4 2 4" xfId="11005" xr:uid="{00000000-0005-0000-0000-0000783A0000}"/>
    <cellStyle name="Normal 83 2 4 3" xfId="4214" xr:uid="{00000000-0005-0000-0000-0000793A0000}"/>
    <cellStyle name="Normal 83 2 4 3 2" xfId="8728" xr:uid="{00000000-0005-0000-0000-00007A3A0000}"/>
    <cellStyle name="Normal 83 2 4 3 2 2" xfId="17769" xr:uid="{00000000-0005-0000-0000-00007B3A0000}"/>
    <cellStyle name="Normal 83 2 4 3 3" xfId="13256" xr:uid="{00000000-0005-0000-0000-00007C3A0000}"/>
    <cellStyle name="Normal 83 2 4 4" xfId="5349" xr:uid="{00000000-0005-0000-0000-00007D3A0000}"/>
    <cellStyle name="Normal 83 2 4 4 2" xfId="14390" xr:uid="{00000000-0005-0000-0000-00007E3A0000}"/>
    <cellStyle name="Normal 83 2 4 5" xfId="9877" xr:uid="{00000000-0005-0000-0000-00007F3A0000}"/>
    <cellStyle name="Normal 83 2 5" xfId="1390" xr:uid="{00000000-0005-0000-0000-0000803A0000}"/>
    <cellStyle name="Normal 83 2 5 2" xfId="4216" xr:uid="{00000000-0005-0000-0000-0000813A0000}"/>
    <cellStyle name="Normal 83 2 5 2 2" xfId="8730" xr:uid="{00000000-0005-0000-0000-0000823A0000}"/>
    <cellStyle name="Normal 83 2 5 2 2 2" xfId="17771" xr:uid="{00000000-0005-0000-0000-0000833A0000}"/>
    <cellStyle name="Normal 83 2 5 2 3" xfId="13258" xr:uid="{00000000-0005-0000-0000-0000843A0000}"/>
    <cellStyle name="Normal 83 2 5 3" xfId="5913" xr:uid="{00000000-0005-0000-0000-0000853A0000}"/>
    <cellStyle name="Normal 83 2 5 3 2" xfId="14954" xr:uid="{00000000-0005-0000-0000-0000863A0000}"/>
    <cellStyle name="Normal 83 2 5 4" xfId="10441" xr:uid="{00000000-0005-0000-0000-0000873A0000}"/>
    <cellStyle name="Normal 83 2 6" xfId="4205" xr:uid="{00000000-0005-0000-0000-0000883A0000}"/>
    <cellStyle name="Normal 83 2 6 2" xfId="8719" xr:uid="{00000000-0005-0000-0000-0000893A0000}"/>
    <cellStyle name="Normal 83 2 6 2 2" xfId="17760" xr:uid="{00000000-0005-0000-0000-00008A3A0000}"/>
    <cellStyle name="Normal 83 2 6 3" xfId="13247" xr:uid="{00000000-0005-0000-0000-00008B3A0000}"/>
    <cellStyle name="Normal 83 2 7" xfId="4785" xr:uid="{00000000-0005-0000-0000-00008C3A0000}"/>
    <cellStyle name="Normal 83 2 7 2" xfId="13826" xr:uid="{00000000-0005-0000-0000-00008D3A0000}"/>
    <cellStyle name="Normal 83 2 8" xfId="9313" xr:uid="{00000000-0005-0000-0000-00008E3A0000}"/>
    <cellStyle name="Normal 83 3" xfId="314" xr:uid="{00000000-0005-0000-0000-00008F3A0000}"/>
    <cellStyle name="Normal 83 3 2" xfId="878" xr:uid="{00000000-0005-0000-0000-0000903A0000}"/>
    <cellStyle name="Normal 83 3 2 2" xfId="2048" xr:uid="{00000000-0005-0000-0000-0000913A0000}"/>
    <cellStyle name="Normal 83 3 2 2 2" xfId="4219" xr:uid="{00000000-0005-0000-0000-0000923A0000}"/>
    <cellStyle name="Normal 83 3 2 2 2 2" xfId="8733" xr:uid="{00000000-0005-0000-0000-0000933A0000}"/>
    <cellStyle name="Normal 83 3 2 2 2 2 2" xfId="17774" xr:uid="{00000000-0005-0000-0000-0000943A0000}"/>
    <cellStyle name="Normal 83 3 2 2 2 3" xfId="13261" xr:uid="{00000000-0005-0000-0000-0000953A0000}"/>
    <cellStyle name="Normal 83 3 2 2 3" xfId="6571" xr:uid="{00000000-0005-0000-0000-0000963A0000}"/>
    <cellStyle name="Normal 83 3 2 2 3 2" xfId="15612" xr:uid="{00000000-0005-0000-0000-0000973A0000}"/>
    <cellStyle name="Normal 83 3 2 2 4" xfId="11099" xr:uid="{00000000-0005-0000-0000-0000983A0000}"/>
    <cellStyle name="Normal 83 3 2 3" xfId="4218" xr:uid="{00000000-0005-0000-0000-0000993A0000}"/>
    <cellStyle name="Normal 83 3 2 3 2" xfId="8732" xr:uid="{00000000-0005-0000-0000-00009A3A0000}"/>
    <cellStyle name="Normal 83 3 2 3 2 2" xfId="17773" xr:uid="{00000000-0005-0000-0000-00009B3A0000}"/>
    <cellStyle name="Normal 83 3 2 3 3" xfId="13260" xr:uid="{00000000-0005-0000-0000-00009C3A0000}"/>
    <cellStyle name="Normal 83 3 2 4" xfId="5443" xr:uid="{00000000-0005-0000-0000-00009D3A0000}"/>
    <cellStyle name="Normal 83 3 2 4 2" xfId="14484" xr:uid="{00000000-0005-0000-0000-00009E3A0000}"/>
    <cellStyle name="Normal 83 3 2 5" xfId="9971" xr:uid="{00000000-0005-0000-0000-00009F3A0000}"/>
    <cellStyle name="Normal 83 3 3" xfId="1484" xr:uid="{00000000-0005-0000-0000-0000A03A0000}"/>
    <cellStyle name="Normal 83 3 3 2" xfId="4220" xr:uid="{00000000-0005-0000-0000-0000A13A0000}"/>
    <cellStyle name="Normal 83 3 3 2 2" xfId="8734" xr:uid="{00000000-0005-0000-0000-0000A23A0000}"/>
    <cellStyle name="Normal 83 3 3 2 2 2" xfId="17775" xr:uid="{00000000-0005-0000-0000-0000A33A0000}"/>
    <cellStyle name="Normal 83 3 3 2 3" xfId="13262" xr:uid="{00000000-0005-0000-0000-0000A43A0000}"/>
    <cellStyle name="Normal 83 3 3 3" xfId="6007" xr:uid="{00000000-0005-0000-0000-0000A53A0000}"/>
    <cellStyle name="Normal 83 3 3 3 2" xfId="15048" xr:uid="{00000000-0005-0000-0000-0000A63A0000}"/>
    <cellStyle name="Normal 83 3 3 4" xfId="10535" xr:uid="{00000000-0005-0000-0000-0000A73A0000}"/>
    <cellStyle name="Normal 83 3 4" xfId="4217" xr:uid="{00000000-0005-0000-0000-0000A83A0000}"/>
    <cellStyle name="Normal 83 3 4 2" xfId="8731" xr:uid="{00000000-0005-0000-0000-0000A93A0000}"/>
    <cellStyle name="Normal 83 3 4 2 2" xfId="17772" xr:uid="{00000000-0005-0000-0000-0000AA3A0000}"/>
    <cellStyle name="Normal 83 3 4 3" xfId="13259" xr:uid="{00000000-0005-0000-0000-0000AB3A0000}"/>
    <cellStyle name="Normal 83 3 5" xfId="4879" xr:uid="{00000000-0005-0000-0000-0000AC3A0000}"/>
    <cellStyle name="Normal 83 3 5 2" xfId="13920" xr:uid="{00000000-0005-0000-0000-0000AD3A0000}"/>
    <cellStyle name="Normal 83 3 6" xfId="9407" xr:uid="{00000000-0005-0000-0000-0000AE3A0000}"/>
    <cellStyle name="Normal 83 4" xfId="502" xr:uid="{00000000-0005-0000-0000-0000AF3A0000}"/>
    <cellStyle name="Normal 83 4 2" xfId="1066" xr:uid="{00000000-0005-0000-0000-0000B03A0000}"/>
    <cellStyle name="Normal 83 4 2 2" xfId="2236" xr:uid="{00000000-0005-0000-0000-0000B13A0000}"/>
    <cellStyle name="Normal 83 4 2 2 2" xfId="4223" xr:uid="{00000000-0005-0000-0000-0000B23A0000}"/>
    <cellStyle name="Normal 83 4 2 2 2 2" xfId="8737" xr:uid="{00000000-0005-0000-0000-0000B33A0000}"/>
    <cellStyle name="Normal 83 4 2 2 2 2 2" xfId="17778" xr:uid="{00000000-0005-0000-0000-0000B43A0000}"/>
    <cellStyle name="Normal 83 4 2 2 2 3" xfId="13265" xr:uid="{00000000-0005-0000-0000-0000B53A0000}"/>
    <cellStyle name="Normal 83 4 2 2 3" xfId="6759" xr:uid="{00000000-0005-0000-0000-0000B63A0000}"/>
    <cellStyle name="Normal 83 4 2 2 3 2" xfId="15800" xr:uid="{00000000-0005-0000-0000-0000B73A0000}"/>
    <cellStyle name="Normal 83 4 2 2 4" xfId="11287" xr:uid="{00000000-0005-0000-0000-0000B83A0000}"/>
    <cellStyle name="Normal 83 4 2 3" xfId="4222" xr:uid="{00000000-0005-0000-0000-0000B93A0000}"/>
    <cellStyle name="Normal 83 4 2 3 2" xfId="8736" xr:uid="{00000000-0005-0000-0000-0000BA3A0000}"/>
    <cellStyle name="Normal 83 4 2 3 2 2" xfId="17777" xr:uid="{00000000-0005-0000-0000-0000BB3A0000}"/>
    <cellStyle name="Normal 83 4 2 3 3" xfId="13264" xr:uid="{00000000-0005-0000-0000-0000BC3A0000}"/>
    <cellStyle name="Normal 83 4 2 4" xfId="5631" xr:uid="{00000000-0005-0000-0000-0000BD3A0000}"/>
    <cellStyle name="Normal 83 4 2 4 2" xfId="14672" xr:uid="{00000000-0005-0000-0000-0000BE3A0000}"/>
    <cellStyle name="Normal 83 4 2 5" xfId="10159" xr:uid="{00000000-0005-0000-0000-0000BF3A0000}"/>
    <cellStyle name="Normal 83 4 3" xfId="1672" xr:uid="{00000000-0005-0000-0000-0000C03A0000}"/>
    <cellStyle name="Normal 83 4 3 2" xfId="4224" xr:uid="{00000000-0005-0000-0000-0000C13A0000}"/>
    <cellStyle name="Normal 83 4 3 2 2" xfId="8738" xr:uid="{00000000-0005-0000-0000-0000C23A0000}"/>
    <cellStyle name="Normal 83 4 3 2 2 2" xfId="17779" xr:uid="{00000000-0005-0000-0000-0000C33A0000}"/>
    <cellStyle name="Normal 83 4 3 2 3" xfId="13266" xr:uid="{00000000-0005-0000-0000-0000C43A0000}"/>
    <cellStyle name="Normal 83 4 3 3" xfId="6195" xr:uid="{00000000-0005-0000-0000-0000C53A0000}"/>
    <cellStyle name="Normal 83 4 3 3 2" xfId="15236" xr:uid="{00000000-0005-0000-0000-0000C63A0000}"/>
    <cellStyle name="Normal 83 4 3 4" xfId="10723" xr:uid="{00000000-0005-0000-0000-0000C73A0000}"/>
    <cellStyle name="Normal 83 4 4" xfId="4221" xr:uid="{00000000-0005-0000-0000-0000C83A0000}"/>
    <cellStyle name="Normal 83 4 4 2" xfId="8735" xr:uid="{00000000-0005-0000-0000-0000C93A0000}"/>
    <cellStyle name="Normal 83 4 4 2 2" xfId="17776" xr:uid="{00000000-0005-0000-0000-0000CA3A0000}"/>
    <cellStyle name="Normal 83 4 4 3" xfId="13263" xr:uid="{00000000-0005-0000-0000-0000CB3A0000}"/>
    <cellStyle name="Normal 83 4 5" xfId="5067" xr:uid="{00000000-0005-0000-0000-0000CC3A0000}"/>
    <cellStyle name="Normal 83 4 5 2" xfId="14108" xr:uid="{00000000-0005-0000-0000-0000CD3A0000}"/>
    <cellStyle name="Normal 83 4 6" xfId="9595" xr:uid="{00000000-0005-0000-0000-0000CE3A0000}"/>
    <cellStyle name="Normal 83 5" xfId="690" xr:uid="{00000000-0005-0000-0000-0000CF3A0000}"/>
    <cellStyle name="Normal 83 5 2" xfId="1860" xr:uid="{00000000-0005-0000-0000-0000D03A0000}"/>
    <cellStyle name="Normal 83 5 2 2" xfId="4226" xr:uid="{00000000-0005-0000-0000-0000D13A0000}"/>
    <cellStyle name="Normal 83 5 2 2 2" xfId="8740" xr:uid="{00000000-0005-0000-0000-0000D23A0000}"/>
    <cellStyle name="Normal 83 5 2 2 2 2" xfId="17781" xr:uid="{00000000-0005-0000-0000-0000D33A0000}"/>
    <cellStyle name="Normal 83 5 2 2 3" xfId="13268" xr:uid="{00000000-0005-0000-0000-0000D43A0000}"/>
    <cellStyle name="Normal 83 5 2 3" xfId="6383" xr:uid="{00000000-0005-0000-0000-0000D53A0000}"/>
    <cellStyle name="Normal 83 5 2 3 2" xfId="15424" xr:uid="{00000000-0005-0000-0000-0000D63A0000}"/>
    <cellStyle name="Normal 83 5 2 4" xfId="10911" xr:uid="{00000000-0005-0000-0000-0000D73A0000}"/>
    <cellStyle name="Normal 83 5 3" xfId="4225" xr:uid="{00000000-0005-0000-0000-0000D83A0000}"/>
    <cellStyle name="Normal 83 5 3 2" xfId="8739" xr:uid="{00000000-0005-0000-0000-0000D93A0000}"/>
    <cellStyle name="Normal 83 5 3 2 2" xfId="17780" xr:uid="{00000000-0005-0000-0000-0000DA3A0000}"/>
    <cellStyle name="Normal 83 5 3 3" xfId="13267" xr:uid="{00000000-0005-0000-0000-0000DB3A0000}"/>
    <cellStyle name="Normal 83 5 4" xfId="5255" xr:uid="{00000000-0005-0000-0000-0000DC3A0000}"/>
    <cellStyle name="Normal 83 5 4 2" xfId="14296" xr:uid="{00000000-0005-0000-0000-0000DD3A0000}"/>
    <cellStyle name="Normal 83 5 5" xfId="9783" xr:uid="{00000000-0005-0000-0000-0000DE3A0000}"/>
    <cellStyle name="Normal 83 6" xfId="1296" xr:uid="{00000000-0005-0000-0000-0000DF3A0000}"/>
    <cellStyle name="Normal 83 6 2" xfId="4227" xr:uid="{00000000-0005-0000-0000-0000E03A0000}"/>
    <cellStyle name="Normal 83 6 2 2" xfId="8741" xr:uid="{00000000-0005-0000-0000-0000E13A0000}"/>
    <cellStyle name="Normal 83 6 2 2 2" xfId="17782" xr:uid="{00000000-0005-0000-0000-0000E23A0000}"/>
    <cellStyle name="Normal 83 6 2 3" xfId="13269" xr:uid="{00000000-0005-0000-0000-0000E33A0000}"/>
    <cellStyle name="Normal 83 6 3" xfId="5819" xr:uid="{00000000-0005-0000-0000-0000E43A0000}"/>
    <cellStyle name="Normal 83 6 3 2" xfId="14860" xr:uid="{00000000-0005-0000-0000-0000E53A0000}"/>
    <cellStyle name="Normal 83 6 4" xfId="10347" xr:uid="{00000000-0005-0000-0000-0000E63A0000}"/>
    <cellStyle name="Normal 83 7" xfId="4204" xr:uid="{00000000-0005-0000-0000-0000E73A0000}"/>
    <cellStyle name="Normal 83 7 2" xfId="8718" xr:uid="{00000000-0005-0000-0000-0000E83A0000}"/>
    <cellStyle name="Normal 83 7 2 2" xfId="17759" xr:uid="{00000000-0005-0000-0000-0000E93A0000}"/>
    <cellStyle name="Normal 83 7 3" xfId="13246" xr:uid="{00000000-0005-0000-0000-0000EA3A0000}"/>
    <cellStyle name="Normal 83 8" xfId="4691" xr:uid="{00000000-0005-0000-0000-0000EB3A0000}"/>
    <cellStyle name="Normal 83 8 2" xfId="13732" xr:uid="{00000000-0005-0000-0000-0000EC3A0000}"/>
    <cellStyle name="Normal 83 9" xfId="9219" xr:uid="{00000000-0005-0000-0000-0000ED3A0000}"/>
    <cellStyle name="Normal 84" xfId="84" xr:uid="{00000000-0005-0000-0000-0000EE3A0000}"/>
    <cellStyle name="Normal 84 2" xfId="180" xr:uid="{00000000-0005-0000-0000-0000EF3A0000}"/>
    <cellStyle name="Normal 84 2 2" xfId="409" xr:uid="{00000000-0005-0000-0000-0000F03A0000}"/>
    <cellStyle name="Normal 84 2 2 2" xfId="973" xr:uid="{00000000-0005-0000-0000-0000F13A0000}"/>
    <cellStyle name="Normal 84 2 2 2 2" xfId="2143" xr:uid="{00000000-0005-0000-0000-0000F23A0000}"/>
    <cellStyle name="Normal 84 2 2 2 2 2" xfId="4232" xr:uid="{00000000-0005-0000-0000-0000F33A0000}"/>
    <cellStyle name="Normal 84 2 2 2 2 2 2" xfId="8746" xr:uid="{00000000-0005-0000-0000-0000F43A0000}"/>
    <cellStyle name="Normal 84 2 2 2 2 2 2 2" xfId="17787" xr:uid="{00000000-0005-0000-0000-0000F53A0000}"/>
    <cellStyle name="Normal 84 2 2 2 2 2 3" xfId="13274" xr:uid="{00000000-0005-0000-0000-0000F63A0000}"/>
    <cellStyle name="Normal 84 2 2 2 2 3" xfId="6666" xr:uid="{00000000-0005-0000-0000-0000F73A0000}"/>
    <cellStyle name="Normal 84 2 2 2 2 3 2" xfId="15707" xr:uid="{00000000-0005-0000-0000-0000F83A0000}"/>
    <cellStyle name="Normal 84 2 2 2 2 4" xfId="11194" xr:uid="{00000000-0005-0000-0000-0000F93A0000}"/>
    <cellStyle name="Normal 84 2 2 2 3" xfId="4231" xr:uid="{00000000-0005-0000-0000-0000FA3A0000}"/>
    <cellStyle name="Normal 84 2 2 2 3 2" xfId="8745" xr:uid="{00000000-0005-0000-0000-0000FB3A0000}"/>
    <cellStyle name="Normal 84 2 2 2 3 2 2" xfId="17786" xr:uid="{00000000-0005-0000-0000-0000FC3A0000}"/>
    <cellStyle name="Normal 84 2 2 2 3 3" xfId="13273" xr:uid="{00000000-0005-0000-0000-0000FD3A0000}"/>
    <cellStyle name="Normal 84 2 2 2 4" xfId="5538" xr:uid="{00000000-0005-0000-0000-0000FE3A0000}"/>
    <cellStyle name="Normal 84 2 2 2 4 2" xfId="14579" xr:uid="{00000000-0005-0000-0000-0000FF3A0000}"/>
    <cellStyle name="Normal 84 2 2 2 5" xfId="10066" xr:uid="{00000000-0005-0000-0000-0000003B0000}"/>
    <cellStyle name="Normal 84 2 2 3" xfId="1579" xr:uid="{00000000-0005-0000-0000-0000013B0000}"/>
    <cellStyle name="Normal 84 2 2 3 2" xfId="4233" xr:uid="{00000000-0005-0000-0000-0000023B0000}"/>
    <cellStyle name="Normal 84 2 2 3 2 2" xfId="8747" xr:uid="{00000000-0005-0000-0000-0000033B0000}"/>
    <cellStyle name="Normal 84 2 2 3 2 2 2" xfId="17788" xr:uid="{00000000-0005-0000-0000-0000043B0000}"/>
    <cellStyle name="Normal 84 2 2 3 2 3" xfId="13275" xr:uid="{00000000-0005-0000-0000-0000053B0000}"/>
    <cellStyle name="Normal 84 2 2 3 3" xfId="6102" xr:uid="{00000000-0005-0000-0000-0000063B0000}"/>
    <cellStyle name="Normal 84 2 2 3 3 2" xfId="15143" xr:uid="{00000000-0005-0000-0000-0000073B0000}"/>
    <cellStyle name="Normal 84 2 2 3 4" xfId="10630" xr:uid="{00000000-0005-0000-0000-0000083B0000}"/>
    <cellStyle name="Normal 84 2 2 4" xfId="4230" xr:uid="{00000000-0005-0000-0000-0000093B0000}"/>
    <cellStyle name="Normal 84 2 2 4 2" xfId="8744" xr:uid="{00000000-0005-0000-0000-00000A3B0000}"/>
    <cellStyle name="Normal 84 2 2 4 2 2" xfId="17785" xr:uid="{00000000-0005-0000-0000-00000B3B0000}"/>
    <cellStyle name="Normal 84 2 2 4 3" xfId="13272" xr:uid="{00000000-0005-0000-0000-00000C3B0000}"/>
    <cellStyle name="Normal 84 2 2 5" xfId="4974" xr:uid="{00000000-0005-0000-0000-00000D3B0000}"/>
    <cellStyle name="Normal 84 2 2 5 2" xfId="14015" xr:uid="{00000000-0005-0000-0000-00000E3B0000}"/>
    <cellStyle name="Normal 84 2 2 6" xfId="9502" xr:uid="{00000000-0005-0000-0000-00000F3B0000}"/>
    <cellStyle name="Normal 84 2 3" xfId="597" xr:uid="{00000000-0005-0000-0000-0000103B0000}"/>
    <cellStyle name="Normal 84 2 3 2" xfId="1161" xr:uid="{00000000-0005-0000-0000-0000113B0000}"/>
    <cellStyle name="Normal 84 2 3 2 2" xfId="2331" xr:uid="{00000000-0005-0000-0000-0000123B0000}"/>
    <cellStyle name="Normal 84 2 3 2 2 2" xfId="4236" xr:uid="{00000000-0005-0000-0000-0000133B0000}"/>
    <cellStyle name="Normal 84 2 3 2 2 2 2" xfId="8750" xr:uid="{00000000-0005-0000-0000-0000143B0000}"/>
    <cellStyle name="Normal 84 2 3 2 2 2 2 2" xfId="17791" xr:uid="{00000000-0005-0000-0000-0000153B0000}"/>
    <cellStyle name="Normal 84 2 3 2 2 2 3" xfId="13278" xr:uid="{00000000-0005-0000-0000-0000163B0000}"/>
    <cellStyle name="Normal 84 2 3 2 2 3" xfId="6854" xr:uid="{00000000-0005-0000-0000-0000173B0000}"/>
    <cellStyle name="Normal 84 2 3 2 2 3 2" xfId="15895" xr:uid="{00000000-0005-0000-0000-0000183B0000}"/>
    <cellStyle name="Normal 84 2 3 2 2 4" xfId="11382" xr:uid="{00000000-0005-0000-0000-0000193B0000}"/>
    <cellStyle name="Normal 84 2 3 2 3" xfId="4235" xr:uid="{00000000-0005-0000-0000-00001A3B0000}"/>
    <cellStyle name="Normal 84 2 3 2 3 2" xfId="8749" xr:uid="{00000000-0005-0000-0000-00001B3B0000}"/>
    <cellStyle name="Normal 84 2 3 2 3 2 2" xfId="17790" xr:uid="{00000000-0005-0000-0000-00001C3B0000}"/>
    <cellStyle name="Normal 84 2 3 2 3 3" xfId="13277" xr:uid="{00000000-0005-0000-0000-00001D3B0000}"/>
    <cellStyle name="Normal 84 2 3 2 4" xfId="5726" xr:uid="{00000000-0005-0000-0000-00001E3B0000}"/>
    <cellStyle name="Normal 84 2 3 2 4 2" xfId="14767" xr:uid="{00000000-0005-0000-0000-00001F3B0000}"/>
    <cellStyle name="Normal 84 2 3 2 5" xfId="10254" xr:uid="{00000000-0005-0000-0000-0000203B0000}"/>
    <cellStyle name="Normal 84 2 3 3" xfId="1767" xr:uid="{00000000-0005-0000-0000-0000213B0000}"/>
    <cellStyle name="Normal 84 2 3 3 2" xfId="4237" xr:uid="{00000000-0005-0000-0000-0000223B0000}"/>
    <cellStyle name="Normal 84 2 3 3 2 2" xfId="8751" xr:uid="{00000000-0005-0000-0000-0000233B0000}"/>
    <cellStyle name="Normal 84 2 3 3 2 2 2" xfId="17792" xr:uid="{00000000-0005-0000-0000-0000243B0000}"/>
    <cellStyle name="Normal 84 2 3 3 2 3" xfId="13279" xr:uid="{00000000-0005-0000-0000-0000253B0000}"/>
    <cellStyle name="Normal 84 2 3 3 3" xfId="6290" xr:uid="{00000000-0005-0000-0000-0000263B0000}"/>
    <cellStyle name="Normal 84 2 3 3 3 2" xfId="15331" xr:uid="{00000000-0005-0000-0000-0000273B0000}"/>
    <cellStyle name="Normal 84 2 3 3 4" xfId="10818" xr:uid="{00000000-0005-0000-0000-0000283B0000}"/>
    <cellStyle name="Normal 84 2 3 4" xfId="4234" xr:uid="{00000000-0005-0000-0000-0000293B0000}"/>
    <cellStyle name="Normal 84 2 3 4 2" xfId="8748" xr:uid="{00000000-0005-0000-0000-00002A3B0000}"/>
    <cellStyle name="Normal 84 2 3 4 2 2" xfId="17789" xr:uid="{00000000-0005-0000-0000-00002B3B0000}"/>
    <cellStyle name="Normal 84 2 3 4 3" xfId="13276" xr:uid="{00000000-0005-0000-0000-00002C3B0000}"/>
    <cellStyle name="Normal 84 2 3 5" xfId="5162" xr:uid="{00000000-0005-0000-0000-00002D3B0000}"/>
    <cellStyle name="Normal 84 2 3 5 2" xfId="14203" xr:uid="{00000000-0005-0000-0000-00002E3B0000}"/>
    <cellStyle name="Normal 84 2 3 6" xfId="9690" xr:uid="{00000000-0005-0000-0000-00002F3B0000}"/>
    <cellStyle name="Normal 84 2 4" xfId="785" xr:uid="{00000000-0005-0000-0000-0000303B0000}"/>
    <cellStyle name="Normal 84 2 4 2" xfId="1955" xr:uid="{00000000-0005-0000-0000-0000313B0000}"/>
    <cellStyle name="Normal 84 2 4 2 2" xfId="4239" xr:uid="{00000000-0005-0000-0000-0000323B0000}"/>
    <cellStyle name="Normal 84 2 4 2 2 2" xfId="8753" xr:uid="{00000000-0005-0000-0000-0000333B0000}"/>
    <cellStyle name="Normal 84 2 4 2 2 2 2" xfId="17794" xr:uid="{00000000-0005-0000-0000-0000343B0000}"/>
    <cellStyle name="Normal 84 2 4 2 2 3" xfId="13281" xr:uid="{00000000-0005-0000-0000-0000353B0000}"/>
    <cellStyle name="Normal 84 2 4 2 3" xfId="6478" xr:uid="{00000000-0005-0000-0000-0000363B0000}"/>
    <cellStyle name="Normal 84 2 4 2 3 2" xfId="15519" xr:uid="{00000000-0005-0000-0000-0000373B0000}"/>
    <cellStyle name="Normal 84 2 4 2 4" xfId="11006" xr:uid="{00000000-0005-0000-0000-0000383B0000}"/>
    <cellStyle name="Normal 84 2 4 3" xfId="4238" xr:uid="{00000000-0005-0000-0000-0000393B0000}"/>
    <cellStyle name="Normal 84 2 4 3 2" xfId="8752" xr:uid="{00000000-0005-0000-0000-00003A3B0000}"/>
    <cellStyle name="Normal 84 2 4 3 2 2" xfId="17793" xr:uid="{00000000-0005-0000-0000-00003B3B0000}"/>
    <cellStyle name="Normal 84 2 4 3 3" xfId="13280" xr:uid="{00000000-0005-0000-0000-00003C3B0000}"/>
    <cellStyle name="Normal 84 2 4 4" xfId="5350" xr:uid="{00000000-0005-0000-0000-00003D3B0000}"/>
    <cellStyle name="Normal 84 2 4 4 2" xfId="14391" xr:uid="{00000000-0005-0000-0000-00003E3B0000}"/>
    <cellStyle name="Normal 84 2 4 5" xfId="9878" xr:uid="{00000000-0005-0000-0000-00003F3B0000}"/>
    <cellStyle name="Normal 84 2 5" xfId="1391" xr:uid="{00000000-0005-0000-0000-0000403B0000}"/>
    <cellStyle name="Normal 84 2 5 2" xfId="4240" xr:uid="{00000000-0005-0000-0000-0000413B0000}"/>
    <cellStyle name="Normal 84 2 5 2 2" xfId="8754" xr:uid="{00000000-0005-0000-0000-0000423B0000}"/>
    <cellStyle name="Normal 84 2 5 2 2 2" xfId="17795" xr:uid="{00000000-0005-0000-0000-0000433B0000}"/>
    <cellStyle name="Normal 84 2 5 2 3" xfId="13282" xr:uid="{00000000-0005-0000-0000-0000443B0000}"/>
    <cellStyle name="Normal 84 2 5 3" xfId="5914" xr:uid="{00000000-0005-0000-0000-0000453B0000}"/>
    <cellStyle name="Normal 84 2 5 3 2" xfId="14955" xr:uid="{00000000-0005-0000-0000-0000463B0000}"/>
    <cellStyle name="Normal 84 2 5 4" xfId="10442" xr:uid="{00000000-0005-0000-0000-0000473B0000}"/>
    <cellStyle name="Normal 84 2 6" xfId="4229" xr:uid="{00000000-0005-0000-0000-0000483B0000}"/>
    <cellStyle name="Normal 84 2 6 2" xfId="8743" xr:uid="{00000000-0005-0000-0000-0000493B0000}"/>
    <cellStyle name="Normal 84 2 6 2 2" xfId="17784" xr:uid="{00000000-0005-0000-0000-00004A3B0000}"/>
    <cellStyle name="Normal 84 2 6 3" xfId="13271" xr:uid="{00000000-0005-0000-0000-00004B3B0000}"/>
    <cellStyle name="Normal 84 2 7" xfId="4786" xr:uid="{00000000-0005-0000-0000-00004C3B0000}"/>
    <cellStyle name="Normal 84 2 7 2" xfId="13827" xr:uid="{00000000-0005-0000-0000-00004D3B0000}"/>
    <cellStyle name="Normal 84 2 8" xfId="9314" xr:uid="{00000000-0005-0000-0000-00004E3B0000}"/>
    <cellStyle name="Normal 84 3" xfId="315" xr:uid="{00000000-0005-0000-0000-00004F3B0000}"/>
    <cellStyle name="Normal 84 3 2" xfId="879" xr:uid="{00000000-0005-0000-0000-0000503B0000}"/>
    <cellStyle name="Normal 84 3 2 2" xfId="2049" xr:uid="{00000000-0005-0000-0000-0000513B0000}"/>
    <cellStyle name="Normal 84 3 2 2 2" xfId="4243" xr:uid="{00000000-0005-0000-0000-0000523B0000}"/>
    <cellStyle name="Normal 84 3 2 2 2 2" xfId="8757" xr:uid="{00000000-0005-0000-0000-0000533B0000}"/>
    <cellStyle name="Normal 84 3 2 2 2 2 2" xfId="17798" xr:uid="{00000000-0005-0000-0000-0000543B0000}"/>
    <cellStyle name="Normal 84 3 2 2 2 3" xfId="13285" xr:uid="{00000000-0005-0000-0000-0000553B0000}"/>
    <cellStyle name="Normal 84 3 2 2 3" xfId="6572" xr:uid="{00000000-0005-0000-0000-0000563B0000}"/>
    <cellStyle name="Normal 84 3 2 2 3 2" xfId="15613" xr:uid="{00000000-0005-0000-0000-0000573B0000}"/>
    <cellStyle name="Normal 84 3 2 2 4" xfId="11100" xr:uid="{00000000-0005-0000-0000-0000583B0000}"/>
    <cellStyle name="Normal 84 3 2 3" xfId="4242" xr:uid="{00000000-0005-0000-0000-0000593B0000}"/>
    <cellStyle name="Normal 84 3 2 3 2" xfId="8756" xr:uid="{00000000-0005-0000-0000-00005A3B0000}"/>
    <cellStyle name="Normal 84 3 2 3 2 2" xfId="17797" xr:uid="{00000000-0005-0000-0000-00005B3B0000}"/>
    <cellStyle name="Normal 84 3 2 3 3" xfId="13284" xr:uid="{00000000-0005-0000-0000-00005C3B0000}"/>
    <cellStyle name="Normal 84 3 2 4" xfId="5444" xr:uid="{00000000-0005-0000-0000-00005D3B0000}"/>
    <cellStyle name="Normal 84 3 2 4 2" xfId="14485" xr:uid="{00000000-0005-0000-0000-00005E3B0000}"/>
    <cellStyle name="Normal 84 3 2 5" xfId="9972" xr:uid="{00000000-0005-0000-0000-00005F3B0000}"/>
    <cellStyle name="Normal 84 3 3" xfId="1485" xr:uid="{00000000-0005-0000-0000-0000603B0000}"/>
    <cellStyle name="Normal 84 3 3 2" xfId="4244" xr:uid="{00000000-0005-0000-0000-0000613B0000}"/>
    <cellStyle name="Normal 84 3 3 2 2" xfId="8758" xr:uid="{00000000-0005-0000-0000-0000623B0000}"/>
    <cellStyle name="Normal 84 3 3 2 2 2" xfId="17799" xr:uid="{00000000-0005-0000-0000-0000633B0000}"/>
    <cellStyle name="Normal 84 3 3 2 3" xfId="13286" xr:uid="{00000000-0005-0000-0000-0000643B0000}"/>
    <cellStyle name="Normal 84 3 3 3" xfId="6008" xr:uid="{00000000-0005-0000-0000-0000653B0000}"/>
    <cellStyle name="Normal 84 3 3 3 2" xfId="15049" xr:uid="{00000000-0005-0000-0000-0000663B0000}"/>
    <cellStyle name="Normal 84 3 3 4" xfId="10536" xr:uid="{00000000-0005-0000-0000-0000673B0000}"/>
    <cellStyle name="Normal 84 3 4" xfId="4241" xr:uid="{00000000-0005-0000-0000-0000683B0000}"/>
    <cellStyle name="Normal 84 3 4 2" xfId="8755" xr:uid="{00000000-0005-0000-0000-0000693B0000}"/>
    <cellStyle name="Normal 84 3 4 2 2" xfId="17796" xr:uid="{00000000-0005-0000-0000-00006A3B0000}"/>
    <cellStyle name="Normal 84 3 4 3" xfId="13283" xr:uid="{00000000-0005-0000-0000-00006B3B0000}"/>
    <cellStyle name="Normal 84 3 5" xfId="4880" xr:uid="{00000000-0005-0000-0000-00006C3B0000}"/>
    <cellStyle name="Normal 84 3 5 2" xfId="13921" xr:uid="{00000000-0005-0000-0000-00006D3B0000}"/>
    <cellStyle name="Normal 84 3 6" xfId="9408" xr:uid="{00000000-0005-0000-0000-00006E3B0000}"/>
    <cellStyle name="Normal 84 4" xfId="503" xr:uid="{00000000-0005-0000-0000-00006F3B0000}"/>
    <cellStyle name="Normal 84 4 2" xfId="1067" xr:uid="{00000000-0005-0000-0000-0000703B0000}"/>
    <cellStyle name="Normal 84 4 2 2" xfId="2237" xr:uid="{00000000-0005-0000-0000-0000713B0000}"/>
    <cellStyle name="Normal 84 4 2 2 2" xfId="4247" xr:uid="{00000000-0005-0000-0000-0000723B0000}"/>
    <cellStyle name="Normal 84 4 2 2 2 2" xfId="8761" xr:uid="{00000000-0005-0000-0000-0000733B0000}"/>
    <cellStyle name="Normal 84 4 2 2 2 2 2" xfId="17802" xr:uid="{00000000-0005-0000-0000-0000743B0000}"/>
    <cellStyle name="Normal 84 4 2 2 2 3" xfId="13289" xr:uid="{00000000-0005-0000-0000-0000753B0000}"/>
    <cellStyle name="Normal 84 4 2 2 3" xfId="6760" xr:uid="{00000000-0005-0000-0000-0000763B0000}"/>
    <cellStyle name="Normal 84 4 2 2 3 2" xfId="15801" xr:uid="{00000000-0005-0000-0000-0000773B0000}"/>
    <cellStyle name="Normal 84 4 2 2 4" xfId="11288" xr:uid="{00000000-0005-0000-0000-0000783B0000}"/>
    <cellStyle name="Normal 84 4 2 3" xfId="4246" xr:uid="{00000000-0005-0000-0000-0000793B0000}"/>
    <cellStyle name="Normal 84 4 2 3 2" xfId="8760" xr:uid="{00000000-0005-0000-0000-00007A3B0000}"/>
    <cellStyle name="Normal 84 4 2 3 2 2" xfId="17801" xr:uid="{00000000-0005-0000-0000-00007B3B0000}"/>
    <cellStyle name="Normal 84 4 2 3 3" xfId="13288" xr:uid="{00000000-0005-0000-0000-00007C3B0000}"/>
    <cellStyle name="Normal 84 4 2 4" xfId="5632" xr:uid="{00000000-0005-0000-0000-00007D3B0000}"/>
    <cellStyle name="Normal 84 4 2 4 2" xfId="14673" xr:uid="{00000000-0005-0000-0000-00007E3B0000}"/>
    <cellStyle name="Normal 84 4 2 5" xfId="10160" xr:uid="{00000000-0005-0000-0000-00007F3B0000}"/>
    <cellStyle name="Normal 84 4 3" xfId="1673" xr:uid="{00000000-0005-0000-0000-0000803B0000}"/>
    <cellStyle name="Normal 84 4 3 2" xfId="4248" xr:uid="{00000000-0005-0000-0000-0000813B0000}"/>
    <cellStyle name="Normal 84 4 3 2 2" xfId="8762" xr:uid="{00000000-0005-0000-0000-0000823B0000}"/>
    <cellStyle name="Normal 84 4 3 2 2 2" xfId="17803" xr:uid="{00000000-0005-0000-0000-0000833B0000}"/>
    <cellStyle name="Normal 84 4 3 2 3" xfId="13290" xr:uid="{00000000-0005-0000-0000-0000843B0000}"/>
    <cellStyle name="Normal 84 4 3 3" xfId="6196" xr:uid="{00000000-0005-0000-0000-0000853B0000}"/>
    <cellStyle name="Normal 84 4 3 3 2" xfId="15237" xr:uid="{00000000-0005-0000-0000-0000863B0000}"/>
    <cellStyle name="Normal 84 4 3 4" xfId="10724" xr:uid="{00000000-0005-0000-0000-0000873B0000}"/>
    <cellStyle name="Normal 84 4 4" xfId="4245" xr:uid="{00000000-0005-0000-0000-0000883B0000}"/>
    <cellStyle name="Normal 84 4 4 2" xfId="8759" xr:uid="{00000000-0005-0000-0000-0000893B0000}"/>
    <cellStyle name="Normal 84 4 4 2 2" xfId="17800" xr:uid="{00000000-0005-0000-0000-00008A3B0000}"/>
    <cellStyle name="Normal 84 4 4 3" xfId="13287" xr:uid="{00000000-0005-0000-0000-00008B3B0000}"/>
    <cellStyle name="Normal 84 4 5" xfId="5068" xr:uid="{00000000-0005-0000-0000-00008C3B0000}"/>
    <cellStyle name="Normal 84 4 5 2" xfId="14109" xr:uid="{00000000-0005-0000-0000-00008D3B0000}"/>
    <cellStyle name="Normal 84 4 6" xfId="9596" xr:uid="{00000000-0005-0000-0000-00008E3B0000}"/>
    <cellStyle name="Normal 84 5" xfId="691" xr:uid="{00000000-0005-0000-0000-00008F3B0000}"/>
    <cellStyle name="Normal 84 5 2" xfId="1861" xr:uid="{00000000-0005-0000-0000-0000903B0000}"/>
    <cellStyle name="Normal 84 5 2 2" xfId="4250" xr:uid="{00000000-0005-0000-0000-0000913B0000}"/>
    <cellStyle name="Normal 84 5 2 2 2" xfId="8764" xr:uid="{00000000-0005-0000-0000-0000923B0000}"/>
    <cellStyle name="Normal 84 5 2 2 2 2" xfId="17805" xr:uid="{00000000-0005-0000-0000-0000933B0000}"/>
    <cellStyle name="Normal 84 5 2 2 3" xfId="13292" xr:uid="{00000000-0005-0000-0000-0000943B0000}"/>
    <cellStyle name="Normal 84 5 2 3" xfId="6384" xr:uid="{00000000-0005-0000-0000-0000953B0000}"/>
    <cellStyle name="Normal 84 5 2 3 2" xfId="15425" xr:uid="{00000000-0005-0000-0000-0000963B0000}"/>
    <cellStyle name="Normal 84 5 2 4" xfId="10912" xr:uid="{00000000-0005-0000-0000-0000973B0000}"/>
    <cellStyle name="Normal 84 5 3" xfId="4249" xr:uid="{00000000-0005-0000-0000-0000983B0000}"/>
    <cellStyle name="Normal 84 5 3 2" xfId="8763" xr:uid="{00000000-0005-0000-0000-0000993B0000}"/>
    <cellStyle name="Normal 84 5 3 2 2" xfId="17804" xr:uid="{00000000-0005-0000-0000-00009A3B0000}"/>
    <cellStyle name="Normal 84 5 3 3" xfId="13291" xr:uid="{00000000-0005-0000-0000-00009B3B0000}"/>
    <cellStyle name="Normal 84 5 4" xfId="5256" xr:uid="{00000000-0005-0000-0000-00009C3B0000}"/>
    <cellStyle name="Normal 84 5 4 2" xfId="14297" xr:uid="{00000000-0005-0000-0000-00009D3B0000}"/>
    <cellStyle name="Normal 84 5 5" xfId="9784" xr:uid="{00000000-0005-0000-0000-00009E3B0000}"/>
    <cellStyle name="Normal 84 6" xfId="1297" xr:uid="{00000000-0005-0000-0000-00009F3B0000}"/>
    <cellStyle name="Normal 84 6 2" xfId="4251" xr:uid="{00000000-0005-0000-0000-0000A03B0000}"/>
    <cellStyle name="Normal 84 6 2 2" xfId="8765" xr:uid="{00000000-0005-0000-0000-0000A13B0000}"/>
    <cellStyle name="Normal 84 6 2 2 2" xfId="17806" xr:uid="{00000000-0005-0000-0000-0000A23B0000}"/>
    <cellStyle name="Normal 84 6 2 3" xfId="13293" xr:uid="{00000000-0005-0000-0000-0000A33B0000}"/>
    <cellStyle name="Normal 84 6 3" xfId="5820" xr:uid="{00000000-0005-0000-0000-0000A43B0000}"/>
    <cellStyle name="Normal 84 6 3 2" xfId="14861" xr:uid="{00000000-0005-0000-0000-0000A53B0000}"/>
    <cellStyle name="Normal 84 6 4" xfId="10348" xr:uid="{00000000-0005-0000-0000-0000A63B0000}"/>
    <cellStyle name="Normal 84 7" xfId="4228" xr:uid="{00000000-0005-0000-0000-0000A73B0000}"/>
    <cellStyle name="Normal 84 7 2" xfId="8742" xr:uid="{00000000-0005-0000-0000-0000A83B0000}"/>
    <cellStyle name="Normal 84 7 2 2" xfId="17783" xr:uid="{00000000-0005-0000-0000-0000A93B0000}"/>
    <cellStyle name="Normal 84 7 3" xfId="13270" xr:uid="{00000000-0005-0000-0000-0000AA3B0000}"/>
    <cellStyle name="Normal 84 8" xfId="4692" xr:uid="{00000000-0005-0000-0000-0000AB3B0000}"/>
    <cellStyle name="Normal 84 8 2" xfId="13733" xr:uid="{00000000-0005-0000-0000-0000AC3B0000}"/>
    <cellStyle name="Normal 84 9" xfId="9220" xr:uid="{00000000-0005-0000-0000-0000AD3B0000}"/>
    <cellStyle name="Normal 85" xfId="85" xr:uid="{00000000-0005-0000-0000-0000AE3B0000}"/>
    <cellStyle name="Normal 85 2" xfId="181" xr:uid="{00000000-0005-0000-0000-0000AF3B0000}"/>
    <cellStyle name="Normal 85 2 2" xfId="410" xr:uid="{00000000-0005-0000-0000-0000B03B0000}"/>
    <cellStyle name="Normal 85 2 2 2" xfId="974" xr:uid="{00000000-0005-0000-0000-0000B13B0000}"/>
    <cellStyle name="Normal 85 2 2 2 2" xfId="2144" xr:uid="{00000000-0005-0000-0000-0000B23B0000}"/>
    <cellStyle name="Normal 85 2 2 2 2 2" xfId="4256" xr:uid="{00000000-0005-0000-0000-0000B33B0000}"/>
    <cellStyle name="Normal 85 2 2 2 2 2 2" xfId="8770" xr:uid="{00000000-0005-0000-0000-0000B43B0000}"/>
    <cellStyle name="Normal 85 2 2 2 2 2 2 2" xfId="17811" xr:uid="{00000000-0005-0000-0000-0000B53B0000}"/>
    <cellStyle name="Normal 85 2 2 2 2 2 3" xfId="13298" xr:uid="{00000000-0005-0000-0000-0000B63B0000}"/>
    <cellStyle name="Normal 85 2 2 2 2 3" xfId="6667" xr:uid="{00000000-0005-0000-0000-0000B73B0000}"/>
    <cellStyle name="Normal 85 2 2 2 2 3 2" xfId="15708" xr:uid="{00000000-0005-0000-0000-0000B83B0000}"/>
    <cellStyle name="Normal 85 2 2 2 2 4" xfId="11195" xr:uid="{00000000-0005-0000-0000-0000B93B0000}"/>
    <cellStyle name="Normal 85 2 2 2 3" xfId="4255" xr:uid="{00000000-0005-0000-0000-0000BA3B0000}"/>
    <cellStyle name="Normal 85 2 2 2 3 2" xfId="8769" xr:uid="{00000000-0005-0000-0000-0000BB3B0000}"/>
    <cellStyle name="Normal 85 2 2 2 3 2 2" xfId="17810" xr:uid="{00000000-0005-0000-0000-0000BC3B0000}"/>
    <cellStyle name="Normal 85 2 2 2 3 3" xfId="13297" xr:uid="{00000000-0005-0000-0000-0000BD3B0000}"/>
    <cellStyle name="Normal 85 2 2 2 4" xfId="5539" xr:uid="{00000000-0005-0000-0000-0000BE3B0000}"/>
    <cellStyle name="Normal 85 2 2 2 4 2" xfId="14580" xr:uid="{00000000-0005-0000-0000-0000BF3B0000}"/>
    <cellStyle name="Normal 85 2 2 2 5" xfId="10067" xr:uid="{00000000-0005-0000-0000-0000C03B0000}"/>
    <cellStyle name="Normal 85 2 2 3" xfId="1580" xr:uid="{00000000-0005-0000-0000-0000C13B0000}"/>
    <cellStyle name="Normal 85 2 2 3 2" xfId="4257" xr:uid="{00000000-0005-0000-0000-0000C23B0000}"/>
    <cellStyle name="Normal 85 2 2 3 2 2" xfId="8771" xr:uid="{00000000-0005-0000-0000-0000C33B0000}"/>
    <cellStyle name="Normal 85 2 2 3 2 2 2" xfId="17812" xr:uid="{00000000-0005-0000-0000-0000C43B0000}"/>
    <cellStyle name="Normal 85 2 2 3 2 3" xfId="13299" xr:uid="{00000000-0005-0000-0000-0000C53B0000}"/>
    <cellStyle name="Normal 85 2 2 3 3" xfId="6103" xr:uid="{00000000-0005-0000-0000-0000C63B0000}"/>
    <cellStyle name="Normal 85 2 2 3 3 2" xfId="15144" xr:uid="{00000000-0005-0000-0000-0000C73B0000}"/>
    <cellStyle name="Normal 85 2 2 3 4" xfId="10631" xr:uid="{00000000-0005-0000-0000-0000C83B0000}"/>
    <cellStyle name="Normal 85 2 2 4" xfId="4254" xr:uid="{00000000-0005-0000-0000-0000C93B0000}"/>
    <cellStyle name="Normal 85 2 2 4 2" xfId="8768" xr:uid="{00000000-0005-0000-0000-0000CA3B0000}"/>
    <cellStyle name="Normal 85 2 2 4 2 2" xfId="17809" xr:uid="{00000000-0005-0000-0000-0000CB3B0000}"/>
    <cellStyle name="Normal 85 2 2 4 3" xfId="13296" xr:uid="{00000000-0005-0000-0000-0000CC3B0000}"/>
    <cellStyle name="Normal 85 2 2 5" xfId="4975" xr:uid="{00000000-0005-0000-0000-0000CD3B0000}"/>
    <cellStyle name="Normal 85 2 2 5 2" xfId="14016" xr:uid="{00000000-0005-0000-0000-0000CE3B0000}"/>
    <cellStyle name="Normal 85 2 2 6" xfId="9503" xr:uid="{00000000-0005-0000-0000-0000CF3B0000}"/>
    <cellStyle name="Normal 85 2 3" xfId="598" xr:uid="{00000000-0005-0000-0000-0000D03B0000}"/>
    <cellStyle name="Normal 85 2 3 2" xfId="1162" xr:uid="{00000000-0005-0000-0000-0000D13B0000}"/>
    <cellStyle name="Normal 85 2 3 2 2" xfId="2332" xr:uid="{00000000-0005-0000-0000-0000D23B0000}"/>
    <cellStyle name="Normal 85 2 3 2 2 2" xfId="4260" xr:uid="{00000000-0005-0000-0000-0000D33B0000}"/>
    <cellStyle name="Normal 85 2 3 2 2 2 2" xfId="8774" xr:uid="{00000000-0005-0000-0000-0000D43B0000}"/>
    <cellStyle name="Normal 85 2 3 2 2 2 2 2" xfId="17815" xr:uid="{00000000-0005-0000-0000-0000D53B0000}"/>
    <cellStyle name="Normal 85 2 3 2 2 2 3" xfId="13302" xr:uid="{00000000-0005-0000-0000-0000D63B0000}"/>
    <cellStyle name="Normal 85 2 3 2 2 3" xfId="6855" xr:uid="{00000000-0005-0000-0000-0000D73B0000}"/>
    <cellStyle name="Normal 85 2 3 2 2 3 2" xfId="15896" xr:uid="{00000000-0005-0000-0000-0000D83B0000}"/>
    <cellStyle name="Normal 85 2 3 2 2 4" xfId="11383" xr:uid="{00000000-0005-0000-0000-0000D93B0000}"/>
    <cellStyle name="Normal 85 2 3 2 3" xfId="4259" xr:uid="{00000000-0005-0000-0000-0000DA3B0000}"/>
    <cellStyle name="Normal 85 2 3 2 3 2" xfId="8773" xr:uid="{00000000-0005-0000-0000-0000DB3B0000}"/>
    <cellStyle name="Normal 85 2 3 2 3 2 2" xfId="17814" xr:uid="{00000000-0005-0000-0000-0000DC3B0000}"/>
    <cellStyle name="Normal 85 2 3 2 3 3" xfId="13301" xr:uid="{00000000-0005-0000-0000-0000DD3B0000}"/>
    <cellStyle name="Normal 85 2 3 2 4" xfId="5727" xr:uid="{00000000-0005-0000-0000-0000DE3B0000}"/>
    <cellStyle name="Normal 85 2 3 2 4 2" xfId="14768" xr:uid="{00000000-0005-0000-0000-0000DF3B0000}"/>
    <cellStyle name="Normal 85 2 3 2 5" xfId="10255" xr:uid="{00000000-0005-0000-0000-0000E03B0000}"/>
    <cellStyle name="Normal 85 2 3 3" xfId="1768" xr:uid="{00000000-0005-0000-0000-0000E13B0000}"/>
    <cellStyle name="Normal 85 2 3 3 2" xfId="4261" xr:uid="{00000000-0005-0000-0000-0000E23B0000}"/>
    <cellStyle name="Normal 85 2 3 3 2 2" xfId="8775" xr:uid="{00000000-0005-0000-0000-0000E33B0000}"/>
    <cellStyle name="Normal 85 2 3 3 2 2 2" xfId="17816" xr:uid="{00000000-0005-0000-0000-0000E43B0000}"/>
    <cellStyle name="Normal 85 2 3 3 2 3" xfId="13303" xr:uid="{00000000-0005-0000-0000-0000E53B0000}"/>
    <cellStyle name="Normal 85 2 3 3 3" xfId="6291" xr:uid="{00000000-0005-0000-0000-0000E63B0000}"/>
    <cellStyle name="Normal 85 2 3 3 3 2" xfId="15332" xr:uid="{00000000-0005-0000-0000-0000E73B0000}"/>
    <cellStyle name="Normal 85 2 3 3 4" xfId="10819" xr:uid="{00000000-0005-0000-0000-0000E83B0000}"/>
    <cellStyle name="Normal 85 2 3 4" xfId="4258" xr:uid="{00000000-0005-0000-0000-0000E93B0000}"/>
    <cellStyle name="Normal 85 2 3 4 2" xfId="8772" xr:uid="{00000000-0005-0000-0000-0000EA3B0000}"/>
    <cellStyle name="Normal 85 2 3 4 2 2" xfId="17813" xr:uid="{00000000-0005-0000-0000-0000EB3B0000}"/>
    <cellStyle name="Normal 85 2 3 4 3" xfId="13300" xr:uid="{00000000-0005-0000-0000-0000EC3B0000}"/>
    <cellStyle name="Normal 85 2 3 5" xfId="5163" xr:uid="{00000000-0005-0000-0000-0000ED3B0000}"/>
    <cellStyle name="Normal 85 2 3 5 2" xfId="14204" xr:uid="{00000000-0005-0000-0000-0000EE3B0000}"/>
    <cellStyle name="Normal 85 2 3 6" xfId="9691" xr:uid="{00000000-0005-0000-0000-0000EF3B0000}"/>
    <cellStyle name="Normal 85 2 4" xfId="786" xr:uid="{00000000-0005-0000-0000-0000F03B0000}"/>
    <cellStyle name="Normal 85 2 4 2" xfId="1956" xr:uid="{00000000-0005-0000-0000-0000F13B0000}"/>
    <cellStyle name="Normal 85 2 4 2 2" xfId="4263" xr:uid="{00000000-0005-0000-0000-0000F23B0000}"/>
    <cellStyle name="Normal 85 2 4 2 2 2" xfId="8777" xr:uid="{00000000-0005-0000-0000-0000F33B0000}"/>
    <cellStyle name="Normal 85 2 4 2 2 2 2" xfId="17818" xr:uid="{00000000-0005-0000-0000-0000F43B0000}"/>
    <cellStyle name="Normal 85 2 4 2 2 3" xfId="13305" xr:uid="{00000000-0005-0000-0000-0000F53B0000}"/>
    <cellStyle name="Normal 85 2 4 2 3" xfId="6479" xr:uid="{00000000-0005-0000-0000-0000F63B0000}"/>
    <cellStyle name="Normal 85 2 4 2 3 2" xfId="15520" xr:uid="{00000000-0005-0000-0000-0000F73B0000}"/>
    <cellStyle name="Normal 85 2 4 2 4" xfId="11007" xr:uid="{00000000-0005-0000-0000-0000F83B0000}"/>
    <cellStyle name="Normal 85 2 4 3" xfId="4262" xr:uid="{00000000-0005-0000-0000-0000F93B0000}"/>
    <cellStyle name="Normal 85 2 4 3 2" xfId="8776" xr:uid="{00000000-0005-0000-0000-0000FA3B0000}"/>
    <cellStyle name="Normal 85 2 4 3 2 2" xfId="17817" xr:uid="{00000000-0005-0000-0000-0000FB3B0000}"/>
    <cellStyle name="Normal 85 2 4 3 3" xfId="13304" xr:uid="{00000000-0005-0000-0000-0000FC3B0000}"/>
    <cellStyle name="Normal 85 2 4 4" xfId="5351" xr:uid="{00000000-0005-0000-0000-0000FD3B0000}"/>
    <cellStyle name="Normal 85 2 4 4 2" xfId="14392" xr:uid="{00000000-0005-0000-0000-0000FE3B0000}"/>
    <cellStyle name="Normal 85 2 4 5" xfId="9879" xr:uid="{00000000-0005-0000-0000-0000FF3B0000}"/>
    <cellStyle name="Normal 85 2 5" xfId="1392" xr:uid="{00000000-0005-0000-0000-0000003C0000}"/>
    <cellStyle name="Normal 85 2 5 2" xfId="4264" xr:uid="{00000000-0005-0000-0000-0000013C0000}"/>
    <cellStyle name="Normal 85 2 5 2 2" xfId="8778" xr:uid="{00000000-0005-0000-0000-0000023C0000}"/>
    <cellStyle name="Normal 85 2 5 2 2 2" xfId="17819" xr:uid="{00000000-0005-0000-0000-0000033C0000}"/>
    <cellStyle name="Normal 85 2 5 2 3" xfId="13306" xr:uid="{00000000-0005-0000-0000-0000043C0000}"/>
    <cellStyle name="Normal 85 2 5 3" xfId="5915" xr:uid="{00000000-0005-0000-0000-0000053C0000}"/>
    <cellStyle name="Normal 85 2 5 3 2" xfId="14956" xr:uid="{00000000-0005-0000-0000-0000063C0000}"/>
    <cellStyle name="Normal 85 2 5 4" xfId="10443" xr:uid="{00000000-0005-0000-0000-0000073C0000}"/>
    <cellStyle name="Normal 85 2 6" xfId="4253" xr:uid="{00000000-0005-0000-0000-0000083C0000}"/>
    <cellStyle name="Normal 85 2 6 2" xfId="8767" xr:uid="{00000000-0005-0000-0000-0000093C0000}"/>
    <cellStyle name="Normal 85 2 6 2 2" xfId="17808" xr:uid="{00000000-0005-0000-0000-00000A3C0000}"/>
    <cellStyle name="Normal 85 2 6 3" xfId="13295" xr:uid="{00000000-0005-0000-0000-00000B3C0000}"/>
    <cellStyle name="Normal 85 2 7" xfId="4787" xr:uid="{00000000-0005-0000-0000-00000C3C0000}"/>
    <cellStyle name="Normal 85 2 7 2" xfId="13828" xr:uid="{00000000-0005-0000-0000-00000D3C0000}"/>
    <cellStyle name="Normal 85 2 8" xfId="9315" xr:uid="{00000000-0005-0000-0000-00000E3C0000}"/>
    <cellStyle name="Normal 85 3" xfId="316" xr:uid="{00000000-0005-0000-0000-00000F3C0000}"/>
    <cellStyle name="Normal 85 3 2" xfId="880" xr:uid="{00000000-0005-0000-0000-0000103C0000}"/>
    <cellStyle name="Normal 85 3 2 2" xfId="2050" xr:uid="{00000000-0005-0000-0000-0000113C0000}"/>
    <cellStyle name="Normal 85 3 2 2 2" xfId="4267" xr:uid="{00000000-0005-0000-0000-0000123C0000}"/>
    <cellStyle name="Normal 85 3 2 2 2 2" xfId="8781" xr:uid="{00000000-0005-0000-0000-0000133C0000}"/>
    <cellStyle name="Normal 85 3 2 2 2 2 2" xfId="17822" xr:uid="{00000000-0005-0000-0000-0000143C0000}"/>
    <cellStyle name="Normal 85 3 2 2 2 3" xfId="13309" xr:uid="{00000000-0005-0000-0000-0000153C0000}"/>
    <cellStyle name="Normal 85 3 2 2 3" xfId="6573" xr:uid="{00000000-0005-0000-0000-0000163C0000}"/>
    <cellStyle name="Normal 85 3 2 2 3 2" xfId="15614" xr:uid="{00000000-0005-0000-0000-0000173C0000}"/>
    <cellStyle name="Normal 85 3 2 2 4" xfId="11101" xr:uid="{00000000-0005-0000-0000-0000183C0000}"/>
    <cellStyle name="Normal 85 3 2 3" xfId="4266" xr:uid="{00000000-0005-0000-0000-0000193C0000}"/>
    <cellStyle name="Normal 85 3 2 3 2" xfId="8780" xr:uid="{00000000-0005-0000-0000-00001A3C0000}"/>
    <cellStyle name="Normal 85 3 2 3 2 2" xfId="17821" xr:uid="{00000000-0005-0000-0000-00001B3C0000}"/>
    <cellStyle name="Normal 85 3 2 3 3" xfId="13308" xr:uid="{00000000-0005-0000-0000-00001C3C0000}"/>
    <cellStyle name="Normal 85 3 2 4" xfId="5445" xr:uid="{00000000-0005-0000-0000-00001D3C0000}"/>
    <cellStyle name="Normal 85 3 2 4 2" xfId="14486" xr:uid="{00000000-0005-0000-0000-00001E3C0000}"/>
    <cellStyle name="Normal 85 3 2 5" xfId="9973" xr:uid="{00000000-0005-0000-0000-00001F3C0000}"/>
    <cellStyle name="Normal 85 3 3" xfId="1486" xr:uid="{00000000-0005-0000-0000-0000203C0000}"/>
    <cellStyle name="Normal 85 3 3 2" xfId="4268" xr:uid="{00000000-0005-0000-0000-0000213C0000}"/>
    <cellStyle name="Normal 85 3 3 2 2" xfId="8782" xr:uid="{00000000-0005-0000-0000-0000223C0000}"/>
    <cellStyle name="Normal 85 3 3 2 2 2" xfId="17823" xr:uid="{00000000-0005-0000-0000-0000233C0000}"/>
    <cellStyle name="Normal 85 3 3 2 3" xfId="13310" xr:uid="{00000000-0005-0000-0000-0000243C0000}"/>
    <cellStyle name="Normal 85 3 3 3" xfId="6009" xr:uid="{00000000-0005-0000-0000-0000253C0000}"/>
    <cellStyle name="Normal 85 3 3 3 2" xfId="15050" xr:uid="{00000000-0005-0000-0000-0000263C0000}"/>
    <cellStyle name="Normal 85 3 3 4" xfId="10537" xr:uid="{00000000-0005-0000-0000-0000273C0000}"/>
    <cellStyle name="Normal 85 3 4" xfId="4265" xr:uid="{00000000-0005-0000-0000-0000283C0000}"/>
    <cellStyle name="Normal 85 3 4 2" xfId="8779" xr:uid="{00000000-0005-0000-0000-0000293C0000}"/>
    <cellStyle name="Normal 85 3 4 2 2" xfId="17820" xr:uid="{00000000-0005-0000-0000-00002A3C0000}"/>
    <cellStyle name="Normal 85 3 4 3" xfId="13307" xr:uid="{00000000-0005-0000-0000-00002B3C0000}"/>
    <cellStyle name="Normal 85 3 5" xfId="4881" xr:uid="{00000000-0005-0000-0000-00002C3C0000}"/>
    <cellStyle name="Normal 85 3 5 2" xfId="13922" xr:uid="{00000000-0005-0000-0000-00002D3C0000}"/>
    <cellStyle name="Normal 85 3 6" xfId="9409" xr:uid="{00000000-0005-0000-0000-00002E3C0000}"/>
    <cellStyle name="Normal 85 4" xfId="504" xr:uid="{00000000-0005-0000-0000-00002F3C0000}"/>
    <cellStyle name="Normal 85 4 2" xfId="1068" xr:uid="{00000000-0005-0000-0000-0000303C0000}"/>
    <cellStyle name="Normal 85 4 2 2" xfId="2238" xr:uid="{00000000-0005-0000-0000-0000313C0000}"/>
    <cellStyle name="Normal 85 4 2 2 2" xfId="4271" xr:uid="{00000000-0005-0000-0000-0000323C0000}"/>
    <cellStyle name="Normal 85 4 2 2 2 2" xfId="8785" xr:uid="{00000000-0005-0000-0000-0000333C0000}"/>
    <cellStyle name="Normal 85 4 2 2 2 2 2" xfId="17826" xr:uid="{00000000-0005-0000-0000-0000343C0000}"/>
    <cellStyle name="Normal 85 4 2 2 2 3" xfId="13313" xr:uid="{00000000-0005-0000-0000-0000353C0000}"/>
    <cellStyle name="Normal 85 4 2 2 3" xfId="6761" xr:uid="{00000000-0005-0000-0000-0000363C0000}"/>
    <cellStyle name="Normal 85 4 2 2 3 2" xfId="15802" xr:uid="{00000000-0005-0000-0000-0000373C0000}"/>
    <cellStyle name="Normal 85 4 2 2 4" xfId="11289" xr:uid="{00000000-0005-0000-0000-0000383C0000}"/>
    <cellStyle name="Normal 85 4 2 3" xfId="4270" xr:uid="{00000000-0005-0000-0000-0000393C0000}"/>
    <cellStyle name="Normal 85 4 2 3 2" xfId="8784" xr:uid="{00000000-0005-0000-0000-00003A3C0000}"/>
    <cellStyle name="Normal 85 4 2 3 2 2" xfId="17825" xr:uid="{00000000-0005-0000-0000-00003B3C0000}"/>
    <cellStyle name="Normal 85 4 2 3 3" xfId="13312" xr:uid="{00000000-0005-0000-0000-00003C3C0000}"/>
    <cellStyle name="Normal 85 4 2 4" xfId="5633" xr:uid="{00000000-0005-0000-0000-00003D3C0000}"/>
    <cellStyle name="Normal 85 4 2 4 2" xfId="14674" xr:uid="{00000000-0005-0000-0000-00003E3C0000}"/>
    <cellStyle name="Normal 85 4 2 5" xfId="10161" xr:uid="{00000000-0005-0000-0000-00003F3C0000}"/>
    <cellStyle name="Normal 85 4 3" xfId="1674" xr:uid="{00000000-0005-0000-0000-0000403C0000}"/>
    <cellStyle name="Normal 85 4 3 2" xfId="4272" xr:uid="{00000000-0005-0000-0000-0000413C0000}"/>
    <cellStyle name="Normal 85 4 3 2 2" xfId="8786" xr:uid="{00000000-0005-0000-0000-0000423C0000}"/>
    <cellStyle name="Normal 85 4 3 2 2 2" xfId="17827" xr:uid="{00000000-0005-0000-0000-0000433C0000}"/>
    <cellStyle name="Normal 85 4 3 2 3" xfId="13314" xr:uid="{00000000-0005-0000-0000-0000443C0000}"/>
    <cellStyle name="Normal 85 4 3 3" xfId="6197" xr:uid="{00000000-0005-0000-0000-0000453C0000}"/>
    <cellStyle name="Normal 85 4 3 3 2" xfId="15238" xr:uid="{00000000-0005-0000-0000-0000463C0000}"/>
    <cellStyle name="Normal 85 4 3 4" xfId="10725" xr:uid="{00000000-0005-0000-0000-0000473C0000}"/>
    <cellStyle name="Normal 85 4 4" xfId="4269" xr:uid="{00000000-0005-0000-0000-0000483C0000}"/>
    <cellStyle name="Normal 85 4 4 2" xfId="8783" xr:uid="{00000000-0005-0000-0000-0000493C0000}"/>
    <cellStyle name="Normal 85 4 4 2 2" xfId="17824" xr:uid="{00000000-0005-0000-0000-00004A3C0000}"/>
    <cellStyle name="Normal 85 4 4 3" xfId="13311" xr:uid="{00000000-0005-0000-0000-00004B3C0000}"/>
    <cellStyle name="Normal 85 4 5" xfId="5069" xr:uid="{00000000-0005-0000-0000-00004C3C0000}"/>
    <cellStyle name="Normal 85 4 5 2" xfId="14110" xr:uid="{00000000-0005-0000-0000-00004D3C0000}"/>
    <cellStyle name="Normal 85 4 6" xfId="9597" xr:uid="{00000000-0005-0000-0000-00004E3C0000}"/>
    <cellStyle name="Normal 85 5" xfId="692" xr:uid="{00000000-0005-0000-0000-00004F3C0000}"/>
    <cellStyle name="Normal 85 5 2" xfId="1862" xr:uid="{00000000-0005-0000-0000-0000503C0000}"/>
    <cellStyle name="Normal 85 5 2 2" xfId="4274" xr:uid="{00000000-0005-0000-0000-0000513C0000}"/>
    <cellStyle name="Normal 85 5 2 2 2" xfId="8788" xr:uid="{00000000-0005-0000-0000-0000523C0000}"/>
    <cellStyle name="Normal 85 5 2 2 2 2" xfId="17829" xr:uid="{00000000-0005-0000-0000-0000533C0000}"/>
    <cellStyle name="Normal 85 5 2 2 3" xfId="13316" xr:uid="{00000000-0005-0000-0000-0000543C0000}"/>
    <cellStyle name="Normal 85 5 2 3" xfId="6385" xr:uid="{00000000-0005-0000-0000-0000553C0000}"/>
    <cellStyle name="Normal 85 5 2 3 2" xfId="15426" xr:uid="{00000000-0005-0000-0000-0000563C0000}"/>
    <cellStyle name="Normal 85 5 2 4" xfId="10913" xr:uid="{00000000-0005-0000-0000-0000573C0000}"/>
    <cellStyle name="Normal 85 5 3" xfId="4273" xr:uid="{00000000-0005-0000-0000-0000583C0000}"/>
    <cellStyle name="Normal 85 5 3 2" xfId="8787" xr:uid="{00000000-0005-0000-0000-0000593C0000}"/>
    <cellStyle name="Normal 85 5 3 2 2" xfId="17828" xr:uid="{00000000-0005-0000-0000-00005A3C0000}"/>
    <cellStyle name="Normal 85 5 3 3" xfId="13315" xr:uid="{00000000-0005-0000-0000-00005B3C0000}"/>
    <cellStyle name="Normal 85 5 4" xfId="5257" xr:uid="{00000000-0005-0000-0000-00005C3C0000}"/>
    <cellStyle name="Normal 85 5 4 2" xfId="14298" xr:uid="{00000000-0005-0000-0000-00005D3C0000}"/>
    <cellStyle name="Normal 85 5 5" xfId="9785" xr:uid="{00000000-0005-0000-0000-00005E3C0000}"/>
    <cellStyle name="Normal 85 6" xfId="1298" xr:uid="{00000000-0005-0000-0000-00005F3C0000}"/>
    <cellStyle name="Normal 85 6 2" xfId="4275" xr:uid="{00000000-0005-0000-0000-0000603C0000}"/>
    <cellStyle name="Normal 85 6 2 2" xfId="8789" xr:uid="{00000000-0005-0000-0000-0000613C0000}"/>
    <cellStyle name="Normal 85 6 2 2 2" xfId="17830" xr:uid="{00000000-0005-0000-0000-0000623C0000}"/>
    <cellStyle name="Normal 85 6 2 3" xfId="13317" xr:uid="{00000000-0005-0000-0000-0000633C0000}"/>
    <cellStyle name="Normal 85 6 3" xfId="5821" xr:uid="{00000000-0005-0000-0000-0000643C0000}"/>
    <cellStyle name="Normal 85 6 3 2" xfId="14862" xr:uid="{00000000-0005-0000-0000-0000653C0000}"/>
    <cellStyle name="Normal 85 6 4" xfId="10349" xr:uid="{00000000-0005-0000-0000-0000663C0000}"/>
    <cellStyle name="Normal 85 7" xfId="4252" xr:uid="{00000000-0005-0000-0000-0000673C0000}"/>
    <cellStyle name="Normal 85 7 2" xfId="8766" xr:uid="{00000000-0005-0000-0000-0000683C0000}"/>
    <cellStyle name="Normal 85 7 2 2" xfId="17807" xr:uid="{00000000-0005-0000-0000-0000693C0000}"/>
    <cellStyle name="Normal 85 7 3" xfId="13294" xr:uid="{00000000-0005-0000-0000-00006A3C0000}"/>
    <cellStyle name="Normal 85 8" xfId="4693" xr:uid="{00000000-0005-0000-0000-00006B3C0000}"/>
    <cellStyle name="Normal 85 8 2" xfId="13734" xr:uid="{00000000-0005-0000-0000-00006C3C0000}"/>
    <cellStyle name="Normal 85 9" xfId="9221" xr:uid="{00000000-0005-0000-0000-00006D3C0000}"/>
    <cellStyle name="Normal 86" xfId="86" xr:uid="{00000000-0005-0000-0000-00006E3C0000}"/>
    <cellStyle name="Normal 86 2" xfId="182" xr:uid="{00000000-0005-0000-0000-00006F3C0000}"/>
    <cellStyle name="Normal 86 2 2" xfId="411" xr:uid="{00000000-0005-0000-0000-0000703C0000}"/>
    <cellStyle name="Normal 86 2 2 2" xfId="975" xr:uid="{00000000-0005-0000-0000-0000713C0000}"/>
    <cellStyle name="Normal 86 2 2 2 2" xfId="2145" xr:uid="{00000000-0005-0000-0000-0000723C0000}"/>
    <cellStyle name="Normal 86 2 2 2 2 2" xfId="4280" xr:uid="{00000000-0005-0000-0000-0000733C0000}"/>
    <cellStyle name="Normal 86 2 2 2 2 2 2" xfId="8794" xr:uid="{00000000-0005-0000-0000-0000743C0000}"/>
    <cellStyle name="Normal 86 2 2 2 2 2 2 2" xfId="17835" xr:uid="{00000000-0005-0000-0000-0000753C0000}"/>
    <cellStyle name="Normal 86 2 2 2 2 2 3" xfId="13322" xr:uid="{00000000-0005-0000-0000-0000763C0000}"/>
    <cellStyle name="Normal 86 2 2 2 2 3" xfId="6668" xr:uid="{00000000-0005-0000-0000-0000773C0000}"/>
    <cellStyle name="Normal 86 2 2 2 2 3 2" xfId="15709" xr:uid="{00000000-0005-0000-0000-0000783C0000}"/>
    <cellStyle name="Normal 86 2 2 2 2 4" xfId="11196" xr:uid="{00000000-0005-0000-0000-0000793C0000}"/>
    <cellStyle name="Normal 86 2 2 2 3" xfId="4279" xr:uid="{00000000-0005-0000-0000-00007A3C0000}"/>
    <cellStyle name="Normal 86 2 2 2 3 2" xfId="8793" xr:uid="{00000000-0005-0000-0000-00007B3C0000}"/>
    <cellStyle name="Normal 86 2 2 2 3 2 2" xfId="17834" xr:uid="{00000000-0005-0000-0000-00007C3C0000}"/>
    <cellStyle name="Normal 86 2 2 2 3 3" xfId="13321" xr:uid="{00000000-0005-0000-0000-00007D3C0000}"/>
    <cellStyle name="Normal 86 2 2 2 4" xfId="5540" xr:uid="{00000000-0005-0000-0000-00007E3C0000}"/>
    <cellStyle name="Normal 86 2 2 2 4 2" xfId="14581" xr:uid="{00000000-0005-0000-0000-00007F3C0000}"/>
    <cellStyle name="Normal 86 2 2 2 5" xfId="10068" xr:uid="{00000000-0005-0000-0000-0000803C0000}"/>
    <cellStyle name="Normal 86 2 2 3" xfId="1581" xr:uid="{00000000-0005-0000-0000-0000813C0000}"/>
    <cellStyle name="Normal 86 2 2 3 2" xfId="4281" xr:uid="{00000000-0005-0000-0000-0000823C0000}"/>
    <cellStyle name="Normal 86 2 2 3 2 2" xfId="8795" xr:uid="{00000000-0005-0000-0000-0000833C0000}"/>
    <cellStyle name="Normal 86 2 2 3 2 2 2" xfId="17836" xr:uid="{00000000-0005-0000-0000-0000843C0000}"/>
    <cellStyle name="Normal 86 2 2 3 2 3" xfId="13323" xr:uid="{00000000-0005-0000-0000-0000853C0000}"/>
    <cellStyle name="Normal 86 2 2 3 3" xfId="6104" xr:uid="{00000000-0005-0000-0000-0000863C0000}"/>
    <cellStyle name="Normal 86 2 2 3 3 2" xfId="15145" xr:uid="{00000000-0005-0000-0000-0000873C0000}"/>
    <cellStyle name="Normal 86 2 2 3 4" xfId="10632" xr:uid="{00000000-0005-0000-0000-0000883C0000}"/>
    <cellStyle name="Normal 86 2 2 4" xfId="4278" xr:uid="{00000000-0005-0000-0000-0000893C0000}"/>
    <cellStyle name="Normal 86 2 2 4 2" xfId="8792" xr:uid="{00000000-0005-0000-0000-00008A3C0000}"/>
    <cellStyle name="Normal 86 2 2 4 2 2" xfId="17833" xr:uid="{00000000-0005-0000-0000-00008B3C0000}"/>
    <cellStyle name="Normal 86 2 2 4 3" xfId="13320" xr:uid="{00000000-0005-0000-0000-00008C3C0000}"/>
    <cellStyle name="Normal 86 2 2 5" xfId="4976" xr:uid="{00000000-0005-0000-0000-00008D3C0000}"/>
    <cellStyle name="Normal 86 2 2 5 2" xfId="14017" xr:uid="{00000000-0005-0000-0000-00008E3C0000}"/>
    <cellStyle name="Normal 86 2 2 6" xfId="9504" xr:uid="{00000000-0005-0000-0000-00008F3C0000}"/>
    <cellStyle name="Normal 86 2 3" xfId="599" xr:uid="{00000000-0005-0000-0000-0000903C0000}"/>
    <cellStyle name="Normal 86 2 3 2" xfId="1163" xr:uid="{00000000-0005-0000-0000-0000913C0000}"/>
    <cellStyle name="Normal 86 2 3 2 2" xfId="2333" xr:uid="{00000000-0005-0000-0000-0000923C0000}"/>
    <cellStyle name="Normal 86 2 3 2 2 2" xfId="4284" xr:uid="{00000000-0005-0000-0000-0000933C0000}"/>
    <cellStyle name="Normal 86 2 3 2 2 2 2" xfId="8798" xr:uid="{00000000-0005-0000-0000-0000943C0000}"/>
    <cellStyle name="Normal 86 2 3 2 2 2 2 2" xfId="17839" xr:uid="{00000000-0005-0000-0000-0000953C0000}"/>
    <cellStyle name="Normal 86 2 3 2 2 2 3" xfId="13326" xr:uid="{00000000-0005-0000-0000-0000963C0000}"/>
    <cellStyle name="Normal 86 2 3 2 2 3" xfId="6856" xr:uid="{00000000-0005-0000-0000-0000973C0000}"/>
    <cellStyle name="Normal 86 2 3 2 2 3 2" xfId="15897" xr:uid="{00000000-0005-0000-0000-0000983C0000}"/>
    <cellStyle name="Normal 86 2 3 2 2 4" xfId="11384" xr:uid="{00000000-0005-0000-0000-0000993C0000}"/>
    <cellStyle name="Normal 86 2 3 2 3" xfId="4283" xr:uid="{00000000-0005-0000-0000-00009A3C0000}"/>
    <cellStyle name="Normal 86 2 3 2 3 2" xfId="8797" xr:uid="{00000000-0005-0000-0000-00009B3C0000}"/>
    <cellStyle name="Normal 86 2 3 2 3 2 2" xfId="17838" xr:uid="{00000000-0005-0000-0000-00009C3C0000}"/>
    <cellStyle name="Normal 86 2 3 2 3 3" xfId="13325" xr:uid="{00000000-0005-0000-0000-00009D3C0000}"/>
    <cellStyle name="Normal 86 2 3 2 4" xfId="5728" xr:uid="{00000000-0005-0000-0000-00009E3C0000}"/>
    <cellStyle name="Normal 86 2 3 2 4 2" xfId="14769" xr:uid="{00000000-0005-0000-0000-00009F3C0000}"/>
    <cellStyle name="Normal 86 2 3 2 5" xfId="10256" xr:uid="{00000000-0005-0000-0000-0000A03C0000}"/>
    <cellStyle name="Normal 86 2 3 3" xfId="1769" xr:uid="{00000000-0005-0000-0000-0000A13C0000}"/>
    <cellStyle name="Normal 86 2 3 3 2" xfId="4285" xr:uid="{00000000-0005-0000-0000-0000A23C0000}"/>
    <cellStyle name="Normal 86 2 3 3 2 2" xfId="8799" xr:uid="{00000000-0005-0000-0000-0000A33C0000}"/>
    <cellStyle name="Normal 86 2 3 3 2 2 2" xfId="17840" xr:uid="{00000000-0005-0000-0000-0000A43C0000}"/>
    <cellStyle name="Normal 86 2 3 3 2 3" xfId="13327" xr:uid="{00000000-0005-0000-0000-0000A53C0000}"/>
    <cellStyle name="Normal 86 2 3 3 3" xfId="6292" xr:uid="{00000000-0005-0000-0000-0000A63C0000}"/>
    <cellStyle name="Normal 86 2 3 3 3 2" xfId="15333" xr:uid="{00000000-0005-0000-0000-0000A73C0000}"/>
    <cellStyle name="Normal 86 2 3 3 4" xfId="10820" xr:uid="{00000000-0005-0000-0000-0000A83C0000}"/>
    <cellStyle name="Normal 86 2 3 4" xfId="4282" xr:uid="{00000000-0005-0000-0000-0000A93C0000}"/>
    <cellStyle name="Normal 86 2 3 4 2" xfId="8796" xr:uid="{00000000-0005-0000-0000-0000AA3C0000}"/>
    <cellStyle name="Normal 86 2 3 4 2 2" xfId="17837" xr:uid="{00000000-0005-0000-0000-0000AB3C0000}"/>
    <cellStyle name="Normal 86 2 3 4 3" xfId="13324" xr:uid="{00000000-0005-0000-0000-0000AC3C0000}"/>
    <cellStyle name="Normal 86 2 3 5" xfId="5164" xr:uid="{00000000-0005-0000-0000-0000AD3C0000}"/>
    <cellStyle name="Normal 86 2 3 5 2" xfId="14205" xr:uid="{00000000-0005-0000-0000-0000AE3C0000}"/>
    <cellStyle name="Normal 86 2 3 6" xfId="9692" xr:uid="{00000000-0005-0000-0000-0000AF3C0000}"/>
    <cellStyle name="Normal 86 2 4" xfId="787" xr:uid="{00000000-0005-0000-0000-0000B03C0000}"/>
    <cellStyle name="Normal 86 2 4 2" xfId="1957" xr:uid="{00000000-0005-0000-0000-0000B13C0000}"/>
    <cellStyle name="Normal 86 2 4 2 2" xfId="4287" xr:uid="{00000000-0005-0000-0000-0000B23C0000}"/>
    <cellStyle name="Normal 86 2 4 2 2 2" xfId="8801" xr:uid="{00000000-0005-0000-0000-0000B33C0000}"/>
    <cellStyle name="Normal 86 2 4 2 2 2 2" xfId="17842" xr:uid="{00000000-0005-0000-0000-0000B43C0000}"/>
    <cellStyle name="Normal 86 2 4 2 2 3" xfId="13329" xr:uid="{00000000-0005-0000-0000-0000B53C0000}"/>
    <cellStyle name="Normal 86 2 4 2 3" xfId="6480" xr:uid="{00000000-0005-0000-0000-0000B63C0000}"/>
    <cellStyle name="Normal 86 2 4 2 3 2" xfId="15521" xr:uid="{00000000-0005-0000-0000-0000B73C0000}"/>
    <cellStyle name="Normal 86 2 4 2 4" xfId="11008" xr:uid="{00000000-0005-0000-0000-0000B83C0000}"/>
    <cellStyle name="Normal 86 2 4 3" xfId="4286" xr:uid="{00000000-0005-0000-0000-0000B93C0000}"/>
    <cellStyle name="Normal 86 2 4 3 2" xfId="8800" xr:uid="{00000000-0005-0000-0000-0000BA3C0000}"/>
    <cellStyle name="Normal 86 2 4 3 2 2" xfId="17841" xr:uid="{00000000-0005-0000-0000-0000BB3C0000}"/>
    <cellStyle name="Normal 86 2 4 3 3" xfId="13328" xr:uid="{00000000-0005-0000-0000-0000BC3C0000}"/>
    <cellStyle name="Normal 86 2 4 4" xfId="5352" xr:uid="{00000000-0005-0000-0000-0000BD3C0000}"/>
    <cellStyle name="Normal 86 2 4 4 2" xfId="14393" xr:uid="{00000000-0005-0000-0000-0000BE3C0000}"/>
    <cellStyle name="Normal 86 2 4 5" xfId="9880" xr:uid="{00000000-0005-0000-0000-0000BF3C0000}"/>
    <cellStyle name="Normal 86 2 5" xfId="1393" xr:uid="{00000000-0005-0000-0000-0000C03C0000}"/>
    <cellStyle name="Normal 86 2 5 2" xfId="4288" xr:uid="{00000000-0005-0000-0000-0000C13C0000}"/>
    <cellStyle name="Normal 86 2 5 2 2" xfId="8802" xr:uid="{00000000-0005-0000-0000-0000C23C0000}"/>
    <cellStyle name="Normal 86 2 5 2 2 2" xfId="17843" xr:uid="{00000000-0005-0000-0000-0000C33C0000}"/>
    <cellStyle name="Normal 86 2 5 2 3" xfId="13330" xr:uid="{00000000-0005-0000-0000-0000C43C0000}"/>
    <cellStyle name="Normal 86 2 5 3" xfId="5916" xr:uid="{00000000-0005-0000-0000-0000C53C0000}"/>
    <cellStyle name="Normal 86 2 5 3 2" xfId="14957" xr:uid="{00000000-0005-0000-0000-0000C63C0000}"/>
    <cellStyle name="Normal 86 2 5 4" xfId="10444" xr:uid="{00000000-0005-0000-0000-0000C73C0000}"/>
    <cellStyle name="Normal 86 2 6" xfId="4277" xr:uid="{00000000-0005-0000-0000-0000C83C0000}"/>
    <cellStyle name="Normal 86 2 6 2" xfId="8791" xr:uid="{00000000-0005-0000-0000-0000C93C0000}"/>
    <cellStyle name="Normal 86 2 6 2 2" xfId="17832" xr:uid="{00000000-0005-0000-0000-0000CA3C0000}"/>
    <cellStyle name="Normal 86 2 6 3" xfId="13319" xr:uid="{00000000-0005-0000-0000-0000CB3C0000}"/>
    <cellStyle name="Normal 86 2 7" xfId="4788" xr:uid="{00000000-0005-0000-0000-0000CC3C0000}"/>
    <cellStyle name="Normal 86 2 7 2" xfId="13829" xr:uid="{00000000-0005-0000-0000-0000CD3C0000}"/>
    <cellStyle name="Normal 86 2 8" xfId="9316" xr:uid="{00000000-0005-0000-0000-0000CE3C0000}"/>
    <cellStyle name="Normal 86 3" xfId="317" xr:uid="{00000000-0005-0000-0000-0000CF3C0000}"/>
    <cellStyle name="Normal 86 3 2" xfId="881" xr:uid="{00000000-0005-0000-0000-0000D03C0000}"/>
    <cellStyle name="Normal 86 3 2 2" xfId="2051" xr:uid="{00000000-0005-0000-0000-0000D13C0000}"/>
    <cellStyle name="Normal 86 3 2 2 2" xfId="4291" xr:uid="{00000000-0005-0000-0000-0000D23C0000}"/>
    <cellStyle name="Normal 86 3 2 2 2 2" xfId="8805" xr:uid="{00000000-0005-0000-0000-0000D33C0000}"/>
    <cellStyle name="Normal 86 3 2 2 2 2 2" xfId="17846" xr:uid="{00000000-0005-0000-0000-0000D43C0000}"/>
    <cellStyle name="Normal 86 3 2 2 2 3" xfId="13333" xr:uid="{00000000-0005-0000-0000-0000D53C0000}"/>
    <cellStyle name="Normal 86 3 2 2 3" xfId="6574" xr:uid="{00000000-0005-0000-0000-0000D63C0000}"/>
    <cellStyle name="Normal 86 3 2 2 3 2" xfId="15615" xr:uid="{00000000-0005-0000-0000-0000D73C0000}"/>
    <cellStyle name="Normal 86 3 2 2 4" xfId="11102" xr:uid="{00000000-0005-0000-0000-0000D83C0000}"/>
    <cellStyle name="Normal 86 3 2 3" xfId="4290" xr:uid="{00000000-0005-0000-0000-0000D93C0000}"/>
    <cellStyle name="Normal 86 3 2 3 2" xfId="8804" xr:uid="{00000000-0005-0000-0000-0000DA3C0000}"/>
    <cellStyle name="Normal 86 3 2 3 2 2" xfId="17845" xr:uid="{00000000-0005-0000-0000-0000DB3C0000}"/>
    <cellStyle name="Normal 86 3 2 3 3" xfId="13332" xr:uid="{00000000-0005-0000-0000-0000DC3C0000}"/>
    <cellStyle name="Normal 86 3 2 4" xfId="5446" xr:uid="{00000000-0005-0000-0000-0000DD3C0000}"/>
    <cellStyle name="Normal 86 3 2 4 2" xfId="14487" xr:uid="{00000000-0005-0000-0000-0000DE3C0000}"/>
    <cellStyle name="Normal 86 3 2 5" xfId="9974" xr:uid="{00000000-0005-0000-0000-0000DF3C0000}"/>
    <cellStyle name="Normal 86 3 3" xfId="1487" xr:uid="{00000000-0005-0000-0000-0000E03C0000}"/>
    <cellStyle name="Normal 86 3 3 2" xfId="4292" xr:uid="{00000000-0005-0000-0000-0000E13C0000}"/>
    <cellStyle name="Normal 86 3 3 2 2" xfId="8806" xr:uid="{00000000-0005-0000-0000-0000E23C0000}"/>
    <cellStyle name="Normal 86 3 3 2 2 2" xfId="17847" xr:uid="{00000000-0005-0000-0000-0000E33C0000}"/>
    <cellStyle name="Normal 86 3 3 2 3" xfId="13334" xr:uid="{00000000-0005-0000-0000-0000E43C0000}"/>
    <cellStyle name="Normal 86 3 3 3" xfId="6010" xr:uid="{00000000-0005-0000-0000-0000E53C0000}"/>
    <cellStyle name="Normal 86 3 3 3 2" xfId="15051" xr:uid="{00000000-0005-0000-0000-0000E63C0000}"/>
    <cellStyle name="Normal 86 3 3 4" xfId="10538" xr:uid="{00000000-0005-0000-0000-0000E73C0000}"/>
    <cellStyle name="Normal 86 3 4" xfId="4289" xr:uid="{00000000-0005-0000-0000-0000E83C0000}"/>
    <cellStyle name="Normal 86 3 4 2" xfId="8803" xr:uid="{00000000-0005-0000-0000-0000E93C0000}"/>
    <cellStyle name="Normal 86 3 4 2 2" xfId="17844" xr:uid="{00000000-0005-0000-0000-0000EA3C0000}"/>
    <cellStyle name="Normal 86 3 4 3" xfId="13331" xr:uid="{00000000-0005-0000-0000-0000EB3C0000}"/>
    <cellStyle name="Normal 86 3 5" xfId="4882" xr:uid="{00000000-0005-0000-0000-0000EC3C0000}"/>
    <cellStyle name="Normal 86 3 5 2" xfId="13923" xr:uid="{00000000-0005-0000-0000-0000ED3C0000}"/>
    <cellStyle name="Normal 86 3 6" xfId="9410" xr:uid="{00000000-0005-0000-0000-0000EE3C0000}"/>
    <cellStyle name="Normal 86 4" xfId="505" xr:uid="{00000000-0005-0000-0000-0000EF3C0000}"/>
    <cellStyle name="Normal 86 4 2" xfId="1069" xr:uid="{00000000-0005-0000-0000-0000F03C0000}"/>
    <cellStyle name="Normal 86 4 2 2" xfId="2239" xr:uid="{00000000-0005-0000-0000-0000F13C0000}"/>
    <cellStyle name="Normal 86 4 2 2 2" xfId="4295" xr:uid="{00000000-0005-0000-0000-0000F23C0000}"/>
    <cellStyle name="Normal 86 4 2 2 2 2" xfId="8809" xr:uid="{00000000-0005-0000-0000-0000F33C0000}"/>
    <cellStyle name="Normal 86 4 2 2 2 2 2" xfId="17850" xr:uid="{00000000-0005-0000-0000-0000F43C0000}"/>
    <cellStyle name="Normal 86 4 2 2 2 3" xfId="13337" xr:uid="{00000000-0005-0000-0000-0000F53C0000}"/>
    <cellStyle name="Normal 86 4 2 2 3" xfId="6762" xr:uid="{00000000-0005-0000-0000-0000F63C0000}"/>
    <cellStyle name="Normal 86 4 2 2 3 2" xfId="15803" xr:uid="{00000000-0005-0000-0000-0000F73C0000}"/>
    <cellStyle name="Normal 86 4 2 2 4" xfId="11290" xr:uid="{00000000-0005-0000-0000-0000F83C0000}"/>
    <cellStyle name="Normal 86 4 2 3" xfId="4294" xr:uid="{00000000-0005-0000-0000-0000F93C0000}"/>
    <cellStyle name="Normal 86 4 2 3 2" xfId="8808" xr:uid="{00000000-0005-0000-0000-0000FA3C0000}"/>
    <cellStyle name="Normal 86 4 2 3 2 2" xfId="17849" xr:uid="{00000000-0005-0000-0000-0000FB3C0000}"/>
    <cellStyle name="Normal 86 4 2 3 3" xfId="13336" xr:uid="{00000000-0005-0000-0000-0000FC3C0000}"/>
    <cellStyle name="Normal 86 4 2 4" xfId="5634" xr:uid="{00000000-0005-0000-0000-0000FD3C0000}"/>
    <cellStyle name="Normal 86 4 2 4 2" xfId="14675" xr:uid="{00000000-0005-0000-0000-0000FE3C0000}"/>
    <cellStyle name="Normal 86 4 2 5" xfId="10162" xr:uid="{00000000-0005-0000-0000-0000FF3C0000}"/>
    <cellStyle name="Normal 86 4 3" xfId="1675" xr:uid="{00000000-0005-0000-0000-0000003D0000}"/>
    <cellStyle name="Normal 86 4 3 2" xfId="4296" xr:uid="{00000000-0005-0000-0000-0000013D0000}"/>
    <cellStyle name="Normal 86 4 3 2 2" xfId="8810" xr:uid="{00000000-0005-0000-0000-0000023D0000}"/>
    <cellStyle name="Normal 86 4 3 2 2 2" xfId="17851" xr:uid="{00000000-0005-0000-0000-0000033D0000}"/>
    <cellStyle name="Normal 86 4 3 2 3" xfId="13338" xr:uid="{00000000-0005-0000-0000-0000043D0000}"/>
    <cellStyle name="Normal 86 4 3 3" xfId="6198" xr:uid="{00000000-0005-0000-0000-0000053D0000}"/>
    <cellStyle name="Normal 86 4 3 3 2" xfId="15239" xr:uid="{00000000-0005-0000-0000-0000063D0000}"/>
    <cellStyle name="Normal 86 4 3 4" xfId="10726" xr:uid="{00000000-0005-0000-0000-0000073D0000}"/>
    <cellStyle name="Normal 86 4 4" xfId="4293" xr:uid="{00000000-0005-0000-0000-0000083D0000}"/>
    <cellStyle name="Normal 86 4 4 2" xfId="8807" xr:uid="{00000000-0005-0000-0000-0000093D0000}"/>
    <cellStyle name="Normal 86 4 4 2 2" xfId="17848" xr:uid="{00000000-0005-0000-0000-00000A3D0000}"/>
    <cellStyle name="Normal 86 4 4 3" xfId="13335" xr:uid="{00000000-0005-0000-0000-00000B3D0000}"/>
    <cellStyle name="Normal 86 4 5" xfId="5070" xr:uid="{00000000-0005-0000-0000-00000C3D0000}"/>
    <cellStyle name="Normal 86 4 5 2" xfId="14111" xr:uid="{00000000-0005-0000-0000-00000D3D0000}"/>
    <cellStyle name="Normal 86 4 6" xfId="9598" xr:uid="{00000000-0005-0000-0000-00000E3D0000}"/>
    <cellStyle name="Normal 86 5" xfId="693" xr:uid="{00000000-0005-0000-0000-00000F3D0000}"/>
    <cellStyle name="Normal 86 5 2" xfId="1863" xr:uid="{00000000-0005-0000-0000-0000103D0000}"/>
    <cellStyle name="Normal 86 5 2 2" xfId="4298" xr:uid="{00000000-0005-0000-0000-0000113D0000}"/>
    <cellStyle name="Normal 86 5 2 2 2" xfId="8812" xr:uid="{00000000-0005-0000-0000-0000123D0000}"/>
    <cellStyle name="Normal 86 5 2 2 2 2" xfId="17853" xr:uid="{00000000-0005-0000-0000-0000133D0000}"/>
    <cellStyle name="Normal 86 5 2 2 3" xfId="13340" xr:uid="{00000000-0005-0000-0000-0000143D0000}"/>
    <cellStyle name="Normal 86 5 2 3" xfId="6386" xr:uid="{00000000-0005-0000-0000-0000153D0000}"/>
    <cellStyle name="Normal 86 5 2 3 2" xfId="15427" xr:uid="{00000000-0005-0000-0000-0000163D0000}"/>
    <cellStyle name="Normal 86 5 2 4" xfId="10914" xr:uid="{00000000-0005-0000-0000-0000173D0000}"/>
    <cellStyle name="Normal 86 5 3" xfId="4297" xr:uid="{00000000-0005-0000-0000-0000183D0000}"/>
    <cellStyle name="Normal 86 5 3 2" xfId="8811" xr:uid="{00000000-0005-0000-0000-0000193D0000}"/>
    <cellStyle name="Normal 86 5 3 2 2" xfId="17852" xr:uid="{00000000-0005-0000-0000-00001A3D0000}"/>
    <cellStyle name="Normal 86 5 3 3" xfId="13339" xr:uid="{00000000-0005-0000-0000-00001B3D0000}"/>
    <cellStyle name="Normal 86 5 4" xfId="5258" xr:uid="{00000000-0005-0000-0000-00001C3D0000}"/>
    <cellStyle name="Normal 86 5 4 2" xfId="14299" xr:uid="{00000000-0005-0000-0000-00001D3D0000}"/>
    <cellStyle name="Normal 86 5 5" xfId="9786" xr:uid="{00000000-0005-0000-0000-00001E3D0000}"/>
    <cellStyle name="Normal 86 6" xfId="1299" xr:uid="{00000000-0005-0000-0000-00001F3D0000}"/>
    <cellStyle name="Normal 86 6 2" xfId="4299" xr:uid="{00000000-0005-0000-0000-0000203D0000}"/>
    <cellStyle name="Normal 86 6 2 2" xfId="8813" xr:uid="{00000000-0005-0000-0000-0000213D0000}"/>
    <cellStyle name="Normal 86 6 2 2 2" xfId="17854" xr:uid="{00000000-0005-0000-0000-0000223D0000}"/>
    <cellStyle name="Normal 86 6 2 3" xfId="13341" xr:uid="{00000000-0005-0000-0000-0000233D0000}"/>
    <cellStyle name="Normal 86 6 3" xfId="5822" xr:uid="{00000000-0005-0000-0000-0000243D0000}"/>
    <cellStyle name="Normal 86 6 3 2" xfId="14863" xr:uid="{00000000-0005-0000-0000-0000253D0000}"/>
    <cellStyle name="Normal 86 6 4" xfId="10350" xr:uid="{00000000-0005-0000-0000-0000263D0000}"/>
    <cellStyle name="Normal 86 7" xfId="4276" xr:uid="{00000000-0005-0000-0000-0000273D0000}"/>
    <cellStyle name="Normal 86 7 2" xfId="8790" xr:uid="{00000000-0005-0000-0000-0000283D0000}"/>
    <cellStyle name="Normal 86 7 2 2" xfId="17831" xr:uid="{00000000-0005-0000-0000-0000293D0000}"/>
    <cellStyle name="Normal 86 7 3" xfId="13318" xr:uid="{00000000-0005-0000-0000-00002A3D0000}"/>
    <cellStyle name="Normal 86 8" xfId="4694" xr:uid="{00000000-0005-0000-0000-00002B3D0000}"/>
    <cellStyle name="Normal 86 8 2" xfId="13735" xr:uid="{00000000-0005-0000-0000-00002C3D0000}"/>
    <cellStyle name="Normal 86 9" xfId="9222" xr:uid="{00000000-0005-0000-0000-00002D3D0000}"/>
    <cellStyle name="Normal 87" xfId="87" xr:uid="{00000000-0005-0000-0000-00002E3D0000}"/>
    <cellStyle name="Normal 87 2" xfId="183" xr:uid="{00000000-0005-0000-0000-00002F3D0000}"/>
    <cellStyle name="Normal 87 2 2" xfId="412" xr:uid="{00000000-0005-0000-0000-0000303D0000}"/>
    <cellStyle name="Normal 87 2 2 2" xfId="976" xr:uid="{00000000-0005-0000-0000-0000313D0000}"/>
    <cellStyle name="Normal 87 2 2 2 2" xfId="2146" xr:uid="{00000000-0005-0000-0000-0000323D0000}"/>
    <cellStyle name="Normal 87 2 2 2 2 2" xfId="4304" xr:uid="{00000000-0005-0000-0000-0000333D0000}"/>
    <cellStyle name="Normal 87 2 2 2 2 2 2" xfId="8818" xr:uid="{00000000-0005-0000-0000-0000343D0000}"/>
    <cellStyle name="Normal 87 2 2 2 2 2 2 2" xfId="17859" xr:uid="{00000000-0005-0000-0000-0000353D0000}"/>
    <cellStyle name="Normal 87 2 2 2 2 2 3" xfId="13346" xr:uid="{00000000-0005-0000-0000-0000363D0000}"/>
    <cellStyle name="Normal 87 2 2 2 2 3" xfId="6669" xr:uid="{00000000-0005-0000-0000-0000373D0000}"/>
    <cellStyle name="Normal 87 2 2 2 2 3 2" xfId="15710" xr:uid="{00000000-0005-0000-0000-0000383D0000}"/>
    <cellStyle name="Normal 87 2 2 2 2 4" xfId="11197" xr:uid="{00000000-0005-0000-0000-0000393D0000}"/>
    <cellStyle name="Normal 87 2 2 2 3" xfId="4303" xr:uid="{00000000-0005-0000-0000-00003A3D0000}"/>
    <cellStyle name="Normal 87 2 2 2 3 2" xfId="8817" xr:uid="{00000000-0005-0000-0000-00003B3D0000}"/>
    <cellStyle name="Normal 87 2 2 2 3 2 2" xfId="17858" xr:uid="{00000000-0005-0000-0000-00003C3D0000}"/>
    <cellStyle name="Normal 87 2 2 2 3 3" xfId="13345" xr:uid="{00000000-0005-0000-0000-00003D3D0000}"/>
    <cellStyle name="Normal 87 2 2 2 4" xfId="5541" xr:uid="{00000000-0005-0000-0000-00003E3D0000}"/>
    <cellStyle name="Normal 87 2 2 2 4 2" xfId="14582" xr:uid="{00000000-0005-0000-0000-00003F3D0000}"/>
    <cellStyle name="Normal 87 2 2 2 5" xfId="10069" xr:uid="{00000000-0005-0000-0000-0000403D0000}"/>
    <cellStyle name="Normal 87 2 2 3" xfId="1582" xr:uid="{00000000-0005-0000-0000-0000413D0000}"/>
    <cellStyle name="Normal 87 2 2 3 2" xfId="4305" xr:uid="{00000000-0005-0000-0000-0000423D0000}"/>
    <cellStyle name="Normal 87 2 2 3 2 2" xfId="8819" xr:uid="{00000000-0005-0000-0000-0000433D0000}"/>
    <cellStyle name="Normal 87 2 2 3 2 2 2" xfId="17860" xr:uid="{00000000-0005-0000-0000-0000443D0000}"/>
    <cellStyle name="Normal 87 2 2 3 2 3" xfId="13347" xr:uid="{00000000-0005-0000-0000-0000453D0000}"/>
    <cellStyle name="Normal 87 2 2 3 3" xfId="6105" xr:uid="{00000000-0005-0000-0000-0000463D0000}"/>
    <cellStyle name="Normal 87 2 2 3 3 2" xfId="15146" xr:uid="{00000000-0005-0000-0000-0000473D0000}"/>
    <cellStyle name="Normal 87 2 2 3 4" xfId="10633" xr:uid="{00000000-0005-0000-0000-0000483D0000}"/>
    <cellStyle name="Normal 87 2 2 4" xfId="4302" xr:uid="{00000000-0005-0000-0000-0000493D0000}"/>
    <cellStyle name="Normal 87 2 2 4 2" xfId="8816" xr:uid="{00000000-0005-0000-0000-00004A3D0000}"/>
    <cellStyle name="Normal 87 2 2 4 2 2" xfId="17857" xr:uid="{00000000-0005-0000-0000-00004B3D0000}"/>
    <cellStyle name="Normal 87 2 2 4 3" xfId="13344" xr:uid="{00000000-0005-0000-0000-00004C3D0000}"/>
    <cellStyle name="Normal 87 2 2 5" xfId="4977" xr:uid="{00000000-0005-0000-0000-00004D3D0000}"/>
    <cellStyle name="Normal 87 2 2 5 2" xfId="14018" xr:uid="{00000000-0005-0000-0000-00004E3D0000}"/>
    <cellStyle name="Normal 87 2 2 6" xfId="9505" xr:uid="{00000000-0005-0000-0000-00004F3D0000}"/>
    <cellStyle name="Normal 87 2 3" xfId="600" xr:uid="{00000000-0005-0000-0000-0000503D0000}"/>
    <cellStyle name="Normal 87 2 3 2" xfId="1164" xr:uid="{00000000-0005-0000-0000-0000513D0000}"/>
    <cellStyle name="Normal 87 2 3 2 2" xfId="2334" xr:uid="{00000000-0005-0000-0000-0000523D0000}"/>
    <cellStyle name="Normal 87 2 3 2 2 2" xfId="4308" xr:uid="{00000000-0005-0000-0000-0000533D0000}"/>
    <cellStyle name="Normal 87 2 3 2 2 2 2" xfId="8822" xr:uid="{00000000-0005-0000-0000-0000543D0000}"/>
    <cellStyle name="Normal 87 2 3 2 2 2 2 2" xfId="17863" xr:uid="{00000000-0005-0000-0000-0000553D0000}"/>
    <cellStyle name="Normal 87 2 3 2 2 2 3" xfId="13350" xr:uid="{00000000-0005-0000-0000-0000563D0000}"/>
    <cellStyle name="Normal 87 2 3 2 2 3" xfId="6857" xr:uid="{00000000-0005-0000-0000-0000573D0000}"/>
    <cellStyle name="Normal 87 2 3 2 2 3 2" xfId="15898" xr:uid="{00000000-0005-0000-0000-0000583D0000}"/>
    <cellStyle name="Normal 87 2 3 2 2 4" xfId="11385" xr:uid="{00000000-0005-0000-0000-0000593D0000}"/>
    <cellStyle name="Normal 87 2 3 2 3" xfId="4307" xr:uid="{00000000-0005-0000-0000-00005A3D0000}"/>
    <cellStyle name="Normal 87 2 3 2 3 2" xfId="8821" xr:uid="{00000000-0005-0000-0000-00005B3D0000}"/>
    <cellStyle name="Normal 87 2 3 2 3 2 2" xfId="17862" xr:uid="{00000000-0005-0000-0000-00005C3D0000}"/>
    <cellStyle name="Normal 87 2 3 2 3 3" xfId="13349" xr:uid="{00000000-0005-0000-0000-00005D3D0000}"/>
    <cellStyle name="Normal 87 2 3 2 4" xfId="5729" xr:uid="{00000000-0005-0000-0000-00005E3D0000}"/>
    <cellStyle name="Normal 87 2 3 2 4 2" xfId="14770" xr:uid="{00000000-0005-0000-0000-00005F3D0000}"/>
    <cellStyle name="Normal 87 2 3 2 5" xfId="10257" xr:uid="{00000000-0005-0000-0000-0000603D0000}"/>
    <cellStyle name="Normal 87 2 3 3" xfId="1770" xr:uid="{00000000-0005-0000-0000-0000613D0000}"/>
    <cellStyle name="Normal 87 2 3 3 2" xfId="4309" xr:uid="{00000000-0005-0000-0000-0000623D0000}"/>
    <cellStyle name="Normal 87 2 3 3 2 2" xfId="8823" xr:uid="{00000000-0005-0000-0000-0000633D0000}"/>
    <cellStyle name="Normal 87 2 3 3 2 2 2" xfId="17864" xr:uid="{00000000-0005-0000-0000-0000643D0000}"/>
    <cellStyle name="Normal 87 2 3 3 2 3" xfId="13351" xr:uid="{00000000-0005-0000-0000-0000653D0000}"/>
    <cellStyle name="Normal 87 2 3 3 3" xfId="6293" xr:uid="{00000000-0005-0000-0000-0000663D0000}"/>
    <cellStyle name="Normal 87 2 3 3 3 2" xfId="15334" xr:uid="{00000000-0005-0000-0000-0000673D0000}"/>
    <cellStyle name="Normal 87 2 3 3 4" xfId="10821" xr:uid="{00000000-0005-0000-0000-0000683D0000}"/>
    <cellStyle name="Normal 87 2 3 4" xfId="4306" xr:uid="{00000000-0005-0000-0000-0000693D0000}"/>
    <cellStyle name="Normal 87 2 3 4 2" xfId="8820" xr:uid="{00000000-0005-0000-0000-00006A3D0000}"/>
    <cellStyle name="Normal 87 2 3 4 2 2" xfId="17861" xr:uid="{00000000-0005-0000-0000-00006B3D0000}"/>
    <cellStyle name="Normal 87 2 3 4 3" xfId="13348" xr:uid="{00000000-0005-0000-0000-00006C3D0000}"/>
    <cellStyle name="Normal 87 2 3 5" xfId="5165" xr:uid="{00000000-0005-0000-0000-00006D3D0000}"/>
    <cellStyle name="Normal 87 2 3 5 2" xfId="14206" xr:uid="{00000000-0005-0000-0000-00006E3D0000}"/>
    <cellStyle name="Normal 87 2 3 6" xfId="9693" xr:uid="{00000000-0005-0000-0000-00006F3D0000}"/>
    <cellStyle name="Normal 87 2 4" xfId="788" xr:uid="{00000000-0005-0000-0000-0000703D0000}"/>
    <cellStyle name="Normal 87 2 4 2" xfId="1958" xr:uid="{00000000-0005-0000-0000-0000713D0000}"/>
    <cellStyle name="Normal 87 2 4 2 2" xfId="4311" xr:uid="{00000000-0005-0000-0000-0000723D0000}"/>
    <cellStyle name="Normal 87 2 4 2 2 2" xfId="8825" xr:uid="{00000000-0005-0000-0000-0000733D0000}"/>
    <cellStyle name="Normal 87 2 4 2 2 2 2" xfId="17866" xr:uid="{00000000-0005-0000-0000-0000743D0000}"/>
    <cellStyle name="Normal 87 2 4 2 2 3" xfId="13353" xr:uid="{00000000-0005-0000-0000-0000753D0000}"/>
    <cellStyle name="Normal 87 2 4 2 3" xfId="6481" xr:uid="{00000000-0005-0000-0000-0000763D0000}"/>
    <cellStyle name="Normal 87 2 4 2 3 2" xfId="15522" xr:uid="{00000000-0005-0000-0000-0000773D0000}"/>
    <cellStyle name="Normal 87 2 4 2 4" xfId="11009" xr:uid="{00000000-0005-0000-0000-0000783D0000}"/>
    <cellStyle name="Normal 87 2 4 3" xfId="4310" xr:uid="{00000000-0005-0000-0000-0000793D0000}"/>
    <cellStyle name="Normal 87 2 4 3 2" xfId="8824" xr:uid="{00000000-0005-0000-0000-00007A3D0000}"/>
    <cellStyle name="Normal 87 2 4 3 2 2" xfId="17865" xr:uid="{00000000-0005-0000-0000-00007B3D0000}"/>
    <cellStyle name="Normal 87 2 4 3 3" xfId="13352" xr:uid="{00000000-0005-0000-0000-00007C3D0000}"/>
    <cellStyle name="Normal 87 2 4 4" xfId="5353" xr:uid="{00000000-0005-0000-0000-00007D3D0000}"/>
    <cellStyle name="Normal 87 2 4 4 2" xfId="14394" xr:uid="{00000000-0005-0000-0000-00007E3D0000}"/>
    <cellStyle name="Normal 87 2 4 5" xfId="9881" xr:uid="{00000000-0005-0000-0000-00007F3D0000}"/>
    <cellStyle name="Normal 87 2 5" xfId="1394" xr:uid="{00000000-0005-0000-0000-0000803D0000}"/>
    <cellStyle name="Normal 87 2 5 2" xfId="4312" xr:uid="{00000000-0005-0000-0000-0000813D0000}"/>
    <cellStyle name="Normal 87 2 5 2 2" xfId="8826" xr:uid="{00000000-0005-0000-0000-0000823D0000}"/>
    <cellStyle name="Normal 87 2 5 2 2 2" xfId="17867" xr:uid="{00000000-0005-0000-0000-0000833D0000}"/>
    <cellStyle name="Normal 87 2 5 2 3" xfId="13354" xr:uid="{00000000-0005-0000-0000-0000843D0000}"/>
    <cellStyle name="Normal 87 2 5 3" xfId="5917" xr:uid="{00000000-0005-0000-0000-0000853D0000}"/>
    <cellStyle name="Normal 87 2 5 3 2" xfId="14958" xr:uid="{00000000-0005-0000-0000-0000863D0000}"/>
    <cellStyle name="Normal 87 2 5 4" xfId="10445" xr:uid="{00000000-0005-0000-0000-0000873D0000}"/>
    <cellStyle name="Normal 87 2 6" xfId="4301" xr:uid="{00000000-0005-0000-0000-0000883D0000}"/>
    <cellStyle name="Normal 87 2 6 2" xfId="8815" xr:uid="{00000000-0005-0000-0000-0000893D0000}"/>
    <cellStyle name="Normal 87 2 6 2 2" xfId="17856" xr:uid="{00000000-0005-0000-0000-00008A3D0000}"/>
    <cellStyle name="Normal 87 2 6 3" xfId="13343" xr:uid="{00000000-0005-0000-0000-00008B3D0000}"/>
    <cellStyle name="Normal 87 2 7" xfId="4789" xr:uid="{00000000-0005-0000-0000-00008C3D0000}"/>
    <cellStyle name="Normal 87 2 7 2" xfId="13830" xr:uid="{00000000-0005-0000-0000-00008D3D0000}"/>
    <cellStyle name="Normal 87 2 8" xfId="9317" xr:uid="{00000000-0005-0000-0000-00008E3D0000}"/>
    <cellStyle name="Normal 87 3" xfId="318" xr:uid="{00000000-0005-0000-0000-00008F3D0000}"/>
    <cellStyle name="Normal 87 3 2" xfId="882" xr:uid="{00000000-0005-0000-0000-0000903D0000}"/>
    <cellStyle name="Normal 87 3 2 2" xfId="2052" xr:uid="{00000000-0005-0000-0000-0000913D0000}"/>
    <cellStyle name="Normal 87 3 2 2 2" xfId="4315" xr:uid="{00000000-0005-0000-0000-0000923D0000}"/>
    <cellStyle name="Normal 87 3 2 2 2 2" xfId="8829" xr:uid="{00000000-0005-0000-0000-0000933D0000}"/>
    <cellStyle name="Normal 87 3 2 2 2 2 2" xfId="17870" xr:uid="{00000000-0005-0000-0000-0000943D0000}"/>
    <cellStyle name="Normal 87 3 2 2 2 3" xfId="13357" xr:uid="{00000000-0005-0000-0000-0000953D0000}"/>
    <cellStyle name="Normal 87 3 2 2 3" xfId="6575" xr:uid="{00000000-0005-0000-0000-0000963D0000}"/>
    <cellStyle name="Normal 87 3 2 2 3 2" xfId="15616" xr:uid="{00000000-0005-0000-0000-0000973D0000}"/>
    <cellStyle name="Normal 87 3 2 2 4" xfId="11103" xr:uid="{00000000-0005-0000-0000-0000983D0000}"/>
    <cellStyle name="Normal 87 3 2 3" xfId="4314" xr:uid="{00000000-0005-0000-0000-0000993D0000}"/>
    <cellStyle name="Normal 87 3 2 3 2" xfId="8828" xr:uid="{00000000-0005-0000-0000-00009A3D0000}"/>
    <cellStyle name="Normal 87 3 2 3 2 2" xfId="17869" xr:uid="{00000000-0005-0000-0000-00009B3D0000}"/>
    <cellStyle name="Normal 87 3 2 3 3" xfId="13356" xr:uid="{00000000-0005-0000-0000-00009C3D0000}"/>
    <cellStyle name="Normal 87 3 2 4" xfId="5447" xr:uid="{00000000-0005-0000-0000-00009D3D0000}"/>
    <cellStyle name="Normal 87 3 2 4 2" xfId="14488" xr:uid="{00000000-0005-0000-0000-00009E3D0000}"/>
    <cellStyle name="Normal 87 3 2 5" xfId="9975" xr:uid="{00000000-0005-0000-0000-00009F3D0000}"/>
    <cellStyle name="Normal 87 3 3" xfId="1488" xr:uid="{00000000-0005-0000-0000-0000A03D0000}"/>
    <cellStyle name="Normal 87 3 3 2" xfId="4316" xr:uid="{00000000-0005-0000-0000-0000A13D0000}"/>
    <cellStyle name="Normal 87 3 3 2 2" xfId="8830" xr:uid="{00000000-0005-0000-0000-0000A23D0000}"/>
    <cellStyle name="Normal 87 3 3 2 2 2" xfId="17871" xr:uid="{00000000-0005-0000-0000-0000A33D0000}"/>
    <cellStyle name="Normal 87 3 3 2 3" xfId="13358" xr:uid="{00000000-0005-0000-0000-0000A43D0000}"/>
    <cellStyle name="Normal 87 3 3 3" xfId="6011" xr:uid="{00000000-0005-0000-0000-0000A53D0000}"/>
    <cellStyle name="Normal 87 3 3 3 2" xfId="15052" xr:uid="{00000000-0005-0000-0000-0000A63D0000}"/>
    <cellStyle name="Normal 87 3 3 4" xfId="10539" xr:uid="{00000000-0005-0000-0000-0000A73D0000}"/>
    <cellStyle name="Normal 87 3 4" xfId="4313" xr:uid="{00000000-0005-0000-0000-0000A83D0000}"/>
    <cellStyle name="Normal 87 3 4 2" xfId="8827" xr:uid="{00000000-0005-0000-0000-0000A93D0000}"/>
    <cellStyle name="Normal 87 3 4 2 2" xfId="17868" xr:uid="{00000000-0005-0000-0000-0000AA3D0000}"/>
    <cellStyle name="Normal 87 3 4 3" xfId="13355" xr:uid="{00000000-0005-0000-0000-0000AB3D0000}"/>
    <cellStyle name="Normal 87 3 5" xfId="4883" xr:uid="{00000000-0005-0000-0000-0000AC3D0000}"/>
    <cellStyle name="Normal 87 3 5 2" xfId="13924" xr:uid="{00000000-0005-0000-0000-0000AD3D0000}"/>
    <cellStyle name="Normal 87 3 6" xfId="9411" xr:uid="{00000000-0005-0000-0000-0000AE3D0000}"/>
    <cellStyle name="Normal 87 4" xfId="506" xr:uid="{00000000-0005-0000-0000-0000AF3D0000}"/>
    <cellStyle name="Normal 87 4 2" xfId="1070" xr:uid="{00000000-0005-0000-0000-0000B03D0000}"/>
    <cellStyle name="Normal 87 4 2 2" xfId="2240" xr:uid="{00000000-0005-0000-0000-0000B13D0000}"/>
    <cellStyle name="Normal 87 4 2 2 2" xfId="4319" xr:uid="{00000000-0005-0000-0000-0000B23D0000}"/>
    <cellStyle name="Normal 87 4 2 2 2 2" xfId="8833" xr:uid="{00000000-0005-0000-0000-0000B33D0000}"/>
    <cellStyle name="Normal 87 4 2 2 2 2 2" xfId="17874" xr:uid="{00000000-0005-0000-0000-0000B43D0000}"/>
    <cellStyle name="Normal 87 4 2 2 2 3" xfId="13361" xr:uid="{00000000-0005-0000-0000-0000B53D0000}"/>
    <cellStyle name="Normal 87 4 2 2 3" xfId="6763" xr:uid="{00000000-0005-0000-0000-0000B63D0000}"/>
    <cellStyle name="Normal 87 4 2 2 3 2" xfId="15804" xr:uid="{00000000-0005-0000-0000-0000B73D0000}"/>
    <cellStyle name="Normal 87 4 2 2 4" xfId="11291" xr:uid="{00000000-0005-0000-0000-0000B83D0000}"/>
    <cellStyle name="Normal 87 4 2 3" xfId="4318" xr:uid="{00000000-0005-0000-0000-0000B93D0000}"/>
    <cellStyle name="Normal 87 4 2 3 2" xfId="8832" xr:uid="{00000000-0005-0000-0000-0000BA3D0000}"/>
    <cellStyle name="Normal 87 4 2 3 2 2" xfId="17873" xr:uid="{00000000-0005-0000-0000-0000BB3D0000}"/>
    <cellStyle name="Normal 87 4 2 3 3" xfId="13360" xr:uid="{00000000-0005-0000-0000-0000BC3D0000}"/>
    <cellStyle name="Normal 87 4 2 4" xfId="5635" xr:uid="{00000000-0005-0000-0000-0000BD3D0000}"/>
    <cellStyle name="Normal 87 4 2 4 2" xfId="14676" xr:uid="{00000000-0005-0000-0000-0000BE3D0000}"/>
    <cellStyle name="Normal 87 4 2 5" xfId="10163" xr:uid="{00000000-0005-0000-0000-0000BF3D0000}"/>
    <cellStyle name="Normal 87 4 3" xfId="1676" xr:uid="{00000000-0005-0000-0000-0000C03D0000}"/>
    <cellStyle name="Normal 87 4 3 2" xfId="4320" xr:uid="{00000000-0005-0000-0000-0000C13D0000}"/>
    <cellStyle name="Normal 87 4 3 2 2" xfId="8834" xr:uid="{00000000-0005-0000-0000-0000C23D0000}"/>
    <cellStyle name="Normal 87 4 3 2 2 2" xfId="17875" xr:uid="{00000000-0005-0000-0000-0000C33D0000}"/>
    <cellStyle name="Normal 87 4 3 2 3" xfId="13362" xr:uid="{00000000-0005-0000-0000-0000C43D0000}"/>
    <cellStyle name="Normal 87 4 3 3" xfId="6199" xr:uid="{00000000-0005-0000-0000-0000C53D0000}"/>
    <cellStyle name="Normal 87 4 3 3 2" xfId="15240" xr:uid="{00000000-0005-0000-0000-0000C63D0000}"/>
    <cellStyle name="Normal 87 4 3 4" xfId="10727" xr:uid="{00000000-0005-0000-0000-0000C73D0000}"/>
    <cellStyle name="Normal 87 4 4" xfId="4317" xr:uid="{00000000-0005-0000-0000-0000C83D0000}"/>
    <cellStyle name="Normal 87 4 4 2" xfId="8831" xr:uid="{00000000-0005-0000-0000-0000C93D0000}"/>
    <cellStyle name="Normal 87 4 4 2 2" xfId="17872" xr:uid="{00000000-0005-0000-0000-0000CA3D0000}"/>
    <cellStyle name="Normal 87 4 4 3" xfId="13359" xr:uid="{00000000-0005-0000-0000-0000CB3D0000}"/>
    <cellStyle name="Normal 87 4 5" xfId="5071" xr:uid="{00000000-0005-0000-0000-0000CC3D0000}"/>
    <cellStyle name="Normal 87 4 5 2" xfId="14112" xr:uid="{00000000-0005-0000-0000-0000CD3D0000}"/>
    <cellStyle name="Normal 87 4 6" xfId="9599" xr:uid="{00000000-0005-0000-0000-0000CE3D0000}"/>
    <cellStyle name="Normal 87 5" xfId="694" xr:uid="{00000000-0005-0000-0000-0000CF3D0000}"/>
    <cellStyle name="Normal 87 5 2" xfId="1864" xr:uid="{00000000-0005-0000-0000-0000D03D0000}"/>
    <cellStyle name="Normal 87 5 2 2" xfId="4322" xr:uid="{00000000-0005-0000-0000-0000D13D0000}"/>
    <cellStyle name="Normal 87 5 2 2 2" xfId="8836" xr:uid="{00000000-0005-0000-0000-0000D23D0000}"/>
    <cellStyle name="Normal 87 5 2 2 2 2" xfId="17877" xr:uid="{00000000-0005-0000-0000-0000D33D0000}"/>
    <cellStyle name="Normal 87 5 2 2 3" xfId="13364" xr:uid="{00000000-0005-0000-0000-0000D43D0000}"/>
    <cellStyle name="Normal 87 5 2 3" xfId="6387" xr:uid="{00000000-0005-0000-0000-0000D53D0000}"/>
    <cellStyle name="Normal 87 5 2 3 2" xfId="15428" xr:uid="{00000000-0005-0000-0000-0000D63D0000}"/>
    <cellStyle name="Normal 87 5 2 4" xfId="10915" xr:uid="{00000000-0005-0000-0000-0000D73D0000}"/>
    <cellStyle name="Normal 87 5 3" xfId="4321" xr:uid="{00000000-0005-0000-0000-0000D83D0000}"/>
    <cellStyle name="Normal 87 5 3 2" xfId="8835" xr:uid="{00000000-0005-0000-0000-0000D93D0000}"/>
    <cellStyle name="Normal 87 5 3 2 2" xfId="17876" xr:uid="{00000000-0005-0000-0000-0000DA3D0000}"/>
    <cellStyle name="Normal 87 5 3 3" xfId="13363" xr:uid="{00000000-0005-0000-0000-0000DB3D0000}"/>
    <cellStyle name="Normal 87 5 4" xfId="5259" xr:uid="{00000000-0005-0000-0000-0000DC3D0000}"/>
    <cellStyle name="Normal 87 5 4 2" xfId="14300" xr:uid="{00000000-0005-0000-0000-0000DD3D0000}"/>
    <cellStyle name="Normal 87 5 5" xfId="9787" xr:uid="{00000000-0005-0000-0000-0000DE3D0000}"/>
    <cellStyle name="Normal 87 6" xfId="1300" xr:uid="{00000000-0005-0000-0000-0000DF3D0000}"/>
    <cellStyle name="Normal 87 6 2" xfId="4323" xr:uid="{00000000-0005-0000-0000-0000E03D0000}"/>
    <cellStyle name="Normal 87 6 2 2" xfId="8837" xr:uid="{00000000-0005-0000-0000-0000E13D0000}"/>
    <cellStyle name="Normal 87 6 2 2 2" xfId="17878" xr:uid="{00000000-0005-0000-0000-0000E23D0000}"/>
    <cellStyle name="Normal 87 6 2 3" xfId="13365" xr:uid="{00000000-0005-0000-0000-0000E33D0000}"/>
    <cellStyle name="Normal 87 6 3" xfId="5823" xr:uid="{00000000-0005-0000-0000-0000E43D0000}"/>
    <cellStyle name="Normal 87 6 3 2" xfId="14864" xr:uid="{00000000-0005-0000-0000-0000E53D0000}"/>
    <cellStyle name="Normal 87 6 4" xfId="10351" xr:uid="{00000000-0005-0000-0000-0000E63D0000}"/>
    <cellStyle name="Normal 87 7" xfId="4300" xr:uid="{00000000-0005-0000-0000-0000E73D0000}"/>
    <cellStyle name="Normal 87 7 2" xfId="8814" xr:uid="{00000000-0005-0000-0000-0000E83D0000}"/>
    <cellStyle name="Normal 87 7 2 2" xfId="17855" xr:uid="{00000000-0005-0000-0000-0000E93D0000}"/>
    <cellStyle name="Normal 87 7 3" xfId="13342" xr:uid="{00000000-0005-0000-0000-0000EA3D0000}"/>
    <cellStyle name="Normal 87 8" xfId="4695" xr:uid="{00000000-0005-0000-0000-0000EB3D0000}"/>
    <cellStyle name="Normal 87 8 2" xfId="13736" xr:uid="{00000000-0005-0000-0000-0000EC3D0000}"/>
    <cellStyle name="Normal 87 9" xfId="9223" xr:uid="{00000000-0005-0000-0000-0000ED3D0000}"/>
    <cellStyle name="Normal 88" xfId="88" xr:uid="{00000000-0005-0000-0000-0000EE3D0000}"/>
    <cellStyle name="Normal 88 2" xfId="184" xr:uid="{00000000-0005-0000-0000-0000EF3D0000}"/>
    <cellStyle name="Normal 88 2 2" xfId="413" xr:uid="{00000000-0005-0000-0000-0000F03D0000}"/>
    <cellStyle name="Normal 88 2 2 2" xfId="977" xr:uid="{00000000-0005-0000-0000-0000F13D0000}"/>
    <cellStyle name="Normal 88 2 2 2 2" xfId="2147" xr:uid="{00000000-0005-0000-0000-0000F23D0000}"/>
    <cellStyle name="Normal 88 2 2 2 2 2" xfId="4328" xr:uid="{00000000-0005-0000-0000-0000F33D0000}"/>
    <cellStyle name="Normal 88 2 2 2 2 2 2" xfId="8842" xr:uid="{00000000-0005-0000-0000-0000F43D0000}"/>
    <cellStyle name="Normal 88 2 2 2 2 2 2 2" xfId="17883" xr:uid="{00000000-0005-0000-0000-0000F53D0000}"/>
    <cellStyle name="Normal 88 2 2 2 2 2 3" xfId="13370" xr:uid="{00000000-0005-0000-0000-0000F63D0000}"/>
    <cellStyle name="Normal 88 2 2 2 2 3" xfId="6670" xr:uid="{00000000-0005-0000-0000-0000F73D0000}"/>
    <cellStyle name="Normal 88 2 2 2 2 3 2" xfId="15711" xr:uid="{00000000-0005-0000-0000-0000F83D0000}"/>
    <cellStyle name="Normal 88 2 2 2 2 4" xfId="11198" xr:uid="{00000000-0005-0000-0000-0000F93D0000}"/>
    <cellStyle name="Normal 88 2 2 2 3" xfId="4327" xr:uid="{00000000-0005-0000-0000-0000FA3D0000}"/>
    <cellStyle name="Normal 88 2 2 2 3 2" xfId="8841" xr:uid="{00000000-0005-0000-0000-0000FB3D0000}"/>
    <cellStyle name="Normal 88 2 2 2 3 2 2" xfId="17882" xr:uid="{00000000-0005-0000-0000-0000FC3D0000}"/>
    <cellStyle name="Normal 88 2 2 2 3 3" xfId="13369" xr:uid="{00000000-0005-0000-0000-0000FD3D0000}"/>
    <cellStyle name="Normal 88 2 2 2 4" xfId="5542" xr:uid="{00000000-0005-0000-0000-0000FE3D0000}"/>
    <cellStyle name="Normal 88 2 2 2 4 2" xfId="14583" xr:uid="{00000000-0005-0000-0000-0000FF3D0000}"/>
    <cellStyle name="Normal 88 2 2 2 5" xfId="10070" xr:uid="{00000000-0005-0000-0000-0000003E0000}"/>
    <cellStyle name="Normal 88 2 2 3" xfId="1583" xr:uid="{00000000-0005-0000-0000-0000013E0000}"/>
    <cellStyle name="Normal 88 2 2 3 2" xfId="4329" xr:uid="{00000000-0005-0000-0000-0000023E0000}"/>
    <cellStyle name="Normal 88 2 2 3 2 2" xfId="8843" xr:uid="{00000000-0005-0000-0000-0000033E0000}"/>
    <cellStyle name="Normal 88 2 2 3 2 2 2" xfId="17884" xr:uid="{00000000-0005-0000-0000-0000043E0000}"/>
    <cellStyle name="Normal 88 2 2 3 2 3" xfId="13371" xr:uid="{00000000-0005-0000-0000-0000053E0000}"/>
    <cellStyle name="Normal 88 2 2 3 3" xfId="6106" xr:uid="{00000000-0005-0000-0000-0000063E0000}"/>
    <cellStyle name="Normal 88 2 2 3 3 2" xfId="15147" xr:uid="{00000000-0005-0000-0000-0000073E0000}"/>
    <cellStyle name="Normal 88 2 2 3 4" xfId="10634" xr:uid="{00000000-0005-0000-0000-0000083E0000}"/>
    <cellStyle name="Normal 88 2 2 4" xfId="4326" xr:uid="{00000000-0005-0000-0000-0000093E0000}"/>
    <cellStyle name="Normal 88 2 2 4 2" xfId="8840" xr:uid="{00000000-0005-0000-0000-00000A3E0000}"/>
    <cellStyle name="Normal 88 2 2 4 2 2" xfId="17881" xr:uid="{00000000-0005-0000-0000-00000B3E0000}"/>
    <cellStyle name="Normal 88 2 2 4 3" xfId="13368" xr:uid="{00000000-0005-0000-0000-00000C3E0000}"/>
    <cellStyle name="Normal 88 2 2 5" xfId="4978" xr:uid="{00000000-0005-0000-0000-00000D3E0000}"/>
    <cellStyle name="Normal 88 2 2 5 2" xfId="14019" xr:uid="{00000000-0005-0000-0000-00000E3E0000}"/>
    <cellStyle name="Normal 88 2 2 6" xfId="9506" xr:uid="{00000000-0005-0000-0000-00000F3E0000}"/>
    <cellStyle name="Normal 88 2 3" xfId="601" xr:uid="{00000000-0005-0000-0000-0000103E0000}"/>
    <cellStyle name="Normal 88 2 3 2" xfId="1165" xr:uid="{00000000-0005-0000-0000-0000113E0000}"/>
    <cellStyle name="Normal 88 2 3 2 2" xfId="2335" xr:uid="{00000000-0005-0000-0000-0000123E0000}"/>
    <cellStyle name="Normal 88 2 3 2 2 2" xfId="4332" xr:uid="{00000000-0005-0000-0000-0000133E0000}"/>
    <cellStyle name="Normal 88 2 3 2 2 2 2" xfId="8846" xr:uid="{00000000-0005-0000-0000-0000143E0000}"/>
    <cellStyle name="Normal 88 2 3 2 2 2 2 2" xfId="17887" xr:uid="{00000000-0005-0000-0000-0000153E0000}"/>
    <cellStyle name="Normal 88 2 3 2 2 2 3" xfId="13374" xr:uid="{00000000-0005-0000-0000-0000163E0000}"/>
    <cellStyle name="Normal 88 2 3 2 2 3" xfId="6858" xr:uid="{00000000-0005-0000-0000-0000173E0000}"/>
    <cellStyle name="Normal 88 2 3 2 2 3 2" xfId="15899" xr:uid="{00000000-0005-0000-0000-0000183E0000}"/>
    <cellStyle name="Normal 88 2 3 2 2 4" xfId="11386" xr:uid="{00000000-0005-0000-0000-0000193E0000}"/>
    <cellStyle name="Normal 88 2 3 2 3" xfId="4331" xr:uid="{00000000-0005-0000-0000-00001A3E0000}"/>
    <cellStyle name="Normal 88 2 3 2 3 2" xfId="8845" xr:uid="{00000000-0005-0000-0000-00001B3E0000}"/>
    <cellStyle name="Normal 88 2 3 2 3 2 2" xfId="17886" xr:uid="{00000000-0005-0000-0000-00001C3E0000}"/>
    <cellStyle name="Normal 88 2 3 2 3 3" xfId="13373" xr:uid="{00000000-0005-0000-0000-00001D3E0000}"/>
    <cellStyle name="Normal 88 2 3 2 4" xfId="5730" xr:uid="{00000000-0005-0000-0000-00001E3E0000}"/>
    <cellStyle name="Normal 88 2 3 2 4 2" xfId="14771" xr:uid="{00000000-0005-0000-0000-00001F3E0000}"/>
    <cellStyle name="Normal 88 2 3 2 5" xfId="10258" xr:uid="{00000000-0005-0000-0000-0000203E0000}"/>
    <cellStyle name="Normal 88 2 3 3" xfId="1771" xr:uid="{00000000-0005-0000-0000-0000213E0000}"/>
    <cellStyle name="Normal 88 2 3 3 2" xfId="4333" xr:uid="{00000000-0005-0000-0000-0000223E0000}"/>
    <cellStyle name="Normal 88 2 3 3 2 2" xfId="8847" xr:uid="{00000000-0005-0000-0000-0000233E0000}"/>
    <cellStyle name="Normal 88 2 3 3 2 2 2" xfId="17888" xr:uid="{00000000-0005-0000-0000-0000243E0000}"/>
    <cellStyle name="Normal 88 2 3 3 2 3" xfId="13375" xr:uid="{00000000-0005-0000-0000-0000253E0000}"/>
    <cellStyle name="Normal 88 2 3 3 3" xfId="6294" xr:uid="{00000000-0005-0000-0000-0000263E0000}"/>
    <cellStyle name="Normal 88 2 3 3 3 2" xfId="15335" xr:uid="{00000000-0005-0000-0000-0000273E0000}"/>
    <cellStyle name="Normal 88 2 3 3 4" xfId="10822" xr:uid="{00000000-0005-0000-0000-0000283E0000}"/>
    <cellStyle name="Normal 88 2 3 4" xfId="4330" xr:uid="{00000000-0005-0000-0000-0000293E0000}"/>
    <cellStyle name="Normal 88 2 3 4 2" xfId="8844" xr:uid="{00000000-0005-0000-0000-00002A3E0000}"/>
    <cellStyle name="Normal 88 2 3 4 2 2" xfId="17885" xr:uid="{00000000-0005-0000-0000-00002B3E0000}"/>
    <cellStyle name="Normal 88 2 3 4 3" xfId="13372" xr:uid="{00000000-0005-0000-0000-00002C3E0000}"/>
    <cellStyle name="Normal 88 2 3 5" xfId="5166" xr:uid="{00000000-0005-0000-0000-00002D3E0000}"/>
    <cellStyle name="Normal 88 2 3 5 2" xfId="14207" xr:uid="{00000000-0005-0000-0000-00002E3E0000}"/>
    <cellStyle name="Normal 88 2 3 6" xfId="9694" xr:uid="{00000000-0005-0000-0000-00002F3E0000}"/>
    <cellStyle name="Normal 88 2 4" xfId="789" xr:uid="{00000000-0005-0000-0000-0000303E0000}"/>
    <cellStyle name="Normal 88 2 4 2" xfId="1959" xr:uid="{00000000-0005-0000-0000-0000313E0000}"/>
    <cellStyle name="Normal 88 2 4 2 2" xfId="4335" xr:uid="{00000000-0005-0000-0000-0000323E0000}"/>
    <cellStyle name="Normal 88 2 4 2 2 2" xfId="8849" xr:uid="{00000000-0005-0000-0000-0000333E0000}"/>
    <cellStyle name="Normal 88 2 4 2 2 2 2" xfId="17890" xr:uid="{00000000-0005-0000-0000-0000343E0000}"/>
    <cellStyle name="Normal 88 2 4 2 2 3" xfId="13377" xr:uid="{00000000-0005-0000-0000-0000353E0000}"/>
    <cellStyle name="Normal 88 2 4 2 3" xfId="6482" xr:uid="{00000000-0005-0000-0000-0000363E0000}"/>
    <cellStyle name="Normal 88 2 4 2 3 2" xfId="15523" xr:uid="{00000000-0005-0000-0000-0000373E0000}"/>
    <cellStyle name="Normal 88 2 4 2 4" xfId="11010" xr:uid="{00000000-0005-0000-0000-0000383E0000}"/>
    <cellStyle name="Normal 88 2 4 3" xfId="4334" xr:uid="{00000000-0005-0000-0000-0000393E0000}"/>
    <cellStyle name="Normal 88 2 4 3 2" xfId="8848" xr:uid="{00000000-0005-0000-0000-00003A3E0000}"/>
    <cellStyle name="Normal 88 2 4 3 2 2" xfId="17889" xr:uid="{00000000-0005-0000-0000-00003B3E0000}"/>
    <cellStyle name="Normal 88 2 4 3 3" xfId="13376" xr:uid="{00000000-0005-0000-0000-00003C3E0000}"/>
    <cellStyle name="Normal 88 2 4 4" xfId="5354" xr:uid="{00000000-0005-0000-0000-00003D3E0000}"/>
    <cellStyle name="Normal 88 2 4 4 2" xfId="14395" xr:uid="{00000000-0005-0000-0000-00003E3E0000}"/>
    <cellStyle name="Normal 88 2 4 5" xfId="9882" xr:uid="{00000000-0005-0000-0000-00003F3E0000}"/>
    <cellStyle name="Normal 88 2 5" xfId="1395" xr:uid="{00000000-0005-0000-0000-0000403E0000}"/>
    <cellStyle name="Normal 88 2 5 2" xfId="4336" xr:uid="{00000000-0005-0000-0000-0000413E0000}"/>
    <cellStyle name="Normal 88 2 5 2 2" xfId="8850" xr:uid="{00000000-0005-0000-0000-0000423E0000}"/>
    <cellStyle name="Normal 88 2 5 2 2 2" xfId="17891" xr:uid="{00000000-0005-0000-0000-0000433E0000}"/>
    <cellStyle name="Normal 88 2 5 2 3" xfId="13378" xr:uid="{00000000-0005-0000-0000-0000443E0000}"/>
    <cellStyle name="Normal 88 2 5 3" xfId="5918" xr:uid="{00000000-0005-0000-0000-0000453E0000}"/>
    <cellStyle name="Normal 88 2 5 3 2" xfId="14959" xr:uid="{00000000-0005-0000-0000-0000463E0000}"/>
    <cellStyle name="Normal 88 2 5 4" xfId="10446" xr:uid="{00000000-0005-0000-0000-0000473E0000}"/>
    <cellStyle name="Normal 88 2 6" xfId="4325" xr:uid="{00000000-0005-0000-0000-0000483E0000}"/>
    <cellStyle name="Normal 88 2 6 2" xfId="8839" xr:uid="{00000000-0005-0000-0000-0000493E0000}"/>
    <cellStyle name="Normal 88 2 6 2 2" xfId="17880" xr:uid="{00000000-0005-0000-0000-00004A3E0000}"/>
    <cellStyle name="Normal 88 2 6 3" xfId="13367" xr:uid="{00000000-0005-0000-0000-00004B3E0000}"/>
    <cellStyle name="Normal 88 2 7" xfId="4790" xr:uid="{00000000-0005-0000-0000-00004C3E0000}"/>
    <cellStyle name="Normal 88 2 7 2" xfId="13831" xr:uid="{00000000-0005-0000-0000-00004D3E0000}"/>
    <cellStyle name="Normal 88 2 8" xfId="9318" xr:uid="{00000000-0005-0000-0000-00004E3E0000}"/>
    <cellStyle name="Normal 88 3" xfId="319" xr:uid="{00000000-0005-0000-0000-00004F3E0000}"/>
    <cellStyle name="Normal 88 3 2" xfId="883" xr:uid="{00000000-0005-0000-0000-0000503E0000}"/>
    <cellStyle name="Normal 88 3 2 2" xfId="2053" xr:uid="{00000000-0005-0000-0000-0000513E0000}"/>
    <cellStyle name="Normal 88 3 2 2 2" xfId="4339" xr:uid="{00000000-0005-0000-0000-0000523E0000}"/>
    <cellStyle name="Normal 88 3 2 2 2 2" xfId="8853" xr:uid="{00000000-0005-0000-0000-0000533E0000}"/>
    <cellStyle name="Normal 88 3 2 2 2 2 2" xfId="17894" xr:uid="{00000000-0005-0000-0000-0000543E0000}"/>
    <cellStyle name="Normal 88 3 2 2 2 3" xfId="13381" xr:uid="{00000000-0005-0000-0000-0000553E0000}"/>
    <cellStyle name="Normal 88 3 2 2 3" xfId="6576" xr:uid="{00000000-0005-0000-0000-0000563E0000}"/>
    <cellStyle name="Normal 88 3 2 2 3 2" xfId="15617" xr:uid="{00000000-0005-0000-0000-0000573E0000}"/>
    <cellStyle name="Normal 88 3 2 2 4" xfId="11104" xr:uid="{00000000-0005-0000-0000-0000583E0000}"/>
    <cellStyle name="Normal 88 3 2 3" xfId="4338" xr:uid="{00000000-0005-0000-0000-0000593E0000}"/>
    <cellStyle name="Normal 88 3 2 3 2" xfId="8852" xr:uid="{00000000-0005-0000-0000-00005A3E0000}"/>
    <cellStyle name="Normal 88 3 2 3 2 2" xfId="17893" xr:uid="{00000000-0005-0000-0000-00005B3E0000}"/>
    <cellStyle name="Normal 88 3 2 3 3" xfId="13380" xr:uid="{00000000-0005-0000-0000-00005C3E0000}"/>
    <cellStyle name="Normal 88 3 2 4" xfId="5448" xr:uid="{00000000-0005-0000-0000-00005D3E0000}"/>
    <cellStyle name="Normal 88 3 2 4 2" xfId="14489" xr:uid="{00000000-0005-0000-0000-00005E3E0000}"/>
    <cellStyle name="Normal 88 3 2 5" xfId="9976" xr:uid="{00000000-0005-0000-0000-00005F3E0000}"/>
    <cellStyle name="Normal 88 3 3" xfId="1489" xr:uid="{00000000-0005-0000-0000-0000603E0000}"/>
    <cellStyle name="Normal 88 3 3 2" xfId="4340" xr:uid="{00000000-0005-0000-0000-0000613E0000}"/>
    <cellStyle name="Normal 88 3 3 2 2" xfId="8854" xr:uid="{00000000-0005-0000-0000-0000623E0000}"/>
    <cellStyle name="Normal 88 3 3 2 2 2" xfId="17895" xr:uid="{00000000-0005-0000-0000-0000633E0000}"/>
    <cellStyle name="Normal 88 3 3 2 3" xfId="13382" xr:uid="{00000000-0005-0000-0000-0000643E0000}"/>
    <cellStyle name="Normal 88 3 3 3" xfId="6012" xr:uid="{00000000-0005-0000-0000-0000653E0000}"/>
    <cellStyle name="Normal 88 3 3 3 2" xfId="15053" xr:uid="{00000000-0005-0000-0000-0000663E0000}"/>
    <cellStyle name="Normal 88 3 3 4" xfId="10540" xr:uid="{00000000-0005-0000-0000-0000673E0000}"/>
    <cellStyle name="Normal 88 3 4" xfId="4337" xr:uid="{00000000-0005-0000-0000-0000683E0000}"/>
    <cellStyle name="Normal 88 3 4 2" xfId="8851" xr:uid="{00000000-0005-0000-0000-0000693E0000}"/>
    <cellStyle name="Normal 88 3 4 2 2" xfId="17892" xr:uid="{00000000-0005-0000-0000-00006A3E0000}"/>
    <cellStyle name="Normal 88 3 4 3" xfId="13379" xr:uid="{00000000-0005-0000-0000-00006B3E0000}"/>
    <cellStyle name="Normal 88 3 5" xfId="4884" xr:uid="{00000000-0005-0000-0000-00006C3E0000}"/>
    <cellStyle name="Normal 88 3 5 2" xfId="13925" xr:uid="{00000000-0005-0000-0000-00006D3E0000}"/>
    <cellStyle name="Normal 88 3 6" xfId="9412" xr:uid="{00000000-0005-0000-0000-00006E3E0000}"/>
    <cellStyle name="Normal 88 4" xfId="507" xr:uid="{00000000-0005-0000-0000-00006F3E0000}"/>
    <cellStyle name="Normal 88 4 2" xfId="1071" xr:uid="{00000000-0005-0000-0000-0000703E0000}"/>
    <cellStyle name="Normal 88 4 2 2" xfId="2241" xr:uid="{00000000-0005-0000-0000-0000713E0000}"/>
    <cellStyle name="Normal 88 4 2 2 2" xfId="4343" xr:uid="{00000000-0005-0000-0000-0000723E0000}"/>
    <cellStyle name="Normal 88 4 2 2 2 2" xfId="8857" xr:uid="{00000000-0005-0000-0000-0000733E0000}"/>
    <cellStyle name="Normal 88 4 2 2 2 2 2" xfId="17898" xr:uid="{00000000-0005-0000-0000-0000743E0000}"/>
    <cellStyle name="Normal 88 4 2 2 2 3" xfId="13385" xr:uid="{00000000-0005-0000-0000-0000753E0000}"/>
    <cellStyle name="Normal 88 4 2 2 3" xfId="6764" xr:uid="{00000000-0005-0000-0000-0000763E0000}"/>
    <cellStyle name="Normal 88 4 2 2 3 2" xfId="15805" xr:uid="{00000000-0005-0000-0000-0000773E0000}"/>
    <cellStyle name="Normal 88 4 2 2 4" xfId="11292" xr:uid="{00000000-0005-0000-0000-0000783E0000}"/>
    <cellStyle name="Normal 88 4 2 3" xfId="4342" xr:uid="{00000000-0005-0000-0000-0000793E0000}"/>
    <cellStyle name="Normal 88 4 2 3 2" xfId="8856" xr:uid="{00000000-0005-0000-0000-00007A3E0000}"/>
    <cellStyle name="Normal 88 4 2 3 2 2" xfId="17897" xr:uid="{00000000-0005-0000-0000-00007B3E0000}"/>
    <cellStyle name="Normal 88 4 2 3 3" xfId="13384" xr:uid="{00000000-0005-0000-0000-00007C3E0000}"/>
    <cellStyle name="Normal 88 4 2 4" xfId="5636" xr:uid="{00000000-0005-0000-0000-00007D3E0000}"/>
    <cellStyle name="Normal 88 4 2 4 2" xfId="14677" xr:uid="{00000000-0005-0000-0000-00007E3E0000}"/>
    <cellStyle name="Normal 88 4 2 5" xfId="10164" xr:uid="{00000000-0005-0000-0000-00007F3E0000}"/>
    <cellStyle name="Normal 88 4 3" xfId="1677" xr:uid="{00000000-0005-0000-0000-0000803E0000}"/>
    <cellStyle name="Normal 88 4 3 2" xfId="4344" xr:uid="{00000000-0005-0000-0000-0000813E0000}"/>
    <cellStyle name="Normal 88 4 3 2 2" xfId="8858" xr:uid="{00000000-0005-0000-0000-0000823E0000}"/>
    <cellStyle name="Normal 88 4 3 2 2 2" xfId="17899" xr:uid="{00000000-0005-0000-0000-0000833E0000}"/>
    <cellStyle name="Normal 88 4 3 2 3" xfId="13386" xr:uid="{00000000-0005-0000-0000-0000843E0000}"/>
    <cellStyle name="Normal 88 4 3 3" xfId="6200" xr:uid="{00000000-0005-0000-0000-0000853E0000}"/>
    <cellStyle name="Normal 88 4 3 3 2" xfId="15241" xr:uid="{00000000-0005-0000-0000-0000863E0000}"/>
    <cellStyle name="Normal 88 4 3 4" xfId="10728" xr:uid="{00000000-0005-0000-0000-0000873E0000}"/>
    <cellStyle name="Normal 88 4 4" xfId="4341" xr:uid="{00000000-0005-0000-0000-0000883E0000}"/>
    <cellStyle name="Normal 88 4 4 2" xfId="8855" xr:uid="{00000000-0005-0000-0000-0000893E0000}"/>
    <cellStyle name="Normal 88 4 4 2 2" xfId="17896" xr:uid="{00000000-0005-0000-0000-00008A3E0000}"/>
    <cellStyle name="Normal 88 4 4 3" xfId="13383" xr:uid="{00000000-0005-0000-0000-00008B3E0000}"/>
    <cellStyle name="Normal 88 4 5" xfId="5072" xr:uid="{00000000-0005-0000-0000-00008C3E0000}"/>
    <cellStyle name="Normal 88 4 5 2" xfId="14113" xr:uid="{00000000-0005-0000-0000-00008D3E0000}"/>
    <cellStyle name="Normal 88 4 6" xfId="9600" xr:uid="{00000000-0005-0000-0000-00008E3E0000}"/>
    <cellStyle name="Normal 88 5" xfId="695" xr:uid="{00000000-0005-0000-0000-00008F3E0000}"/>
    <cellStyle name="Normal 88 5 2" xfId="1865" xr:uid="{00000000-0005-0000-0000-0000903E0000}"/>
    <cellStyle name="Normal 88 5 2 2" xfId="4346" xr:uid="{00000000-0005-0000-0000-0000913E0000}"/>
    <cellStyle name="Normal 88 5 2 2 2" xfId="8860" xr:uid="{00000000-0005-0000-0000-0000923E0000}"/>
    <cellStyle name="Normal 88 5 2 2 2 2" xfId="17901" xr:uid="{00000000-0005-0000-0000-0000933E0000}"/>
    <cellStyle name="Normal 88 5 2 2 3" xfId="13388" xr:uid="{00000000-0005-0000-0000-0000943E0000}"/>
    <cellStyle name="Normal 88 5 2 3" xfId="6388" xr:uid="{00000000-0005-0000-0000-0000953E0000}"/>
    <cellStyle name="Normal 88 5 2 3 2" xfId="15429" xr:uid="{00000000-0005-0000-0000-0000963E0000}"/>
    <cellStyle name="Normal 88 5 2 4" xfId="10916" xr:uid="{00000000-0005-0000-0000-0000973E0000}"/>
    <cellStyle name="Normal 88 5 3" xfId="4345" xr:uid="{00000000-0005-0000-0000-0000983E0000}"/>
    <cellStyle name="Normal 88 5 3 2" xfId="8859" xr:uid="{00000000-0005-0000-0000-0000993E0000}"/>
    <cellStyle name="Normal 88 5 3 2 2" xfId="17900" xr:uid="{00000000-0005-0000-0000-00009A3E0000}"/>
    <cellStyle name="Normal 88 5 3 3" xfId="13387" xr:uid="{00000000-0005-0000-0000-00009B3E0000}"/>
    <cellStyle name="Normal 88 5 4" xfId="5260" xr:uid="{00000000-0005-0000-0000-00009C3E0000}"/>
    <cellStyle name="Normal 88 5 4 2" xfId="14301" xr:uid="{00000000-0005-0000-0000-00009D3E0000}"/>
    <cellStyle name="Normal 88 5 5" xfId="9788" xr:uid="{00000000-0005-0000-0000-00009E3E0000}"/>
    <cellStyle name="Normal 88 6" xfId="1301" xr:uid="{00000000-0005-0000-0000-00009F3E0000}"/>
    <cellStyle name="Normal 88 6 2" xfId="4347" xr:uid="{00000000-0005-0000-0000-0000A03E0000}"/>
    <cellStyle name="Normal 88 6 2 2" xfId="8861" xr:uid="{00000000-0005-0000-0000-0000A13E0000}"/>
    <cellStyle name="Normal 88 6 2 2 2" xfId="17902" xr:uid="{00000000-0005-0000-0000-0000A23E0000}"/>
    <cellStyle name="Normal 88 6 2 3" xfId="13389" xr:uid="{00000000-0005-0000-0000-0000A33E0000}"/>
    <cellStyle name="Normal 88 6 3" xfId="5824" xr:uid="{00000000-0005-0000-0000-0000A43E0000}"/>
    <cellStyle name="Normal 88 6 3 2" xfId="14865" xr:uid="{00000000-0005-0000-0000-0000A53E0000}"/>
    <cellStyle name="Normal 88 6 4" xfId="10352" xr:uid="{00000000-0005-0000-0000-0000A63E0000}"/>
    <cellStyle name="Normal 88 7" xfId="4324" xr:uid="{00000000-0005-0000-0000-0000A73E0000}"/>
    <cellStyle name="Normal 88 7 2" xfId="8838" xr:uid="{00000000-0005-0000-0000-0000A83E0000}"/>
    <cellStyle name="Normal 88 7 2 2" xfId="17879" xr:uid="{00000000-0005-0000-0000-0000A93E0000}"/>
    <cellStyle name="Normal 88 7 3" xfId="13366" xr:uid="{00000000-0005-0000-0000-0000AA3E0000}"/>
    <cellStyle name="Normal 88 8" xfId="4696" xr:uid="{00000000-0005-0000-0000-0000AB3E0000}"/>
    <cellStyle name="Normal 88 8 2" xfId="13737" xr:uid="{00000000-0005-0000-0000-0000AC3E0000}"/>
    <cellStyle name="Normal 88 9" xfId="9224" xr:uid="{00000000-0005-0000-0000-0000AD3E0000}"/>
    <cellStyle name="Normal 89" xfId="89" xr:uid="{00000000-0005-0000-0000-0000AE3E0000}"/>
    <cellStyle name="Normal 89 2" xfId="185" xr:uid="{00000000-0005-0000-0000-0000AF3E0000}"/>
    <cellStyle name="Normal 89 2 2" xfId="414" xr:uid="{00000000-0005-0000-0000-0000B03E0000}"/>
    <cellStyle name="Normal 89 2 2 2" xfId="978" xr:uid="{00000000-0005-0000-0000-0000B13E0000}"/>
    <cellStyle name="Normal 89 2 2 2 2" xfId="2148" xr:uid="{00000000-0005-0000-0000-0000B23E0000}"/>
    <cellStyle name="Normal 89 2 2 2 2 2" xfId="4352" xr:uid="{00000000-0005-0000-0000-0000B33E0000}"/>
    <cellStyle name="Normal 89 2 2 2 2 2 2" xfId="8866" xr:uid="{00000000-0005-0000-0000-0000B43E0000}"/>
    <cellStyle name="Normal 89 2 2 2 2 2 2 2" xfId="17907" xr:uid="{00000000-0005-0000-0000-0000B53E0000}"/>
    <cellStyle name="Normal 89 2 2 2 2 2 3" xfId="13394" xr:uid="{00000000-0005-0000-0000-0000B63E0000}"/>
    <cellStyle name="Normal 89 2 2 2 2 3" xfId="6671" xr:uid="{00000000-0005-0000-0000-0000B73E0000}"/>
    <cellStyle name="Normal 89 2 2 2 2 3 2" xfId="15712" xr:uid="{00000000-0005-0000-0000-0000B83E0000}"/>
    <cellStyle name="Normal 89 2 2 2 2 4" xfId="11199" xr:uid="{00000000-0005-0000-0000-0000B93E0000}"/>
    <cellStyle name="Normal 89 2 2 2 3" xfId="4351" xr:uid="{00000000-0005-0000-0000-0000BA3E0000}"/>
    <cellStyle name="Normal 89 2 2 2 3 2" xfId="8865" xr:uid="{00000000-0005-0000-0000-0000BB3E0000}"/>
    <cellStyle name="Normal 89 2 2 2 3 2 2" xfId="17906" xr:uid="{00000000-0005-0000-0000-0000BC3E0000}"/>
    <cellStyle name="Normal 89 2 2 2 3 3" xfId="13393" xr:uid="{00000000-0005-0000-0000-0000BD3E0000}"/>
    <cellStyle name="Normal 89 2 2 2 4" xfId="5543" xr:uid="{00000000-0005-0000-0000-0000BE3E0000}"/>
    <cellStyle name="Normal 89 2 2 2 4 2" xfId="14584" xr:uid="{00000000-0005-0000-0000-0000BF3E0000}"/>
    <cellStyle name="Normal 89 2 2 2 5" xfId="10071" xr:uid="{00000000-0005-0000-0000-0000C03E0000}"/>
    <cellStyle name="Normal 89 2 2 3" xfId="1584" xr:uid="{00000000-0005-0000-0000-0000C13E0000}"/>
    <cellStyle name="Normal 89 2 2 3 2" xfId="4353" xr:uid="{00000000-0005-0000-0000-0000C23E0000}"/>
    <cellStyle name="Normal 89 2 2 3 2 2" xfId="8867" xr:uid="{00000000-0005-0000-0000-0000C33E0000}"/>
    <cellStyle name="Normal 89 2 2 3 2 2 2" xfId="17908" xr:uid="{00000000-0005-0000-0000-0000C43E0000}"/>
    <cellStyle name="Normal 89 2 2 3 2 3" xfId="13395" xr:uid="{00000000-0005-0000-0000-0000C53E0000}"/>
    <cellStyle name="Normal 89 2 2 3 3" xfId="6107" xr:uid="{00000000-0005-0000-0000-0000C63E0000}"/>
    <cellStyle name="Normal 89 2 2 3 3 2" xfId="15148" xr:uid="{00000000-0005-0000-0000-0000C73E0000}"/>
    <cellStyle name="Normal 89 2 2 3 4" xfId="10635" xr:uid="{00000000-0005-0000-0000-0000C83E0000}"/>
    <cellStyle name="Normal 89 2 2 4" xfId="4350" xr:uid="{00000000-0005-0000-0000-0000C93E0000}"/>
    <cellStyle name="Normal 89 2 2 4 2" xfId="8864" xr:uid="{00000000-0005-0000-0000-0000CA3E0000}"/>
    <cellStyle name="Normal 89 2 2 4 2 2" xfId="17905" xr:uid="{00000000-0005-0000-0000-0000CB3E0000}"/>
    <cellStyle name="Normal 89 2 2 4 3" xfId="13392" xr:uid="{00000000-0005-0000-0000-0000CC3E0000}"/>
    <cellStyle name="Normal 89 2 2 5" xfId="4979" xr:uid="{00000000-0005-0000-0000-0000CD3E0000}"/>
    <cellStyle name="Normal 89 2 2 5 2" xfId="14020" xr:uid="{00000000-0005-0000-0000-0000CE3E0000}"/>
    <cellStyle name="Normal 89 2 2 6" xfId="9507" xr:uid="{00000000-0005-0000-0000-0000CF3E0000}"/>
    <cellStyle name="Normal 89 2 3" xfId="602" xr:uid="{00000000-0005-0000-0000-0000D03E0000}"/>
    <cellStyle name="Normal 89 2 3 2" xfId="1166" xr:uid="{00000000-0005-0000-0000-0000D13E0000}"/>
    <cellStyle name="Normal 89 2 3 2 2" xfId="2336" xr:uid="{00000000-0005-0000-0000-0000D23E0000}"/>
    <cellStyle name="Normal 89 2 3 2 2 2" xfId="4356" xr:uid="{00000000-0005-0000-0000-0000D33E0000}"/>
    <cellStyle name="Normal 89 2 3 2 2 2 2" xfId="8870" xr:uid="{00000000-0005-0000-0000-0000D43E0000}"/>
    <cellStyle name="Normal 89 2 3 2 2 2 2 2" xfId="17911" xr:uid="{00000000-0005-0000-0000-0000D53E0000}"/>
    <cellStyle name="Normal 89 2 3 2 2 2 3" xfId="13398" xr:uid="{00000000-0005-0000-0000-0000D63E0000}"/>
    <cellStyle name="Normal 89 2 3 2 2 3" xfId="6859" xr:uid="{00000000-0005-0000-0000-0000D73E0000}"/>
    <cellStyle name="Normal 89 2 3 2 2 3 2" xfId="15900" xr:uid="{00000000-0005-0000-0000-0000D83E0000}"/>
    <cellStyle name="Normal 89 2 3 2 2 4" xfId="11387" xr:uid="{00000000-0005-0000-0000-0000D93E0000}"/>
    <cellStyle name="Normal 89 2 3 2 3" xfId="4355" xr:uid="{00000000-0005-0000-0000-0000DA3E0000}"/>
    <cellStyle name="Normal 89 2 3 2 3 2" xfId="8869" xr:uid="{00000000-0005-0000-0000-0000DB3E0000}"/>
    <cellStyle name="Normal 89 2 3 2 3 2 2" xfId="17910" xr:uid="{00000000-0005-0000-0000-0000DC3E0000}"/>
    <cellStyle name="Normal 89 2 3 2 3 3" xfId="13397" xr:uid="{00000000-0005-0000-0000-0000DD3E0000}"/>
    <cellStyle name="Normal 89 2 3 2 4" xfId="5731" xr:uid="{00000000-0005-0000-0000-0000DE3E0000}"/>
    <cellStyle name="Normal 89 2 3 2 4 2" xfId="14772" xr:uid="{00000000-0005-0000-0000-0000DF3E0000}"/>
    <cellStyle name="Normal 89 2 3 2 5" xfId="10259" xr:uid="{00000000-0005-0000-0000-0000E03E0000}"/>
    <cellStyle name="Normal 89 2 3 3" xfId="1772" xr:uid="{00000000-0005-0000-0000-0000E13E0000}"/>
    <cellStyle name="Normal 89 2 3 3 2" xfId="4357" xr:uid="{00000000-0005-0000-0000-0000E23E0000}"/>
    <cellStyle name="Normal 89 2 3 3 2 2" xfId="8871" xr:uid="{00000000-0005-0000-0000-0000E33E0000}"/>
    <cellStyle name="Normal 89 2 3 3 2 2 2" xfId="17912" xr:uid="{00000000-0005-0000-0000-0000E43E0000}"/>
    <cellStyle name="Normal 89 2 3 3 2 3" xfId="13399" xr:uid="{00000000-0005-0000-0000-0000E53E0000}"/>
    <cellStyle name="Normal 89 2 3 3 3" xfId="6295" xr:uid="{00000000-0005-0000-0000-0000E63E0000}"/>
    <cellStyle name="Normal 89 2 3 3 3 2" xfId="15336" xr:uid="{00000000-0005-0000-0000-0000E73E0000}"/>
    <cellStyle name="Normal 89 2 3 3 4" xfId="10823" xr:uid="{00000000-0005-0000-0000-0000E83E0000}"/>
    <cellStyle name="Normal 89 2 3 4" xfId="4354" xr:uid="{00000000-0005-0000-0000-0000E93E0000}"/>
    <cellStyle name="Normal 89 2 3 4 2" xfId="8868" xr:uid="{00000000-0005-0000-0000-0000EA3E0000}"/>
    <cellStyle name="Normal 89 2 3 4 2 2" xfId="17909" xr:uid="{00000000-0005-0000-0000-0000EB3E0000}"/>
    <cellStyle name="Normal 89 2 3 4 3" xfId="13396" xr:uid="{00000000-0005-0000-0000-0000EC3E0000}"/>
    <cellStyle name="Normal 89 2 3 5" xfId="5167" xr:uid="{00000000-0005-0000-0000-0000ED3E0000}"/>
    <cellStyle name="Normal 89 2 3 5 2" xfId="14208" xr:uid="{00000000-0005-0000-0000-0000EE3E0000}"/>
    <cellStyle name="Normal 89 2 3 6" xfId="9695" xr:uid="{00000000-0005-0000-0000-0000EF3E0000}"/>
    <cellStyle name="Normal 89 2 4" xfId="790" xr:uid="{00000000-0005-0000-0000-0000F03E0000}"/>
    <cellStyle name="Normal 89 2 4 2" xfId="1960" xr:uid="{00000000-0005-0000-0000-0000F13E0000}"/>
    <cellStyle name="Normal 89 2 4 2 2" xfId="4359" xr:uid="{00000000-0005-0000-0000-0000F23E0000}"/>
    <cellStyle name="Normal 89 2 4 2 2 2" xfId="8873" xr:uid="{00000000-0005-0000-0000-0000F33E0000}"/>
    <cellStyle name="Normal 89 2 4 2 2 2 2" xfId="17914" xr:uid="{00000000-0005-0000-0000-0000F43E0000}"/>
    <cellStyle name="Normal 89 2 4 2 2 3" xfId="13401" xr:uid="{00000000-0005-0000-0000-0000F53E0000}"/>
    <cellStyle name="Normal 89 2 4 2 3" xfId="6483" xr:uid="{00000000-0005-0000-0000-0000F63E0000}"/>
    <cellStyle name="Normal 89 2 4 2 3 2" xfId="15524" xr:uid="{00000000-0005-0000-0000-0000F73E0000}"/>
    <cellStyle name="Normal 89 2 4 2 4" xfId="11011" xr:uid="{00000000-0005-0000-0000-0000F83E0000}"/>
    <cellStyle name="Normal 89 2 4 3" xfId="4358" xr:uid="{00000000-0005-0000-0000-0000F93E0000}"/>
    <cellStyle name="Normal 89 2 4 3 2" xfId="8872" xr:uid="{00000000-0005-0000-0000-0000FA3E0000}"/>
    <cellStyle name="Normal 89 2 4 3 2 2" xfId="17913" xr:uid="{00000000-0005-0000-0000-0000FB3E0000}"/>
    <cellStyle name="Normal 89 2 4 3 3" xfId="13400" xr:uid="{00000000-0005-0000-0000-0000FC3E0000}"/>
    <cellStyle name="Normal 89 2 4 4" xfId="5355" xr:uid="{00000000-0005-0000-0000-0000FD3E0000}"/>
    <cellStyle name="Normal 89 2 4 4 2" xfId="14396" xr:uid="{00000000-0005-0000-0000-0000FE3E0000}"/>
    <cellStyle name="Normal 89 2 4 5" xfId="9883" xr:uid="{00000000-0005-0000-0000-0000FF3E0000}"/>
    <cellStyle name="Normal 89 2 5" xfId="1396" xr:uid="{00000000-0005-0000-0000-0000003F0000}"/>
    <cellStyle name="Normal 89 2 5 2" xfId="4360" xr:uid="{00000000-0005-0000-0000-0000013F0000}"/>
    <cellStyle name="Normal 89 2 5 2 2" xfId="8874" xr:uid="{00000000-0005-0000-0000-0000023F0000}"/>
    <cellStyle name="Normal 89 2 5 2 2 2" xfId="17915" xr:uid="{00000000-0005-0000-0000-0000033F0000}"/>
    <cellStyle name="Normal 89 2 5 2 3" xfId="13402" xr:uid="{00000000-0005-0000-0000-0000043F0000}"/>
    <cellStyle name="Normal 89 2 5 3" xfId="5919" xr:uid="{00000000-0005-0000-0000-0000053F0000}"/>
    <cellStyle name="Normal 89 2 5 3 2" xfId="14960" xr:uid="{00000000-0005-0000-0000-0000063F0000}"/>
    <cellStyle name="Normal 89 2 5 4" xfId="10447" xr:uid="{00000000-0005-0000-0000-0000073F0000}"/>
    <cellStyle name="Normal 89 2 6" xfId="4349" xr:uid="{00000000-0005-0000-0000-0000083F0000}"/>
    <cellStyle name="Normal 89 2 6 2" xfId="8863" xr:uid="{00000000-0005-0000-0000-0000093F0000}"/>
    <cellStyle name="Normal 89 2 6 2 2" xfId="17904" xr:uid="{00000000-0005-0000-0000-00000A3F0000}"/>
    <cellStyle name="Normal 89 2 6 3" xfId="13391" xr:uid="{00000000-0005-0000-0000-00000B3F0000}"/>
    <cellStyle name="Normal 89 2 7" xfId="4791" xr:uid="{00000000-0005-0000-0000-00000C3F0000}"/>
    <cellStyle name="Normal 89 2 7 2" xfId="13832" xr:uid="{00000000-0005-0000-0000-00000D3F0000}"/>
    <cellStyle name="Normal 89 2 8" xfId="9319" xr:uid="{00000000-0005-0000-0000-00000E3F0000}"/>
    <cellStyle name="Normal 89 3" xfId="320" xr:uid="{00000000-0005-0000-0000-00000F3F0000}"/>
    <cellStyle name="Normal 89 3 2" xfId="884" xr:uid="{00000000-0005-0000-0000-0000103F0000}"/>
    <cellStyle name="Normal 89 3 2 2" xfId="2054" xr:uid="{00000000-0005-0000-0000-0000113F0000}"/>
    <cellStyle name="Normal 89 3 2 2 2" xfId="4363" xr:uid="{00000000-0005-0000-0000-0000123F0000}"/>
    <cellStyle name="Normal 89 3 2 2 2 2" xfId="8877" xr:uid="{00000000-0005-0000-0000-0000133F0000}"/>
    <cellStyle name="Normal 89 3 2 2 2 2 2" xfId="17918" xr:uid="{00000000-0005-0000-0000-0000143F0000}"/>
    <cellStyle name="Normal 89 3 2 2 2 3" xfId="13405" xr:uid="{00000000-0005-0000-0000-0000153F0000}"/>
    <cellStyle name="Normal 89 3 2 2 3" xfId="6577" xr:uid="{00000000-0005-0000-0000-0000163F0000}"/>
    <cellStyle name="Normal 89 3 2 2 3 2" xfId="15618" xr:uid="{00000000-0005-0000-0000-0000173F0000}"/>
    <cellStyle name="Normal 89 3 2 2 4" xfId="11105" xr:uid="{00000000-0005-0000-0000-0000183F0000}"/>
    <cellStyle name="Normal 89 3 2 3" xfId="4362" xr:uid="{00000000-0005-0000-0000-0000193F0000}"/>
    <cellStyle name="Normal 89 3 2 3 2" xfId="8876" xr:uid="{00000000-0005-0000-0000-00001A3F0000}"/>
    <cellStyle name="Normal 89 3 2 3 2 2" xfId="17917" xr:uid="{00000000-0005-0000-0000-00001B3F0000}"/>
    <cellStyle name="Normal 89 3 2 3 3" xfId="13404" xr:uid="{00000000-0005-0000-0000-00001C3F0000}"/>
    <cellStyle name="Normal 89 3 2 4" xfId="5449" xr:uid="{00000000-0005-0000-0000-00001D3F0000}"/>
    <cellStyle name="Normal 89 3 2 4 2" xfId="14490" xr:uid="{00000000-0005-0000-0000-00001E3F0000}"/>
    <cellStyle name="Normal 89 3 2 5" xfId="9977" xr:uid="{00000000-0005-0000-0000-00001F3F0000}"/>
    <cellStyle name="Normal 89 3 3" xfId="1490" xr:uid="{00000000-0005-0000-0000-0000203F0000}"/>
    <cellStyle name="Normal 89 3 3 2" xfId="4364" xr:uid="{00000000-0005-0000-0000-0000213F0000}"/>
    <cellStyle name="Normal 89 3 3 2 2" xfId="8878" xr:uid="{00000000-0005-0000-0000-0000223F0000}"/>
    <cellStyle name="Normal 89 3 3 2 2 2" xfId="17919" xr:uid="{00000000-0005-0000-0000-0000233F0000}"/>
    <cellStyle name="Normal 89 3 3 2 3" xfId="13406" xr:uid="{00000000-0005-0000-0000-0000243F0000}"/>
    <cellStyle name="Normal 89 3 3 3" xfId="6013" xr:uid="{00000000-0005-0000-0000-0000253F0000}"/>
    <cellStyle name="Normal 89 3 3 3 2" xfId="15054" xr:uid="{00000000-0005-0000-0000-0000263F0000}"/>
    <cellStyle name="Normal 89 3 3 4" xfId="10541" xr:uid="{00000000-0005-0000-0000-0000273F0000}"/>
    <cellStyle name="Normal 89 3 4" xfId="4361" xr:uid="{00000000-0005-0000-0000-0000283F0000}"/>
    <cellStyle name="Normal 89 3 4 2" xfId="8875" xr:uid="{00000000-0005-0000-0000-0000293F0000}"/>
    <cellStyle name="Normal 89 3 4 2 2" xfId="17916" xr:uid="{00000000-0005-0000-0000-00002A3F0000}"/>
    <cellStyle name="Normal 89 3 4 3" xfId="13403" xr:uid="{00000000-0005-0000-0000-00002B3F0000}"/>
    <cellStyle name="Normal 89 3 5" xfId="4885" xr:uid="{00000000-0005-0000-0000-00002C3F0000}"/>
    <cellStyle name="Normal 89 3 5 2" xfId="13926" xr:uid="{00000000-0005-0000-0000-00002D3F0000}"/>
    <cellStyle name="Normal 89 3 6" xfId="9413" xr:uid="{00000000-0005-0000-0000-00002E3F0000}"/>
    <cellStyle name="Normal 89 4" xfId="508" xr:uid="{00000000-0005-0000-0000-00002F3F0000}"/>
    <cellStyle name="Normal 89 4 2" xfId="1072" xr:uid="{00000000-0005-0000-0000-0000303F0000}"/>
    <cellStyle name="Normal 89 4 2 2" xfId="2242" xr:uid="{00000000-0005-0000-0000-0000313F0000}"/>
    <cellStyle name="Normal 89 4 2 2 2" xfId="4367" xr:uid="{00000000-0005-0000-0000-0000323F0000}"/>
    <cellStyle name="Normal 89 4 2 2 2 2" xfId="8881" xr:uid="{00000000-0005-0000-0000-0000333F0000}"/>
    <cellStyle name="Normal 89 4 2 2 2 2 2" xfId="17922" xr:uid="{00000000-0005-0000-0000-0000343F0000}"/>
    <cellStyle name="Normal 89 4 2 2 2 3" xfId="13409" xr:uid="{00000000-0005-0000-0000-0000353F0000}"/>
    <cellStyle name="Normal 89 4 2 2 3" xfId="6765" xr:uid="{00000000-0005-0000-0000-0000363F0000}"/>
    <cellStyle name="Normal 89 4 2 2 3 2" xfId="15806" xr:uid="{00000000-0005-0000-0000-0000373F0000}"/>
    <cellStyle name="Normal 89 4 2 2 4" xfId="11293" xr:uid="{00000000-0005-0000-0000-0000383F0000}"/>
    <cellStyle name="Normal 89 4 2 3" xfId="4366" xr:uid="{00000000-0005-0000-0000-0000393F0000}"/>
    <cellStyle name="Normal 89 4 2 3 2" xfId="8880" xr:uid="{00000000-0005-0000-0000-00003A3F0000}"/>
    <cellStyle name="Normal 89 4 2 3 2 2" xfId="17921" xr:uid="{00000000-0005-0000-0000-00003B3F0000}"/>
    <cellStyle name="Normal 89 4 2 3 3" xfId="13408" xr:uid="{00000000-0005-0000-0000-00003C3F0000}"/>
    <cellStyle name="Normal 89 4 2 4" xfId="5637" xr:uid="{00000000-0005-0000-0000-00003D3F0000}"/>
    <cellStyle name="Normal 89 4 2 4 2" xfId="14678" xr:uid="{00000000-0005-0000-0000-00003E3F0000}"/>
    <cellStyle name="Normal 89 4 2 5" xfId="10165" xr:uid="{00000000-0005-0000-0000-00003F3F0000}"/>
    <cellStyle name="Normal 89 4 3" xfId="1678" xr:uid="{00000000-0005-0000-0000-0000403F0000}"/>
    <cellStyle name="Normal 89 4 3 2" xfId="4368" xr:uid="{00000000-0005-0000-0000-0000413F0000}"/>
    <cellStyle name="Normal 89 4 3 2 2" xfId="8882" xr:uid="{00000000-0005-0000-0000-0000423F0000}"/>
    <cellStyle name="Normal 89 4 3 2 2 2" xfId="17923" xr:uid="{00000000-0005-0000-0000-0000433F0000}"/>
    <cellStyle name="Normal 89 4 3 2 3" xfId="13410" xr:uid="{00000000-0005-0000-0000-0000443F0000}"/>
    <cellStyle name="Normal 89 4 3 3" xfId="6201" xr:uid="{00000000-0005-0000-0000-0000453F0000}"/>
    <cellStyle name="Normal 89 4 3 3 2" xfId="15242" xr:uid="{00000000-0005-0000-0000-0000463F0000}"/>
    <cellStyle name="Normal 89 4 3 4" xfId="10729" xr:uid="{00000000-0005-0000-0000-0000473F0000}"/>
    <cellStyle name="Normal 89 4 4" xfId="4365" xr:uid="{00000000-0005-0000-0000-0000483F0000}"/>
    <cellStyle name="Normal 89 4 4 2" xfId="8879" xr:uid="{00000000-0005-0000-0000-0000493F0000}"/>
    <cellStyle name="Normal 89 4 4 2 2" xfId="17920" xr:uid="{00000000-0005-0000-0000-00004A3F0000}"/>
    <cellStyle name="Normal 89 4 4 3" xfId="13407" xr:uid="{00000000-0005-0000-0000-00004B3F0000}"/>
    <cellStyle name="Normal 89 4 5" xfId="5073" xr:uid="{00000000-0005-0000-0000-00004C3F0000}"/>
    <cellStyle name="Normal 89 4 5 2" xfId="14114" xr:uid="{00000000-0005-0000-0000-00004D3F0000}"/>
    <cellStyle name="Normal 89 4 6" xfId="9601" xr:uid="{00000000-0005-0000-0000-00004E3F0000}"/>
    <cellStyle name="Normal 89 5" xfId="696" xr:uid="{00000000-0005-0000-0000-00004F3F0000}"/>
    <cellStyle name="Normal 89 5 2" xfId="1866" xr:uid="{00000000-0005-0000-0000-0000503F0000}"/>
    <cellStyle name="Normal 89 5 2 2" xfId="4370" xr:uid="{00000000-0005-0000-0000-0000513F0000}"/>
    <cellStyle name="Normal 89 5 2 2 2" xfId="8884" xr:uid="{00000000-0005-0000-0000-0000523F0000}"/>
    <cellStyle name="Normal 89 5 2 2 2 2" xfId="17925" xr:uid="{00000000-0005-0000-0000-0000533F0000}"/>
    <cellStyle name="Normal 89 5 2 2 3" xfId="13412" xr:uid="{00000000-0005-0000-0000-0000543F0000}"/>
    <cellStyle name="Normal 89 5 2 3" xfId="6389" xr:uid="{00000000-0005-0000-0000-0000553F0000}"/>
    <cellStyle name="Normal 89 5 2 3 2" xfId="15430" xr:uid="{00000000-0005-0000-0000-0000563F0000}"/>
    <cellStyle name="Normal 89 5 2 4" xfId="10917" xr:uid="{00000000-0005-0000-0000-0000573F0000}"/>
    <cellStyle name="Normal 89 5 3" xfId="4369" xr:uid="{00000000-0005-0000-0000-0000583F0000}"/>
    <cellStyle name="Normal 89 5 3 2" xfId="8883" xr:uid="{00000000-0005-0000-0000-0000593F0000}"/>
    <cellStyle name="Normal 89 5 3 2 2" xfId="17924" xr:uid="{00000000-0005-0000-0000-00005A3F0000}"/>
    <cellStyle name="Normal 89 5 3 3" xfId="13411" xr:uid="{00000000-0005-0000-0000-00005B3F0000}"/>
    <cellStyle name="Normal 89 5 4" xfId="5261" xr:uid="{00000000-0005-0000-0000-00005C3F0000}"/>
    <cellStyle name="Normal 89 5 4 2" xfId="14302" xr:uid="{00000000-0005-0000-0000-00005D3F0000}"/>
    <cellStyle name="Normal 89 5 5" xfId="9789" xr:uid="{00000000-0005-0000-0000-00005E3F0000}"/>
    <cellStyle name="Normal 89 6" xfId="1302" xr:uid="{00000000-0005-0000-0000-00005F3F0000}"/>
    <cellStyle name="Normal 89 6 2" xfId="4371" xr:uid="{00000000-0005-0000-0000-0000603F0000}"/>
    <cellStyle name="Normal 89 6 2 2" xfId="8885" xr:uid="{00000000-0005-0000-0000-0000613F0000}"/>
    <cellStyle name="Normal 89 6 2 2 2" xfId="17926" xr:uid="{00000000-0005-0000-0000-0000623F0000}"/>
    <cellStyle name="Normal 89 6 2 3" xfId="13413" xr:uid="{00000000-0005-0000-0000-0000633F0000}"/>
    <cellStyle name="Normal 89 6 3" xfId="5825" xr:uid="{00000000-0005-0000-0000-0000643F0000}"/>
    <cellStyle name="Normal 89 6 3 2" xfId="14866" xr:uid="{00000000-0005-0000-0000-0000653F0000}"/>
    <cellStyle name="Normal 89 6 4" xfId="10353" xr:uid="{00000000-0005-0000-0000-0000663F0000}"/>
    <cellStyle name="Normal 89 7" xfId="4348" xr:uid="{00000000-0005-0000-0000-0000673F0000}"/>
    <cellStyle name="Normal 89 7 2" xfId="8862" xr:uid="{00000000-0005-0000-0000-0000683F0000}"/>
    <cellStyle name="Normal 89 7 2 2" xfId="17903" xr:uid="{00000000-0005-0000-0000-0000693F0000}"/>
    <cellStyle name="Normal 89 7 3" xfId="13390" xr:uid="{00000000-0005-0000-0000-00006A3F0000}"/>
    <cellStyle name="Normal 89 8" xfId="4697" xr:uid="{00000000-0005-0000-0000-00006B3F0000}"/>
    <cellStyle name="Normal 89 8 2" xfId="13738" xr:uid="{00000000-0005-0000-0000-00006C3F0000}"/>
    <cellStyle name="Normal 89 9" xfId="9225" xr:uid="{00000000-0005-0000-0000-00006D3F0000}"/>
    <cellStyle name="Normal 9" xfId="9126" xr:uid="{00000000-0005-0000-0000-00006E3F0000}"/>
    <cellStyle name="Normal 9 2" xfId="18167" xr:uid="{00000000-0005-0000-0000-00006F3F0000}"/>
    <cellStyle name="Normal 90" xfId="90" xr:uid="{00000000-0005-0000-0000-0000703F0000}"/>
    <cellStyle name="Normal 90 2" xfId="186" xr:uid="{00000000-0005-0000-0000-0000713F0000}"/>
    <cellStyle name="Normal 90 2 2" xfId="415" xr:uid="{00000000-0005-0000-0000-0000723F0000}"/>
    <cellStyle name="Normal 90 2 2 2" xfId="979" xr:uid="{00000000-0005-0000-0000-0000733F0000}"/>
    <cellStyle name="Normal 90 2 2 2 2" xfId="2149" xr:uid="{00000000-0005-0000-0000-0000743F0000}"/>
    <cellStyle name="Normal 90 2 2 2 2 2" xfId="4376" xr:uid="{00000000-0005-0000-0000-0000753F0000}"/>
    <cellStyle name="Normal 90 2 2 2 2 2 2" xfId="8890" xr:uid="{00000000-0005-0000-0000-0000763F0000}"/>
    <cellStyle name="Normal 90 2 2 2 2 2 2 2" xfId="17931" xr:uid="{00000000-0005-0000-0000-0000773F0000}"/>
    <cellStyle name="Normal 90 2 2 2 2 2 3" xfId="13418" xr:uid="{00000000-0005-0000-0000-0000783F0000}"/>
    <cellStyle name="Normal 90 2 2 2 2 3" xfId="6672" xr:uid="{00000000-0005-0000-0000-0000793F0000}"/>
    <cellStyle name="Normal 90 2 2 2 2 3 2" xfId="15713" xr:uid="{00000000-0005-0000-0000-00007A3F0000}"/>
    <cellStyle name="Normal 90 2 2 2 2 4" xfId="11200" xr:uid="{00000000-0005-0000-0000-00007B3F0000}"/>
    <cellStyle name="Normal 90 2 2 2 3" xfId="4375" xr:uid="{00000000-0005-0000-0000-00007C3F0000}"/>
    <cellStyle name="Normal 90 2 2 2 3 2" xfId="8889" xr:uid="{00000000-0005-0000-0000-00007D3F0000}"/>
    <cellStyle name="Normal 90 2 2 2 3 2 2" xfId="17930" xr:uid="{00000000-0005-0000-0000-00007E3F0000}"/>
    <cellStyle name="Normal 90 2 2 2 3 3" xfId="13417" xr:uid="{00000000-0005-0000-0000-00007F3F0000}"/>
    <cellStyle name="Normal 90 2 2 2 4" xfId="5544" xr:uid="{00000000-0005-0000-0000-0000803F0000}"/>
    <cellStyle name="Normal 90 2 2 2 4 2" xfId="14585" xr:uid="{00000000-0005-0000-0000-0000813F0000}"/>
    <cellStyle name="Normal 90 2 2 2 5" xfId="10072" xr:uid="{00000000-0005-0000-0000-0000823F0000}"/>
    <cellStyle name="Normal 90 2 2 3" xfId="1585" xr:uid="{00000000-0005-0000-0000-0000833F0000}"/>
    <cellStyle name="Normal 90 2 2 3 2" xfId="4377" xr:uid="{00000000-0005-0000-0000-0000843F0000}"/>
    <cellStyle name="Normal 90 2 2 3 2 2" xfId="8891" xr:uid="{00000000-0005-0000-0000-0000853F0000}"/>
    <cellStyle name="Normal 90 2 2 3 2 2 2" xfId="17932" xr:uid="{00000000-0005-0000-0000-0000863F0000}"/>
    <cellStyle name="Normal 90 2 2 3 2 3" xfId="13419" xr:uid="{00000000-0005-0000-0000-0000873F0000}"/>
    <cellStyle name="Normal 90 2 2 3 3" xfId="6108" xr:uid="{00000000-0005-0000-0000-0000883F0000}"/>
    <cellStyle name="Normal 90 2 2 3 3 2" xfId="15149" xr:uid="{00000000-0005-0000-0000-0000893F0000}"/>
    <cellStyle name="Normal 90 2 2 3 4" xfId="10636" xr:uid="{00000000-0005-0000-0000-00008A3F0000}"/>
    <cellStyle name="Normal 90 2 2 4" xfId="4374" xr:uid="{00000000-0005-0000-0000-00008B3F0000}"/>
    <cellStyle name="Normal 90 2 2 4 2" xfId="8888" xr:uid="{00000000-0005-0000-0000-00008C3F0000}"/>
    <cellStyle name="Normal 90 2 2 4 2 2" xfId="17929" xr:uid="{00000000-0005-0000-0000-00008D3F0000}"/>
    <cellStyle name="Normal 90 2 2 4 3" xfId="13416" xr:uid="{00000000-0005-0000-0000-00008E3F0000}"/>
    <cellStyle name="Normal 90 2 2 5" xfId="4980" xr:uid="{00000000-0005-0000-0000-00008F3F0000}"/>
    <cellStyle name="Normal 90 2 2 5 2" xfId="14021" xr:uid="{00000000-0005-0000-0000-0000903F0000}"/>
    <cellStyle name="Normal 90 2 2 6" xfId="9508" xr:uid="{00000000-0005-0000-0000-0000913F0000}"/>
    <cellStyle name="Normal 90 2 3" xfId="603" xr:uid="{00000000-0005-0000-0000-0000923F0000}"/>
    <cellStyle name="Normal 90 2 3 2" xfId="1167" xr:uid="{00000000-0005-0000-0000-0000933F0000}"/>
    <cellStyle name="Normal 90 2 3 2 2" xfId="2337" xr:uid="{00000000-0005-0000-0000-0000943F0000}"/>
    <cellStyle name="Normal 90 2 3 2 2 2" xfId="4380" xr:uid="{00000000-0005-0000-0000-0000953F0000}"/>
    <cellStyle name="Normal 90 2 3 2 2 2 2" xfId="8894" xr:uid="{00000000-0005-0000-0000-0000963F0000}"/>
    <cellStyle name="Normal 90 2 3 2 2 2 2 2" xfId="17935" xr:uid="{00000000-0005-0000-0000-0000973F0000}"/>
    <cellStyle name="Normal 90 2 3 2 2 2 3" xfId="13422" xr:uid="{00000000-0005-0000-0000-0000983F0000}"/>
    <cellStyle name="Normal 90 2 3 2 2 3" xfId="6860" xr:uid="{00000000-0005-0000-0000-0000993F0000}"/>
    <cellStyle name="Normal 90 2 3 2 2 3 2" xfId="15901" xr:uid="{00000000-0005-0000-0000-00009A3F0000}"/>
    <cellStyle name="Normal 90 2 3 2 2 4" xfId="11388" xr:uid="{00000000-0005-0000-0000-00009B3F0000}"/>
    <cellStyle name="Normal 90 2 3 2 3" xfId="4379" xr:uid="{00000000-0005-0000-0000-00009C3F0000}"/>
    <cellStyle name="Normal 90 2 3 2 3 2" xfId="8893" xr:uid="{00000000-0005-0000-0000-00009D3F0000}"/>
    <cellStyle name="Normal 90 2 3 2 3 2 2" xfId="17934" xr:uid="{00000000-0005-0000-0000-00009E3F0000}"/>
    <cellStyle name="Normal 90 2 3 2 3 3" xfId="13421" xr:uid="{00000000-0005-0000-0000-00009F3F0000}"/>
    <cellStyle name="Normal 90 2 3 2 4" xfId="5732" xr:uid="{00000000-0005-0000-0000-0000A03F0000}"/>
    <cellStyle name="Normal 90 2 3 2 4 2" xfId="14773" xr:uid="{00000000-0005-0000-0000-0000A13F0000}"/>
    <cellStyle name="Normal 90 2 3 2 5" xfId="10260" xr:uid="{00000000-0005-0000-0000-0000A23F0000}"/>
    <cellStyle name="Normal 90 2 3 3" xfId="1773" xr:uid="{00000000-0005-0000-0000-0000A33F0000}"/>
    <cellStyle name="Normal 90 2 3 3 2" xfId="4381" xr:uid="{00000000-0005-0000-0000-0000A43F0000}"/>
    <cellStyle name="Normal 90 2 3 3 2 2" xfId="8895" xr:uid="{00000000-0005-0000-0000-0000A53F0000}"/>
    <cellStyle name="Normal 90 2 3 3 2 2 2" xfId="17936" xr:uid="{00000000-0005-0000-0000-0000A63F0000}"/>
    <cellStyle name="Normal 90 2 3 3 2 3" xfId="13423" xr:uid="{00000000-0005-0000-0000-0000A73F0000}"/>
    <cellStyle name="Normal 90 2 3 3 3" xfId="6296" xr:uid="{00000000-0005-0000-0000-0000A83F0000}"/>
    <cellStyle name="Normal 90 2 3 3 3 2" xfId="15337" xr:uid="{00000000-0005-0000-0000-0000A93F0000}"/>
    <cellStyle name="Normal 90 2 3 3 4" xfId="10824" xr:uid="{00000000-0005-0000-0000-0000AA3F0000}"/>
    <cellStyle name="Normal 90 2 3 4" xfId="4378" xr:uid="{00000000-0005-0000-0000-0000AB3F0000}"/>
    <cellStyle name="Normal 90 2 3 4 2" xfId="8892" xr:uid="{00000000-0005-0000-0000-0000AC3F0000}"/>
    <cellStyle name="Normal 90 2 3 4 2 2" xfId="17933" xr:uid="{00000000-0005-0000-0000-0000AD3F0000}"/>
    <cellStyle name="Normal 90 2 3 4 3" xfId="13420" xr:uid="{00000000-0005-0000-0000-0000AE3F0000}"/>
    <cellStyle name="Normal 90 2 3 5" xfId="5168" xr:uid="{00000000-0005-0000-0000-0000AF3F0000}"/>
    <cellStyle name="Normal 90 2 3 5 2" xfId="14209" xr:uid="{00000000-0005-0000-0000-0000B03F0000}"/>
    <cellStyle name="Normal 90 2 3 6" xfId="9696" xr:uid="{00000000-0005-0000-0000-0000B13F0000}"/>
    <cellStyle name="Normal 90 2 4" xfId="791" xr:uid="{00000000-0005-0000-0000-0000B23F0000}"/>
    <cellStyle name="Normal 90 2 4 2" xfId="1961" xr:uid="{00000000-0005-0000-0000-0000B33F0000}"/>
    <cellStyle name="Normal 90 2 4 2 2" xfId="4383" xr:uid="{00000000-0005-0000-0000-0000B43F0000}"/>
    <cellStyle name="Normal 90 2 4 2 2 2" xfId="8897" xr:uid="{00000000-0005-0000-0000-0000B53F0000}"/>
    <cellStyle name="Normal 90 2 4 2 2 2 2" xfId="17938" xr:uid="{00000000-0005-0000-0000-0000B63F0000}"/>
    <cellStyle name="Normal 90 2 4 2 2 3" xfId="13425" xr:uid="{00000000-0005-0000-0000-0000B73F0000}"/>
    <cellStyle name="Normal 90 2 4 2 3" xfId="6484" xr:uid="{00000000-0005-0000-0000-0000B83F0000}"/>
    <cellStyle name="Normal 90 2 4 2 3 2" xfId="15525" xr:uid="{00000000-0005-0000-0000-0000B93F0000}"/>
    <cellStyle name="Normal 90 2 4 2 4" xfId="11012" xr:uid="{00000000-0005-0000-0000-0000BA3F0000}"/>
    <cellStyle name="Normal 90 2 4 3" xfId="4382" xr:uid="{00000000-0005-0000-0000-0000BB3F0000}"/>
    <cellStyle name="Normal 90 2 4 3 2" xfId="8896" xr:uid="{00000000-0005-0000-0000-0000BC3F0000}"/>
    <cellStyle name="Normal 90 2 4 3 2 2" xfId="17937" xr:uid="{00000000-0005-0000-0000-0000BD3F0000}"/>
    <cellStyle name="Normal 90 2 4 3 3" xfId="13424" xr:uid="{00000000-0005-0000-0000-0000BE3F0000}"/>
    <cellStyle name="Normal 90 2 4 4" xfId="5356" xr:uid="{00000000-0005-0000-0000-0000BF3F0000}"/>
    <cellStyle name="Normal 90 2 4 4 2" xfId="14397" xr:uid="{00000000-0005-0000-0000-0000C03F0000}"/>
    <cellStyle name="Normal 90 2 4 5" xfId="9884" xr:uid="{00000000-0005-0000-0000-0000C13F0000}"/>
    <cellStyle name="Normal 90 2 5" xfId="1397" xr:uid="{00000000-0005-0000-0000-0000C23F0000}"/>
    <cellStyle name="Normal 90 2 5 2" xfId="4384" xr:uid="{00000000-0005-0000-0000-0000C33F0000}"/>
    <cellStyle name="Normal 90 2 5 2 2" xfId="8898" xr:uid="{00000000-0005-0000-0000-0000C43F0000}"/>
    <cellStyle name="Normal 90 2 5 2 2 2" xfId="17939" xr:uid="{00000000-0005-0000-0000-0000C53F0000}"/>
    <cellStyle name="Normal 90 2 5 2 3" xfId="13426" xr:uid="{00000000-0005-0000-0000-0000C63F0000}"/>
    <cellStyle name="Normal 90 2 5 3" xfId="5920" xr:uid="{00000000-0005-0000-0000-0000C73F0000}"/>
    <cellStyle name="Normal 90 2 5 3 2" xfId="14961" xr:uid="{00000000-0005-0000-0000-0000C83F0000}"/>
    <cellStyle name="Normal 90 2 5 4" xfId="10448" xr:uid="{00000000-0005-0000-0000-0000C93F0000}"/>
    <cellStyle name="Normal 90 2 6" xfId="4373" xr:uid="{00000000-0005-0000-0000-0000CA3F0000}"/>
    <cellStyle name="Normal 90 2 6 2" xfId="8887" xr:uid="{00000000-0005-0000-0000-0000CB3F0000}"/>
    <cellStyle name="Normal 90 2 6 2 2" xfId="17928" xr:uid="{00000000-0005-0000-0000-0000CC3F0000}"/>
    <cellStyle name="Normal 90 2 6 3" xfId="13415" xr:uid="{00000000-0005-0000-0000-0000CD3F0000}"/>
    <cellStyle name="Normal 90 2 7" xfId="4792" xr:uid="{00000000-0005-0000-0000-0000CE3F0000}"/>
    <cellStyle name="Normal 90 2 7 2" xfId="13833" xr:uid="{00000000-0005-0000-0000-0000CF3F0000}"/>
    <cellStyle name="Normal 90 2 8" xfId="9320" xr:uid="{00000000-0005-0000-0000-0000D03F0000}"/>
    <cellStyle name="Normal 90 3" xfId="321" xr:uid="{00000000-0005-0000-0000-0000D13F0000}"/>
    <cellStyle name="Normal 90 3 2" xfId="885" xr:uid="{00000000-0005-0000-0000-0000D23F0000}"/>
    <cellStyle name="Normal 90 3 2 2" xfId="2055" xr:uid="{00000000-0005-0000-0000-0000D33F0000}"/>
    <cellStyle name="Normal 90 3 2 2 2" xfId="4387" xr:uid="{00000000-0005-0000-0000-0000D43F0000}"/>
    <cellStyle name="Normal 90 3 2 2 2 2" xfId="8901" xr:uid="{00000000-0005-0000-0000-0000D53F0000}"/>
    <cellStyle name="Normal 90 3 2 2 2 2 2" xfId="17942" xr:uid="{00000000-0005-0000-0000-0000D63F0000}"/>
    <cellStyle name="Normal 90 3 2 2 2 3" xfId="13429" xr:uid="{00000000-0005-0000-0000-0000D73F0000}"/>
    <cellStyle name="Normal 90 3 2 2 3" xfId="6578" xr:uid="{00000000-0005-0000-0000-0000D83F0000}"/>
    <cellStyle name="Normal 90 3 2 2 3 2" xfId="15619" xr:uid="{00000000-0005-0000-0000-0000D93F0000}"/>
    <cellStyle name="Normal 90 3 2 2 4" xfId="11106" xr:uid="{00000000-0005-0000-0000-0000DA3F0000}"/>
    <cellStyle name="Normal 90 3 2 3" xfId="4386" xr:uid="{00000000-0005-0000-0000-0000DB3F0000}"/>
    <cellStyle name="Normal 90 3 2 3 2" xfId="8900" xr:uid="{00000000-0005-0000-0000-0000DC3F0000}"/>
    <cellStyle name="Normal 90 3 2 3 2 2" xfId="17941" xr:uid="{00000000-0005-0000-0000-0000DD3F0000}"/>
    <cellStyle name="Normal 90 3 2 3 3" xfId="13428" xr:uid="{00000000-0005-0000-0000-0000DE3F0000}"/>
    <cellStyle name="Normal 90 3 2 4" xfId="5450" xr:uid="{00000000-0005-0000-0000-0000DF3F0000}"/>
    <cellStyle name="Normal 90 3 2 4 2" xfId="14491" xr:uid="{00000000-0005-0000-0000-0000E03F0000}"/>
    <cellStyle name="Normal 90 3 2 5" xfId="9978" xr:uid="{00000000-0005-0000-0000-0000E13F0000}"/>
    <cellStyle name="Normal 90 3 3" xfId="1491" xr:uid="{00000000-0005-0000-0000-0000E23F0000}"/>
    <cellStyle name="Normal 90 3 3 2" xfId="4388" xr:uid="{00000000-0005-0000-0000-0000E33F0000}"/>
    <cellStyle name="Normal 90 3 3 2 2" xfId="8902" xr:uid="{00000000-0005-0000-0000-0000E43F0000}"/>
    <cellStyle name="Normal 90 3 3 2 2 2" xfId="17943" xr:uid="{00000000-0005-0000-0000-0000E53F0000}"/>
    <cellStyle name="Normal 90 3 3 2 3" xfId="13430" xr:uid="{00000000-0005-0000-0000-0000E63F0000}"/>
    <cellStyle name="Normal 90 3 3 3" xfId="6014" xr:uid="{00000000-0005-0000-0000-0000E73F0000}"/>
    <cellStyle name="Normal 90 3 3 3 2" xfId="15055" xr:uid="{00000000-0005-0000-0000-0000E83F0000}"/>
    <cellStyle name="Normal 90 3 3 4" xfId="10542" xr:uid="{00000000-0005-0000-0000-0000E93F0000}"/>
    <cellStyle name="Normal 90 3 4" xfId="4385" xr:uid="{00000000-0005-0000-0000-0000EA3F0000}"/>
    <cellStyle name="Normal 90 3 4 2" xfId="8899" xr:uid="{00000000-0005-0000-0000-0000EB3F0000}"/>
    <cellStyle name="Normal 90 3 4 2 2" xfId="17940" xr:uid="{00000000-0005-0000-0000-0000EC3F0000}"/>
    <cellStyle name="Normal 90 3 4 3" xfId="13427" xr:uid="{00000000-0005-0000-0000-0000ED3F0000}"/>
    <cellStyle name="Normal 90 3 5" xfId="4886" xr:uid="{00000000-0005-0000-0000-0000EE3F0000}"/>
    <cellStyle name="Normal 90 3 5 2" xfId="13927" xr:uid="{00000000-0005-0000-0000-0000EF3F0000}"/>
    <cellStyle name="Normal 90 3 6" xfId="9414" xr:uid="{00000000-0005-0000-0000-0000F03F0000}"/>
    <cellStyle name="Normal 90 4" xfId="509" xr:uid="{00000000-0005-0000-0000-0000F13F0000}"/>
    <cellStyle name="Normal 90 4 2" xfId="1073" xr:uid="{00000000-0005-0000-0000-0000F23F0000}"/>
    <cellStyle name="Normal 90 4 2 2" xfId="2243" xr:uid="{00000000-0005-0000-0000-0000F33F0000}"/>
    <cellStyle name="Normal 90 4 2 2 2" xfId="4391" xr:uid="{00000000-0005-0000-0000-0000F43F0000}"/>
    <cellStyle name="Normal 90 4 2 2 2 2" xfId="8905" xr:uid="{00000000-0005-0000-0000-0000F53F0000}"/>
    <cellStyle name="Normal 90 4 2 2 2 2 2" xfId="17946" xr:uid="{00000000-0005-0000-0000-0000F63F0000}"/>
    <cellStyle name="Normal 90 4 2 2 2 3" xfId="13433" xr:uid="{00000000-0005-0000-0000-0000F73F0000}"/>
    <cellStyle name="Normal 90 4 2 2 3" xfId="6766" xr:uid="{00000000-0005-0000-0000-0000F83F0000}"/>
    <cellStyle name="Normal 90 4 2 2 3 2" xfId="15807" xr:uid="{00000000-0005-0000-0000-0000F93F0000}"/>
    <cellStyle name="Normal 90 4 2 2 4" xfId="11294" xr:uid="{00000000-0005-0000-0000-0000FA3F0000}"/>
    <cellStyle name="Normal 90 4 2 3" xfId="4390" xr:uid="{00000000-0005-0000-0000-0000FB3F0000}"/>
    <cellStyle name="Normal 90 4 2 3 2" xfId="8904" xr:uid="{00000000-0005-0000-0000-0000FC3F0000}"/>
    <cellStyle name="Normal 90 4 2 3 2 2" xfId="17945" xr:uid="{00000000-0005-0000-0000-0000FD3F0000}"/>
    <cellStyle name="Normal 90 4 2 3 3" xfId="13432" xr:uid="{00000000-0005-0000-0000-0000FE3F0000}"/>
    <cellStyle name="Normal 90 4 2 4" xfId="5638" xr:uid="{00000000-0005-0000-0000-0000FF3F0000}"/>
    <cellStyle name="Normal 90 4 2 4 2" xfId="14679" xr:uid="{00000000-0005-0000-0000-000000400000}"/>
    <cellStyle name="Normal 90 4 2 5" xfId="10166" xr:uid="{00000000-0005-0000-0000-000001400000}"/>
    <cellStyle name="Normal 90 4 3" xfId="1679" xr:uid="{00000000-0005-0000-0000-000002400000}"/>
    <cellStyle name="Normal 90 4 3 2" xfId="4392" xr:uid="{00000000-0005-0000-0000-000003400000}"/>
    <cellStyle name="Normal 90 4 3 2 2" xfId="8906" xr:uid="{00000000-0005-0000-0000-000004400000}"/>
    <cellStyle name="Normal 90 4 3 2 2 2" xfId="17947" xr:uid="{00000000-0005-0000-0000-000005400000}"/>
    <cellStyle name="Normal 90 4 3 2 3" xfId="13434" xr:uid="{00000000-0005-0000-0000-000006400000}"/>
    <cellStyle name="Normal 90 4 3 3" xfId="6202" xr:uid="{00000000-0005-0000-0000-000007400000}"/>
    <cellStyle name="Normal 90 4 3 3 2" xfId="15243" xr:uid="{00000000-0005-0000-0000-000008400000}"/>
    <cellStyle name="Normal 90 4 3 4" xfId="10730" xr:uid="{00000000-0005-0000-0000-000009400000}"/>
    <cellStyle name="Normal 90 4 4" xfId="4389" xr:uid="{00000000-0005-0000-0000-00000A400000}"/>
    <cellStyle name="Normal 90 4 4 2" xfId="8903" xr:uid="{00000000-0005-0000-0000-00000B400000}"/>
    <cellStyle name="Normal 90 4 4 2 2" xfId="17944" xr:uid="{00000000-0005-0000-0000-00000C400000}"/>
    <cellStyle name="Normal 90 4 4 3" xfId="13431" xr:uid="{00000000-0005-0000-0000-00000D400000}"/>
    <cellStyle name="Normal 90 4 5" xfId="5074" xr:uid="{00000000-0005-0000-0000-00000E400000}"/>
    <cellStyle name="Normal 90 4 5 2" xfId="14115" xr:uid="{00000000-0005-0000-0000-00000F400000}"/>
    <cellStyle name="Normal 90 4 6" xfId="9602" xr:uid="{00000000-0005-0000-0000-000010400000}"/>
    <cellStyle name="Normal 90 5" xfId="697" xr:uid="{00000000-0005-0000-0000-000011400000}"/>
    <cellStyle name="Normal 90 5 2" xfId="1867" xr:uid="{00000000-0005-0000-0000-000012400000}"/>
    <cellStyle name="Normal 90 5 2 2" xfId="4394" xr:uid="{00000000-0005-0000-0000-000013400000}"/>
    <cellStyle name="Normal 90 5 2 2 2" xfId="8908" xr:uid="{00000000-0005-0000-0000-000014400000}"/>
    <cellStyle name="Normal 90 5 2 2 2 2" xfId="17949" xr:uid="{00000000-0005-0000-0000-000015400000}"/>
    <cellStyle name="Normal 90 5 2 2 3" xfId="13436" xr:uid="{00000000-0005-0000-0000-000016400000}"/>
    <cellStyle name="Normal 90 5 2 3" xfId="6390" xr:uid="{00000000-0005-0000-0000-000017400000}"/>
    <cellStyle name="Normal 90 5 2 3 2" xfId="15431" xr:uid="{00000000-0005-0000-0000-000018400000}"/>
    <cellStyle name="Normal 90 5 2 4" xfId="10918" xr:uid="{00000000-0005-0000-0000-000019400000}"/>
    <cellStyle name="Normal 90 5 3" xfId="4393" xr:uid="{00000000-0005-0000-0000-00001A400000}"/>
    <cellStyle name="Normal 90 5 3 2" xfId="8907" xr:uid="{00000000-0005-0000-0000-00001B400000}"/>
    <cellStyle name="Normal 90 5 3 2 2" xfId="17948" xr:uid="{00000000-0005-0000-0000-00001C400000}"/>
    <cellStyle name="Normal 90 5 3 3" xfId="13435" xr:uid="{00000000-0005-0000-0000-00001D400000}"/>
    <cellStyle name="Normal 90 5 4" xfId="5262" xr:uid="{00000000-0005-0000-0000-00001E400000}"/>
    <cellStyle name="Normal 90 5 4 2" xfId="14303" xr:uid="{00000000-0005-0000-0000-00001F400000}"/>
    <cellStyle name="Normal 90 5 5" xfId="9790" xr:uid="{00000000-0005-0000-0000-000020400000}"/>
    <cellStyle name="Normal 90 6" xfId="1303" xr:uid="{00000000-0005-0000-0000-000021400000}"/>
    <cellStyle name="Normal 90 6 2" xfId="4395" xr:uid="{00000000-0005-0000-0000-000022400000}"/>
    <cellStyle name="Normal 90 6 2 2" xfId="8909" xr:uid="{00000000-0005-0000-0000-000023400000}"/>
    <cellStyle name="Normal 90 6 2 2 2" xfId="17950" xr:uid="{00000000-0005-0000-0000-000024400000}"/>
    <cellStyle name="Normal 90 6 2 3" xfId="13437" xr:uid="{00000000-0005-0000-0000-000025400000}"/>
    <cellStyle name="Normal 90 6 3" xfId="5826" xr:uid="{00000000-0005-0000-0000-000026400000}"/>
    <cellStyle name="Normal 90 6 3 2" xfId="14867" xr:uid="{00000000-0005-0000-0000-000027400000}"/>
    <cellStyle name="Normal 90 6 4" xfId="10354" xr:uid="{00000000-0005-0000-0000-000028400000}"/>
    <cellStyle name="Normal 90 7" xfId="4372" xr:uid="{00000000-0005-0000-0000-000029400000}"/>
    <cellStyle name="Normal 90 7 2" xfId="8886" xr:uid="{00000000-0005-0000-0000-00002A400000}"/>
    <cellStyle name="Normal 90 7 2 2" xfId="17927" xr:uid="{00000000-0005-0000-0000-00002B400000}"/>
    <cellStyle name="Normal 90 7 3" xfId="13414" xr:uid="{00000000-0005-0000-0000-00002C400000}"/>
    <cellStyle name="Normal 90 8" xfId="4698" xr:uid="{00000000-0005-0000-0000-00002D400000}"/>
    <cellStyle name="Normal 90 8 2" xfId="13739" xr:uid="{00000000-0005-0000-0000-00002E400000}"/>
    <cellStyle name="Normal 90 9" xfId="9226" xr:uid="{00000000-0005-0000-0000-00002F400000}"/>
    <cellStyle name="Normal 91" xfId="91" xr:uid="{00000000-0005-0000-0000-000030400000}"/>
    <cellStyle name="Normal 91 2" xfId="187" xr:uid="{00000000-0005-0000-0000-000031400000}"/>
    <cellStyle name="Normal 91 2 2" xfId="416" xr:uid="{00000000-0005-0000-0000-000032400000}"/>
    <cellStyle name="Normal 91 2 2 2" xfId="980" xr:uid="{00000000-0005-0000-0000-000033400000}"/>
    <cellStyle name="Normal 91 2 2 2 2" xfId="2150" xr:uid="{00000000-0005-0000-0000-000034400000}"/>
    <cellStyle name="Normal 91 2 2 2 2 2" xfId="4400" xr:uid="{00000000-0005-0000-0000-000035400000}"/>
    <cellStyle name="Normal 91 2 2 2 2 2 2" xfId="8914" xr:uid="{00000000-0005-0000-0000-000036400000}"/>
    <cellStyle name="Normal 91 2 2 2 2 2 2 2" xfId="17955" xr:uid="{00000000-0005-0000-0000-000037400000}"/>
    <cellStyle name="Normal 91 2 2 2 2 2 3" xfId="13442" xr:uid="{00000000-0005-0000-0000-000038400000}"/>
    <cellStyle name="Normal 91 2 2 2 2 3" xfId="6673" xr:uid="{00000000-0005-0000-0000-000039400000}"/>
    <cellStyle name="Normal 91 2 2 2 2 3 2" xfId="15714" xr:uid="{00000000-0005-0000-0000-00003A400000}"/>
    <cellStyle name="Normal 91 2 2 2 2 4" xfId="11201" xr:uid="{00000000-0005-0000-0000-00003B400000}"/>
    <cellStyle name="Normal 91 2 2 2 3" xfId="4399" xr:uid="{00000000-0005-0000-0000-00003C400000}"/>
    <cellStyle name="Normal 91 2 2 2 3 2" xfId="8913" xr:uid="{00000000-0005-0000-0000-00003D400000}"/>
    <cellStyle name="Normal 91 2 2 2 3 2 2" xfId="17954" xr:uid="{00000000-0005-0000-0000-00003E400000}"/>
    <cellStyle name="Normal 91 2 2 2 3 3" xfId="13441" xr:uid="{00000000-0005-0000-0000-00003F400000}"/>
    <cellStyle name="Normal 91 2 2 2 4" xfId="5545" xr:uid="{00000000-0005-0000-0000-000040400000}"/>
    <cellStyle name="Normal 91 2 2 2 4 2" xfId="14586" xr:uid="{00000000-0005-0000-0000-000041400000}"/>
    <cellStyle name="Normal 91 2 2 2 5" xfId="10073" xr:uid="{00000000-0005-0000-0000-000042400000}"/>
    <cellStyle name="Normal 91 2 2 3" xfId="1586" xr:uid="{00000000-0005-0000-0000-000043400000}"/>
    <cellStyle name="Normal 91 2 2 3 2" xfId="4401" xr:uid="{00000000-0005-0000-0000-000044400000}"/>
    <cellStyle name="Normal 91 2 2 3 2 2" xfId="8915" xr:uid="{00000000-0005-0000-0000-000045400000}"/>
    <cellStyle name="Normal 91 2 2 3 2 2 2" xfId="17956" xr:uid="{00000000-0005-0000-0000-000046400000}"/>
    <cellStyle name="Normal 91 2 2 3 2 3" xfId="13443" xr:uid="{00000000-0005-0000-0000-000047400000}"/>
    <cellStyle name="Normal 91 2 2 3 3" xfId="6109" xr:uid="{00000000-0005-0000-0000-000048400000}"/>
    <cellStyle name="Normal 91 2 2 3 3 2" xfId="15150" xr:uid="{00000000-0005-0000-0000-000049400000}"/>
    <cellStyle name="Normal 91 2 2 3 4" xfId="10637" xr:uid="{00000000-0005-0000-0000-00004A400000}"/>
    <cellStyle name="Normal 91 2 2 4" xfId="4398" xr:uid="{00000000-0005-0000-0000-00004B400000}"/>
    <cellStyle name="Normal 91 2 2 4 2" xfId="8912" xr:uid="{00000000-0005-0000-0000-00004C400000}"/>
    <cellStyle name="Normal 91 2 2 4 2 2" xfId="17953" xr:uid="{00000000-0005-0000-0000-00004D400000}"/>
    <cellStyle name="Normal 91 2 2 4 3" xfId="13440" xr:uid="{00000000-0005-0000-0000-00004E400000}"/>
    <cellStyle name="Normal 91 2 2 5" xfId="4981" xr:uid="{00000000-0005-0000-0000-00004F400000}"/>
    <cellStyle name="Normal 91 2 2 5 2" xfId="14022" xr:uid="{00000000-0005-0000-0000-000050400000}"/>
    <cellStyle name="Normal 91 2 2 6" xfId="9509" xr:uid="{00000000-0005-0000-0000-000051400000}"/>
    <cellStyle name="Normal 91 2 3" xfId="604" xr:uid="{00000000-0005-0000-0000-000052400000}"/>
    <cellStyle name="Normal 91 2 3 2" xfId="1168" xr:uid="{00000000-0005-0000-0000-000053400000}"/>
    <cellStyle name="Normal 91 2 3 2 2" xfId="2338" xr:uid="{00000000-0005-0000-0000-000054400000}"/>
    <cellStyle name="Normal 91 2 3 2 2 2" xfId="4404" xr:uid="{00000000-0005-0000-0000-000055400000}"/>
    <cellStyle name="Normal 91 2 3 2 2 2 2" xfId="8918" xr:uid="{00000000-0005-0000-0000-000056400000}"/>
    <cellStyle name="Normal 91 2 3 2 2 2 2 2" xfId="17959" xr:uid="{00000000-0005-0000-0000-000057400000}"/>
    <cellStyle name="Normal 91 2 3 2 2 2 3" xfId="13446" xr:uid="{00000000-0005-0000-0000-000058400000}"/>
    <cellStyle name="Normal 91 2 3 2 2 3" xfId="6861" xr:uid="{00000000-0005-0000-0000-000059400000}"/>
    <cellStyle name="Normal 91 2 3 2 2 3 2" xfId="15902" xr:uid="{00000000-0005-0000-0000-00005A400000}"/>
    <cellStyle name="Normal 91 2 3 2 2 4" xfId="11389" xr:uid="{00000000-0005-0000-0000-00005B400000}"/>
    <cellStyle name="Normal 91 2 3 2 3" xfId="4403" xr:uid="{00000000-0005-0000-0000-00005C400000}"/>
    <cellStyle name="Normal 91 2 3 2 3 2" xfId="8917" xr:uid="{00000000-0005-0000-0000-00005D400000}"/>
    <cellStyle name="Normal 91 2 3 2 3 2 2" xfId="17958" xr:uid="{00000000-0005-0000-0000-00005E400000}"/>
    <cellStyle name="Normal 91 2 3 2 3 3" xfId="13445" xr:uid="{00000000-0005-0000-0000-00005F400000}"/>
    <cellStyle name="Normal 91 2 3 2 4" xfId="5733" xr:uid="{00000000-0005-0000-0000-000060400000}"/>
    <cellStyle name="Normal 91 2 3 2 4 2" xfId="14774" xr:uid="{00000000-0005-0000-0000-000061400000}"/>
    <cellStyle name="Normal 91 2 3 2 5" xfId="10261" xr:uid="{00000000-0005-0000-0000-000062400000}"/>
    <cellStyle name="Normal 91 2 3 3" xfId="1774" xr:uid="{00000000-0005-0000-0000-000063400000}"/>
    <cellStyle name="Normal 91 2 3 3 2" xfId="4405" xr:uid="{00000000-0005-0000-0000-000064400000}"/>
    <cellStyle name="Normal 91 2 3 3 2 2" xfId="8919" xr:uid="{00000000-0005-0000-0000-000065400000}"/>
    <cellStyle name="Normal 91 2 3 3 2 2 2" xfId="17960" xr:uid="{00000000-0005-0000-0000-000066400000}"/>
    <cellStyle name="Normal 91 2 3 3 2 3" xfId="13447" xr:uid="{00000000-0005-0000-0000-000067400000}"/>
    <cellStyle name="Normal 91 2 3 3 3" xfId="6297" xr:uid="{00000000-0005-0000-0000-000068400000}"/>
    <cellStyle name="Normal 91 2 3 3 3 2" xfId="15338" xr:uid="{00000000-0005-0000-0000-000069400000}"/>
    <cellStyle name="Normal 91 2 3 3 4" xfId="10825" xr:uid="{00000000-0005-0000-0000-00006A400000}"/>
    <cellStyle name="Normal 91 2 3 4" xfId="4402" xr:uid="{00000000-0005-0000-0000-00006B400000}"/>
    <cellStyle name="Normal 91 2 3 4 2" xfId="8916" xr:uid="{00000000-0005-0000-0000-00006C400000}"/>
    <cellStyle name="Normal 91 2 3 4 2 2" xfId="17957" xr:uid="{00000000-0005-0000-0000-00006D400000}"/>
    <cellStyle name="Normal 91 2 3 4 3" xfId="13444" xr:uid="{00000000-0005-0000-0000-00006E400000}"/>
    <cellStyle name="Normal 91 2 3 5" xfId="5169" xr:uid="{00000000-0005-0000-0000-00006F400000}"/>
    <cellStyle name="Normal 91 2 3 5 2" xfId="14210" xr:uid="{00000000-0005-0000-0000-000070400000}"/>
    <cellStyle name="Normal 91 2 3 6" xfId="9697" xr:uid="{00000000-0005-0000-0000-000071400000}"/>
    <cellStyle name="Normal 91 2 4" xfId="792" xr:uid="{00000000-0005-0000-0000-000072400000}"/>
    <cellStyle name="Normal 91 2 4 2" xfId="1962" xr:uid="{00000000-0005-0000-0000-000073400000}"/>
    <cellStyle name="Normal 91 2 4 2 2" xfId="4407" xr:uid="{00000000-0005-0000-0000-000074400000}"/>
    <cellStyle name="Normal 91 2 4 2 2 2" xfId="8921" xr:uid="{00000000-0005-0000-0000-000075400000}"/>
    <cellStyle name="Normal 91 2 4 2 2 2 2" xfId="17962" xr:uid="{00000000-0005-0000-0000-000076400000}"/>
    <cellStyle name="Normal 91 2 4 2 2 3" xfId="13449" xr:uid="{00000000-0005-0000-0000-000077400000}"/>
    <cellStyle name="Normal 91 2 4 2 3" xfId="6485" xr:uid="{00000000-0005-0000-0000-000078400000}"/>
    <cellStyle name="Normal 91 2 4 2 3 2" xfId="15526" xr:uid="{00000000-0005-0000-0000-000079400000}"/>
    <cellStyle name="Normal 91 2 4 2 4" xfId="11013" xr:uid="{00000000-0005-0000-0000-00007A400000}"/>
    <cellStyle name="Normal 91 2 4 3" xfId="4406" xr:uid="{00000000-0005-0000-0000-00007B400000}"/>
    <cellStyle name="Normal 91 2 4 3 2" xfId="8920" xr:uid="{00000000-0005-0000-0000-00007C400000}"/>
    <cellStyle name="Normal 91 2 4 3 2 2" xfId="17961" xr:uid="{00000000-0005-0000-0000-00007D400000}"/>
    <cellStyle name="Normal 91 2 4 3 3" xfId="13448" xr:uid="{00000000-0005-0000-0000-00007E400000}"/>
    <cellStyle name="Normal 91 2 4 4" xfId="5357" xr:uid="{00000000-0005-0000-0000-00007F400000}"/>
    <cellStyle name="Normal 91 2 4 4 2" xfId="14398" xr:uid="{00000000-0005-0000-0000-000080400000}"/>
    <cellStyle name="Normal 91 2 4 5" xfId="9885" xr:uid="{00000000-0005-0000-0000-000081400000}"/>
    <cellStyle name="Normal 91 2 5" xfId="1398" xr:uid="{00000000-0005-0000-0000-000082400000}"/>
    <cellStyle name="Normal 91 2 5 2" xfId="4408" xr:uid="{00000000-0005-0000-0000-000083400000}"/>
    <cellStyle name="Normal 91 2 5 2 2" xfId="8922" xr:uid="{00000000-0005-0000-0000-000084400000}"/>
    <cellStyle name="Normal 91 2 5 2 2 2" xfId="17963" xr:uid="{00000000-0005-0000-0000-000085400000}"/>
    <cellStyle name="Normal 91 2 5 2 3" xfId="13450" xr:uid="{00000000-0005-0000-0000-000086400000}"/>
    <cellStyle name="Normal 91 2 5 3" xfId="5921" xr:uid="{00000000-0005-0000-0000-000087400000}"/>
    <cellStyle name="Normal 91 2 5 3 2" xfId="14962" xr:uid="{00000000-0005-0000-0000-000088400000}"/>
    <cellStyle name="Normal 91 2 5 4" xfId="10449" xr:uid="{00000000-0005-0000-0000-000089400000}"/>
    <cellStyle name="Normal 91 2 6" xfId="4397" xr:uid="{00000000-0005-0000-0000-00008A400000}"/>
    <cellStyle name="Normal 91 2 6 2" xfId="8911" xr:uid="{00000000-0005-0000-0000-00008B400000}"/>
    <cellStyle name="Normal 91 2 6 2 2" xfId="17952" xr:uid="{00000000-0005-0000-0000-00008C400000}"/>
    <cellStyle name="Normal 91 2 6 3" xfId="13439" xr:uid="{00000000-0005-0000-0000-00008D400000}"/>
    <cellStyle name="Normal 91 2 7" xfId="4793" xr:uid="{00000000-0005-0000-0000-00008E400000}"/>
    <cellStyle name="Normal 91 2 7 2" xfId="13834" xr:uid="{00000000-0005-0000-0000-00008F400000}"/>
    <cellStyle name="Normal 91 2 8" xfId="9321" xr:uid="{00000000-0005-0000-0000-000090400000}"/>
    <cellStyle name="Normal 91 3" xfId="322" xr:uid="{00000000-0005-0000-0000-000091400000}"/>
    <cellStyle name="Normal 91 3 2" xfId="886" xr:uid="{00000000-0005-0000-0000-000092400000}"/>
    <cellStyle name="Normal 91 3 2 2" xfId="2056" xr:uid="{00000000-0005-0000-0000-000093400000}"/>
    <cellStyle name="Normal 91 3 2 2 2" xfId="4411" xr:uid="{00000000-0005-0000-0000-000094400000}"/>
    <cellStyle name="Normal 91 3 2 2 2 2" xfId="8925" xr:uid="{00000000-0005-0000-0000-000095400000}"/>
    <cellStyle name="Normal 91 3 2 2 2 2 2" xfId="17966" xr:uid="{00000000-0005-0000-0000-000096400000}"/>
    <cellStyle name="Normal 91 3 2 2 2 3" xfId="13453" xr:uid="{00000000-0005-0000-0000-000097400000}"/>
    <cellStyle name="Normal 91 3 2 2 3" xfId="6579" xr:uid="{00000000-0005-0000-0000-000098400000}"/>
    <cellStyle name="Normal 91 3 2 2 3 2" xfId="15620" xr:uid="{00000000-0005-0000-0000-000099400000}"/>
    <cellStyle name="Normal 91 3 2 2 4" xfId="11107" xr:uid="{00000000-0005-0000-0000-00009A400000}"/>
    <cellStyle name="Normal 91 3 2 3" xfId="4410" xr:uid="{00000000-0005-0000-0000-00009B400000}"/>
    <cellStyle name="Normal 91 3 2 3 2" xfId="8924" xr:uid="{00000000-0005-0000-0000-00009C400000}"/>
    <cellStyle name="Normal 91 3 2 3 2 2" xfId="17965" xr:uid="{00000000-0005-0000-0000-00009D400000}"/>
    <cellStyle name="Normal 91 3 2 3 3" xfId="13452" xr:uid="{00000000-0005-0000-0000-00009E400000}"/>
    <cellStyle name="Normal 91 3 2 4" xfId="5451" xr:uid="{00000000-0005-0000-0000-00009F400000}"/>
    <cellStyle name="Normal 91 3 2 4 2" xfId="14492" xr:uid="{00000000-0005-0000-0000-0000A0400000}"/>
    <cellStyle name="Normal 91 3 2 5" xfId="9979" xr:uid="{00000000-0005-0000-0000-0000A1400000}"/>
    <cellStyle name="Normal 91 3 3" xfId="1492" xr:uid="{00000000-0005-0000-0000-0000A2400000}"/>
    <cellStyle name="Normal 91 3 3 2" xfId="4412" xr:uid="{00000000-0005-0000-0000-0000A3400000}"/>
    <cellStyle name="Normal 91 3 3 2 2" xfId="8926" xr:uid="{00000000-0005-0000-0000-0000A4400000}"/>
    <cellStyle name="Normal 91 3 3 2 2 2" xfId="17967" xr:uid="{00000000-0005-0000-0000-0000A5400000}"/>
    <cellStyle name="Normal 91 3 3 2 3" xfId="13454" xr:uid="{00000000-0005-0000-0000-0000A6400000}"/>
    <cellStyle name="Normal 91 3 3 3" xfId="6015" xr:uid="{00000000-0005-0000-0000-0000A7400000}"/>
    <cellStyle name="Normal 91 3 3 3 2" xfId="15056" xr:uid="{00000000-0005-0000-0000-0000A8400000}"/>
    <cellStyle name="Normal 91 3 3 4" xfId="10543" xr:uid="{00000000-0005-0000-0000-0000A9400000}"/>
    <cellStyle name="Normal 91 3 4" xfId="4409" xr:uid="{00000000-0005-0000-0000-0000AA400000}"/>
    <cellStyle name="Normal 91 3 4 2" xfId="8923" xr:uid="{00000000-0005-0000-0000-0000AB400000}"/>
    <cellStyle name="Normal 91 3 4 2 2" xfId="17964" xr:uid="{00000000-0005-0000-0000-0000AC400000}"/>
    <cellStyle name="Normal 91 3 4 3" xfId="13451" xr:uid="{00000000-0005-0000-0000-0000AD400000}"/>
    <cellStyle name="Normal 91 3 5" xfId="4887" xr:uid="{00000000-0005-0000-0000-0000AE400000}"/>
    <cellStyle name="Normal 91 3 5 2" xfId="13928" xr:uid="{00000000-0005-0000-0000-0000AF400000}"/>
    <cellStyle name="Normal 91 3 6" xfId="9415" xr:uid="{00000000-0005-0000-0000-0000B0400000}"/>
    <cellStyle name="Normal 91 4" xfId="510" xr:uid="{00000000-0005-0000-0000-0000B1400000}"/>
    <cellStyle name="Normal 91 4 2" xfId="1074" xr:uid="{00000000-0005-0000-0000-0000B2400000}"/>
    <cellStyle name="Normal 91 4 2 2" xfId="2244" xr:uid="{00000000-0005-0000-0000-0000B3400000}"/>
    <cellStyle name="Normal 91 4 2 2 2" xfId="4415" xr:uid="{00000000-0005-0000-0000-0000B4400000}"/>
    <cellStyle name="Normal 91 4 2 2 2 2" xfId="8929" xr:uid="{00000000-0005-0000-0000-0000B5400000}"/>
    <cellStyle name="Normal 91 4 2 2 2 2 2" xfId="17970" xr:uid="{00000000-0005-0000-0000-0000B6400000}"/>
    <cellStyle name="Normal 91 4 2 2 2 3" xfId="13457" xr:uid="{00000000-0005-0000-0000-0000B7400000}"/>
    <cellStyle name="Normal 91 4 2 2 3" xfId="6767" xr:uid="{00000000-0005-0000-0000-0000B8400000}"/>
    <cellStyle name="Normal 91 4 2 2 3 2" xfId="15808" xr:uid="{00000000-0005-0000-0000-0000B9400000}"/>
    <cellStyle name="Normal 91 4 2 2 4" xfId="11295" xr:uid="{00000000-0005-0000-0000-0000BA400000}"/>
    <cellStyle name="Normal 91 4 2 3" xfId="4414" xr:uid="{00000000-0005-0000-0000-0000BB400000}"/>
    <cellStyle name="Normal 91 4 2 3 2" xfId="8928" xr:uid="{00000000-0005-0000-0000-0000BC400000}"/>
    <cellStyle name="Normal 91 4 2 3 2 2" xfId="17969" xr:uid="{00000000-0005-0000-0000-0000BD400000}"/>
    <cellStyle name="Normal 91 4 2 3 3" xfId="13456" xr:uid="{00000000-0005-0000-0000-0000BE400000}"/>
    <cellStyle name="Normal 91 4 2 4" xfId="5639" xr:uid="{00000000-0005-0000-0000-0000BF400000}"/>
    <cellStyle name="Normal 91 4 2 4 2" xfId="14680" xr:uid="{00000000-0005-0000-0000-0000C0400000}"/>
    <cellStyle name="Normal 91 4 2 5" xfId="10167" xr:uid="{00000000-0005-0000-0000-0000C1400000}"/>
    <cellStyle name="Normal 91 4 3" xfId="1680" xr:uid="{00000000-0005-0000-0000-0000C2400000}"/>
    <cellStyle name="Normal 91 4 3 2" xfId="4416" xr:uid="{00000000-0005-0000-0000-0000C3400000}"/>
    <cellStyle name="Normal 91 4 3 2 2" xfId="8930" xr:uid="{00000000-0005-0000-0000-0000C4400000}"/>
    <cellStyle name="Normal 91 4 3 2 2 2" xfId="17971" xr:uid="{00000000-0005-0000-0000-0000C5400000}"/>
    <cellStyle name="Normal 91 4 3 2 3" xfId="13458" xr:uid="{00000000-0005-0000-0000-0000C6400000}"/>
    <cellStyle name="Normal 91 4 3 3" xfId="6203" xr:uid="{00000000-0005-0000-0000-0000C7400000}"/>
    <cellStyle name="Normal 91 4 3 3 2" xfId="15244" xr:uid="{00000000-0005-0000-0000-0000C8400000}"/>
    <cellStyle name="Normal 91 4 3 4" xfId="10731" xr:uid="{00000000-0005-0000-0000-0000C9400000}"/>
    <cellStyle name="Normal 91 4 4" xfId="4413" xr:uid="{00000000-0005-0000-0000-0000CA400000}"/>
    <cellStyle name="Normal 91 4 4 2" xfId="8927" xr:uid="{00000000-0005-0000-0000-0000CB400000}"/>
    <cellStyle name="Normal 91 4 4 2 2" xfId="17968" xr:uid="{00000000-0005-0000-0000-0000CC400000}"/>
    <cellStyle name="Normal 91 4 4 3" xfId="13455" xr:uid="{00000000-0005-0000-0000-0000CD400000}"/>
    <cellStyle name="Normal 91 4 5" xfId="5075" xr:uid="{00000000-0005-0000-0000-0000CE400000}"/>
    <cellStyle name="Normal 91 4 5 2" xfId="14116" xr:uid="{00000000-0005-0000-0000-0000CF400000}"/>
    <cellStyle name="Normal 91 4 6" xfId="9603" xr:uid="{00000000-0005-0000-0000-0000D0400000}"/>
    <cellStyle name="Normal 91 5" xfId="698" xr:uid="{00000000-0005-0000-0000-0000D1400000}"/>
    <cellStyle name="Normal 91 5 2" xfId="1868" xr:uid="{00000000-0005-0000-0000-0000D2400000}"/>
    <cellStyle name="Normal 91 5 2 2" xfId="4418" xr:uid="{00000000-0005-0000-0000-0000D3400000}"/>
    <cellStyle name="Normal 91 5 2 2 2" xfId="8932" xr:uid="{00000000-0005-0000-0000-0000D4400000}"/>
    <cellStyle name="Normal 91 5 2 2 2 2" xfId="17973" xr:uid="{00000000-0005-0000-0000-0000D5400000}"/>
    <cellStyle name="Normal 91 5 2 2 3" xfId="13460" xr:uid="{00000000-0005-0000-0000-0000D6400000}"/>
    <cellStyle name="Normal 91 5 2 3" xfId="6391" xr:uid="{00000000-0005-0000-0000-0000D7400000}"/>
    <cellStyle name="Normal 91 5 2 3 2" xfId="15432" xr:uid="{00000000-0005-0000-0000-0000D8400000}"/>
    <cellStyle name="Normal 91 5 2 4" xfId="10919" xr:uid="{00000000-0005-0000-0000-0000D9400000}"/>
    <cellStyle name="Normal 91 5 3" xfId="4417" xr:uid="{00000000-0005-0000-0000-0000DA400000}"/>
    <cellStyle name="Normal 91 5 3 2" xfId="8931" xr:uid="{00000000-0005-0000-0000-0000DB400000}"/>
    <cellStyle name="Normal 91 5 3 2 2" xfId="17972" xr:uid="{00000000-0005-0000-0000-0000DC400000}"/>
    <cellStyle name="Normal 91 5 3 3" xfId="13459" xr:uid="{00000000-0005-0000-0000-0000DD400000}"/>
    <cellStyle name="Normal 91 5 4" xfId="5263" xr:uid="{00000000-0005-0000-0000-0000DE400000}"/>
    <cellStyle name="Normal 91 5 4 2" xfId="14304" xr:uid="{00000000-0005-0000-0000-0000DF400000}"/>
    <cellStyle name="Normal 91 5 5" xfId="9791" xr:uid="{00000000-0005-0000-0000-0000E0400000}"/>
    <cellStyle name="Normal 91 6" xfId="1304" xr:uid="{00000000-0005-0000-0000-0000E1400000}"/>
    <cellStyle name="Normal 91 6 2" xfId="4419" xr:uid="{00000000-0005-0000-0000-0000E2400000}"/>
    <cellStyle name="Normal 91 6 2 2" xfId="8933" xr:uid="{00000000-0005-0000-0000-0000E3400000}"/>
    <cellStyle name="Normal 91 6 2 2 2" xfId="17974" xr:uid="{00000000-0005-0000-0000-0000E4400000}"/>
    <cellStyle name="Normal 91 6 2 3" xfId="13461" xr:uid="{00000000-0005-0000-0000-0000E5400000}"/>
    <cellStyle name="Normal 91 6 3" xfId="5827" xr:uid="{00000000-0005-0000-0000-0000E6400000}"/>
    <cellStyle name="Normal 91 6 3 2" xfId="14868" xr:uid="{00000000-0005-0000-0000-0000E7400000}"/>
    <cellStyle name="Normal 91 6 4" xfId="10355" xr:uid="{00000000-0005-0000-0000-0000E8400000}"/>
    <cellStyle name="Normal 91 7" xfId="4396" xr:uid="{00000000-0005-0000-0000-0000E9400000}"/>
    <cellStyle name="Normal 91 7 2" xfId="8910" xr:uid="{00000000-0005-0000-0000-0000EA400000}"/>
    <cellStyle name="Normal 91 7 2 2" xfId="17951" xr:uid="{00000000-0005-0000-0000-0000EB400000}"/>
    <cellStyle name="Normal 91 7 3" xfId="13438" xr:uid="{00000000-0005-0000-0000-0000EC400000}"/>
    <cellStyle name="Normal 91 8" xfId="4699" xr:uid="{00000000-0005-0000-0000-0000ED400000}"/>
    <cellStyle name="Normal 91 8 2" xfId="13740" xr:uid="{00000000-0005-0000-0000-0000EE400000}"/>
    <cellStyle name="Normal 91 9" xfId="9227" xr:uid="{00000000-0005-0000-0000-0000EF400000}"/>
    <cellStyle name="Normal 92" xfId="92" xr:uid="{00000000-0005-0000-0000-0000F0400000}"/>
    <cellStyle name="Normal 92 2" xfId="188" xr:uid="{00000000-0005-0000-0000-0000F1400000}"/>
    <cellStyle name="Normal 92 2 2" xfId="417" xr:uid="{00000000-0005-0000-0000-0000F2400000}"/>
    <cellStyle name="Normal 92 2 2 2" xfId="981" xr:uid="{00000000-0005-0000-0000-0000F3400000}"/>
    <cellStyle name="Normal 92 2 2 2 2" xfId="2151" xr:uid="{00000000-0005-0000-0000-0000F4400000}"/>
    <cellStyle name="Normal 92 2 2 2 2 2" xfId="4424" xr:uid="{00000000-0005-0000-0000-0000F5400000}"/>
    <cellStyle name="Normal 92 2 2 2 2 2 2" xfId="8938" xr:uid="{00000000-0005-0000-0000-0000F6400000}"/>
    <cellStyle name="Normal 92 2 2 2 2 2 2 2" xfId="17979" xr:uid="{00000000-0005-0000-0000-0000F7400000}"/>
    <cellStyle name="Normal 92 2 2 2 2 2 3" xfId="13466" xr:uid="{00000000-0005-0000-0000-0000F8400000}"/>
    <cellStyle name="Normal 92 2 2 2 2 3" xfId="6674" xr:uid="{00000000-0005-0000-0000-0000F9400000}"/>
    <cellStyle name="Normal 92 2 2 2 2 3 2" xfId="15715" xr:uid="{00000000-0005-0000-0000-0000FA400000}"/>
    <cellStyle name="Normal 92 2 2 2 2 4" xfId="11202" xr:uid="{00000000-0005-0000-0000-0000FB400000}"/>
    <cellStyle name="Normal 92 2 2 2 3" xfId="4423" xr:uid="{00000000-0005-0000-0000-0000FC400000}"/>
    <cellStyle name="Normal 92 2 2 2 3 2" xfId="8937" xr:uid="{00000000-0005-0000-0000-0000FD400000}"/>
    <cellStyle name="Normal 92 2 2 2 3 2 2" xfId="17978" xr:uid="{00000000-0005-0000-0000-0000FE400000}"/>
    <cellStyle name="Normal 92 2 2 2 3 3" xfId="13465" xr:uid="{00000000-0005-0000-0000-0000FF400000}"/>
    <cellStyle name="Normal 92 2 2 2 4" xfId="5546" xr:uid="{00000000-0005-0000-0000-000000410000}"/>
    <cellStyle name="Normal 92 2 2 2 4 2" xfId="14587" xr:uid="{00000000-0005-0000-0000-000001410000}"/>
    <cellStyle name="Normal 92 2 2 2 5" xfId="10074" xr:uid="{00000000-0005-0000-0000-000002410000}"/>
    <cellStyle name="Normal 92 2 2 3" xfId="1587" xr:uid="{00000000-0005-0000-0000-000003410000}"/>
    <cellStyle name="Normal 92 2 2 3 2" xfId="4425" xr:uid="{00000000-0005-0000-0000-000004410000}"/>
    <cellStyle name="Normal 92 2 2 3 2 2" xfId="8939" xr:uid="{00000000-0005-0000-0000-000005410000}"/>
    <cellStyle name="Normal 92 2 2 3 2 2 2" xfId="17980" xr:uid="{00000000-0005-0000-0000-000006410000}"/>
    <cellStyle name="Normal 92 2 2 3 2 3" xfId="13467" xr:uid="{00000000-0005-0000-0000-000007410000}"/>
    <cellStyle name="Normal 92 2 2 3 3" xfId="6110" xr:uid="{00000000-0005-0000-0000-000008410000}"/>
    <cellStyle name="Normal 92 2 2 3 3 2" xfId="15151" xr:uid="{00000000-0005-0000-0000-000009410000}"/>
    <cellStyle name="Normal 92 2 2 3 4" xfId="10638" xr:uid="{00000000-0005-0000-0000-00000A410000}"/>
    <cellStyle name="Normal 92 2 2 4" xfId="4422" xr:uid="{00000000-0005-0000-0000-00000B410000}"/>
    <cellStyle name="Normal 92 2 2 4 2" xfId="8936" xr:uid="{00000000-0005-0000-0000-00000C410000}"/>
    <cellStyle name="Normal 92 2 2 4 2 2" xfId="17977" xr:uid="{00000000-0005-0000-0000-00000D410000}"/>
    <cellStyle name="Normal 92 2 2 4 3" xfId="13464" xr:uid="{00000000-0005-0000-0000-00000E410000}"/>
    <cellStyle name="Normal 92 2 2 5" xfId="4982" xr:uid="{00000000-0005-0000-0000-00000F410000}"/>
    <cellStyle name="Normal 92 2 2 5 2" xfId="14023" xr:uid="{00000000-0005-0000-0000-000010410000}"/>
    <cellStyle name="Normal 92 2 2 6" xfId="9510" xr:uid="{00000000-0005-0000-0000-000011410000}"/>
    <cellStyle name="Normal 92 2 3" xfId="605" xr:uid="{00000000-0005-0000-0000-000012410000}"/>
    <cellStyle name="Normal 92 2 3 2" xfId="1169" xr:uid="{00000000-0005-0000-0000-000013410000}"/>
    <cellStyle name="Normal 92 2 3 2 2" xfId="2339" xr:uid="{00000000-0005-0000-0000-000014410000}"/>
    <cellStyle name="Normal 92 2 3 2 2 2" xfId="4428" xr:uid="{00000000-0005-0000-0000-000015410000}"/>
    <cellStyle name="Normal 92 2 3 2 2 2 2" xfId="8942" xr:uid="{00000000-0005-0000-0000-000016410000}"/>
    <cellStyle name="Normal 92 2 3 2 2 2 2 2" xfId="17983" xr:uid="{00000000-0005-0000-0000-000017410000}"/>
    <cellStyle name="Normal 92 2 3 2 2 2 3" xfId="13470" xr:uid="{00000000-0005-0000-0000-000018410000}"/>
    <cellStyle name="Normal 92 2 3 2 2 3" xfId="6862" xr:uid="{00000000-0005-0000-0000-000019410000}"/>
    <cellStyle name="Normal 92 2 3 2 2 3 2" xfId="15903" xr:uid="{00000000-0005-0000-0000-00001A410000}"/>
    <cellStyle name="Normal 92 2 3 2 2 4" xfId="11390" xr:uid="{00000000-0005-0000-0000-00001B410000}"/>
    <cellStyle name="Normal 92 2 3 2 3" xfId="4427" xr:uid="{00000000-0005-0000-0000-00001C410000}"/>
    <cellStyle name="Normal 92 2 3 2 3 2" xfId="8941" xr:uid="{00000000-0005-0000-0000-00001D410000}"/>
    <cellStyle name="Normal 92 2 3 2 3 2 2" xfId="17982" xr:uid="{00000000-0005-0000-0000-00001E410000}"/>
    <cellStyle name="Normal 92 2 3 2 3 3" xfId="13469" xr:uid="{00000000-0005-0000-0000-00001F410000}"/>
    <cellStyle name="Normal 92 2 3 2 4" xfId="5734" xr:uid="{00000000-0005-0000-0000-000020410000}"/>
    <cellStyle name="Normal 92 2 3 2 4 2" xfId="14775" xr:uid="{00000000-0005-0000-0000-000021410000}"/>
    <cellStyle name="Normal 92 2 3 2 5" xfId="10262" xr:uid="{00000000-0005-0000-0000-000022410000}"/>
    <cellStyle name="Normal 92 2 3 3" xfId="1775" xr:uid="{00000000-0005-0000-0000-000023410000}"/>
    <cellStyle name="Normal 92 2 3 3 2" xfId="4429" xr:uid="{00000000-0005-0000-0000-000024410000}"/>
    <cellStyle name="Normal 92 2 3 3 2 2" xfId="8943" xr:uid="{00000000-0005-0000-0000-000025410000}"/>
    <cellStyle name="Normal 92 2 3 3 2 2 2" xfId="17984" xr:uid="{00000000-0005-0000-0000-000026410000}"/>
    <cellStyle name="Normal 92 2 3 3 2 3" xfId="13471" xr:uid="{00000000-0005-0000-0000-000027410000}"/>
    <cellStyle name="Normal 92 2 3 3 3" xfId="6298" xr:uid="{00000000-0005-0000-0000-000028410000}"/>
    <cellStyle name="Normal 92 2 3 3 3 2" xfId="15339" xr:uid="{00000000-0005-0000-0000-000029410000}"/>
    <cellStyle name="Normal 92 2 3 3 4" xfId="10826" xr:uid="{00000000-0005-0000-0000-00002A410000}"/>
    <cellStyle name="Normal 92 2 3 4" xfId="4426" xr:uid="{00000000-0005-0000-0000-00002B410000}"/>
    <cellStyle name="Normal 92 2 3 4 2" xfId="8940" xr:uid="{00000000-0005-0000-0000-00002C410000}"/>
    <cellStyle name="Normal 92 2 3 4 2 2" xfId="17981" xr:uid="{00000000-0005-0000-0000-00002D410000}"/>
    <cellStyle name="Normal 92 2 3 4 3" xfId="13468" xr:uid="{00000000-0005-0000-0000-00002E410000}"/>
    <cellStyle name="Normal 92 2 3 5" xfId="5170" xr:uid="{00000000-0005-0000-0000-00002F410000}"/>
    <cellStyle name="Normal 92 2 3 5 2" xfId="14211" xr:uid="{00000000-0005-0000-0000-000030410000}"/>
    <cellStyle name="Normal 92 2 3 6" xfId="9698" xr:uid="{00000000-0005-0000-0000-000031410000}"/>
    <cellStyle name="Normal 92 2 4" xfId="793" xr:uid="{00000000-0005-0000-0000-000032410000}"/>
    <cellStyle name="Normal 92 2 4 2" xfId="1963" xr:uid="{00000000-0005-0000-0000-000033410000}"/>
    <cellStyle name="Normal 92 2 4 2 2" xfId="4431" xr:uid="{00000000-0005-0000-0000-000034410000}"/>
    <cellStyle name="Normal 92 2 4 2 2 2" xfId="8945" xr:uid="{00000000-0005-0000-0000-000035410000}"/>
    <cellStyle name="Normal 92 2 4 2 2 2 2" xfId="17986" xr:uid="{00000000-0005-0000-0000-000036410000}"/>
    <cellStyle name="Normal 92 2 4 2 2 3" xfId="13473" xr:uid="{00000000-0005-0000-0000-000037410000}"/>
    <cellStyle name="Normal 92 2 4 2 3" xfId="6486" xr:uid="{00000000-0005-0000-0000-000038410000}"/>
    <cellStyle name="Normal 92 2 4 2 3 2" xfId="15527" xr:uid="{00000000-0005-0000-0000-000039410000}"/>
    <cellStyle name="Normal 92 2 4 2 4" xfId="11014" xr:uid="{00000000-0005-0000-0000-00003A410000}"/>
    <cellStyle name="Normal 92 2 4 3" xfId="4430" xr:uid="{00000000-0005-0000-0000-00003B410000}"/>
    <cellStyle name="Normal 92 2 4 3 2" xfId="8944" xr:uid="{00000000-0005-0000-0000-00003C410000}"/>
    <cellStyle name="Normal 92 2 4 3 2 2" xfId="17985" xr:uid="{00000000-0005-0000-0000-00003D410000}"/>
    <cellStyle name="Normal 92 2 4 3 3" xfId="13472" xr:uid="{00000000-0005-0000-0000-00003E410000}"/>
    <cellStyle name="Normal 92 2 4 4" xfId="5358" xr:uid="{00000000-0005-0000-0000-00003F410000}"/>
    <cellStyle name="Normal 92 2 4 4 2" xfId="14399" xr:uid="{00000000-0005-0000-0000-000040410000}"/>
    <cellStyle name="Normal 92 2 4 5" xfId="9886" xr:uid="{00000000-0005-0000-0000-000041410000}"/>
    <cellStyle name="Normal 92 2 5" xfId="1399" xr:uid="{00000000-0005-0000-0000-000042410000}"/>
    <cellStyle name="Normal 92 2 5 2" xfId="4432" xr:uid="{00000000-0005-0000-0000-000043410000}"/>
    <cellStyle name="Normal 92 2 5 2 2" xfId="8946" xr:uid="{00000000-0005-0000-0000-000044410000}"/>
    <cellStyle name="Normal 92 2 5 2 2 2" xfId="17987" xr:uid="{00000000-0005-0000-0000-000045410000}"/>
    <cellStyle name="Normal 92 2 5 2 3" xfId="13474" xr:uid="{00000000-0005-0000-0000-000046410000}"/>
    <cellStyle name="Normal 92 2 5 3" xfId="5922" xr:uid="{00000000-0005-0000-0000-000047410000}"/>
    <cellStyle name="Normal 92 2 5 3 2" xfId="14963" xr:uid="{00000000-0005-0000-0000-000048410000}"/>
    <cellStyle name="Normal 92 2 5 4" xfId="10450" xr:uid="{00000000-0005-0000-0000-000049410000}"/>
    <cellStyle name="Normal 92 2 6" xfId="4421" xr:uid="{00000000-0005-0000-0000-00004A410000}"/>
    <cellStyle name="Normal 92 2 6 2" xfId="8935" xr:uid="{00000000-0005-0000-0000-00004B410000}"/>
    <cellStyle name="Normal 92 2 6 2 2" xfId="17976" xr:uid="{00000000-0005-0000-0000-00004C410000}"/>
    <cellStyle name="Normal 92 2 6 3" xfId="13463" xr:uid="{00000000-0005-0000-0000-00004D410000}"/>
    <cellStyle name="Normal 92 2 7" xfId="4794" xr:uid="{00000000-0005-0000-0000-00004E410000}"/>
    <cellStyle name="Normal 92 2 7 2" xfId="13835" xr:uid="{00000000-0005-0000-0000-00004F410000}"/>
    <cellStyle name="Normal 92 2 8" xfId="9322" xr:uid="{00000000-0005-0000-0000-000050410000}"/>
    <cellStyle name="Normal 92 3" xfId="323" xr:uid="{00000000-0005-0000-0000-000051410000}"/>
    <cellStyle name="Normal 92 3 2" xfId="887" xr:uid="{00000000-0005-0000-0000-000052410000}"/>
    <cellStyle name="Normal 92 3 2 2" xfId="2057" xr:uid="{00000000-0005-0000-0000-000053410000}"/>
    <cellStyle name="Normal 92 3 2 2 2" xfId="4435" xr:uid="{00000000-0005-0000-0000-000054410000}"/>
    <cellStyle name="Normal 92 3 2 2 2 2" xfId="8949" xr:uid="{00000000-0005-0000-0000-000055410000}"/>
    <cellStyle name="Normal 92 3 2 2 2 2 2" xfId="17990" xr:uid="{00000000-0005-0000-0000-000056410000}"/>
    <cellStyle name="Normal 92 3 2 2 2 3" xfId="13477" xr:uid="{00000000-0005-0000-0000-000057410000}"/>
    <cellStyle name="Normal 92 3 2 2 3" xfId="6580" xr:uid="{00000000-0005-0000-0000-000058410000}"/>
    <cellStyle name="Normal 92 3 2 2 3 2" xfId="15621" xr:uid="{00000000-0005-0000-0000-000059410000}"/>
    <cellStyle name="Normal 92 3 2 2 4" xfId="11108" xr:uid="{00000000-0005-0000-0000-00005A410000}"/>
    <cellStyle name="Normal 92 3 2 3" xfId="4434" xr:uid="{00000000-0005-0000-0000-00005B410000}"/>
    <cellStyle name="Normal 92 3 2 3 2" xfId="8948" xr:uid="{00000000-0005-0000-0000-00005C410000}"/>
    <cellStyle name="Normal 92 3 2 3 2 2" xfId="17989" xr:uid="{00000000-0005-0000-0000-00005D410000}"/>
    <cellStyle name="Normal 92 3 2 3 3" xfId="13476" xr:uid="{00000000-0005-0000-0000-00005E410000}"/>
    <cellStyle name="Normal 92 3 2 4" xfId="5452" xr:uid="{00000000-0005-0000-0000-00005F410000}"/>
    <cellStyle name="Normal 92 3 2 4 2" xfId="14493" xr:uid="{00000000-0005-0000-0000-000060410000}"/>
    <cellStyle name="Normal 92 3 2 5" xfId="9980" xr:uid="{00000000-0005-0000-0000-000061410000}"/>
    <cellStyle name="Normal 92 3 3" xfId="1493" xr:uid="{00000000-0005-0000-0000-000062410000}"/>
    <cellStyle name="Normal 92 3 3 2" xfId="4436" xr:uid="{00000000-0005-0000-0000-000063410000}"/>
    <cellStyle name="Normal 92 3 3 2 2" xfId="8950" xr:uid="{00000000-0005-0000-0000-000064410000}"/>
    <cellStyle name="Normal 92 3 3 2 2 2" xfId="17991" xr:uid="{00000000-0005-0000-0000-000065410000}"/>
    <cellStyle name="Normal 92 3 3 2 3" xfId="13478" xr:uid="{00000000-0005-0000-0000-000066410000}"/>
    <cellStyle name="Normal 92 3 3 3" xfId="6016" xr:uid="{00000000-0005-0000-0000-000067410000}"/>
    <cellStyle name="Normal 92 3 3 3 2" xfId="15057" xr:uid="{00000000-0005-0000-0000-000068410000}"/>
    <cellStyle name="Normal 92 3 3 4" xfId="10544" xr:uid="{00000000-0005-0000-0000-000069410000}"/>
    <cellStyle name="Normal 92 3 4" xfId="4433" xr:uid="{00000000-0005-0000-0000-00006A410000}"/>
    <cellStyle name="Normal 92 3 4 2" xfId="8947" xr:uid="{00000000-0005-0000-0000-00006B410000}"/>
    <cellStyle name="Normal 92 3 4 2 2" xfId="17988" xr:uid="{00000000-0005-0000-0000-00006C410000}"/>
    <cellStyle name="Normal 92 3 4 3" xfId="13475" xr:uid="{00000000-0005-0000-0000-00006D410000}"/>
    <cellStyle name="Normal 92 3 5" xfId="4888" xr:uid="{00000000-0005-0000-0000-00006E410000}"/>
    <cellStyle name="Normal 92 3 5 2" xfId="13929" xr:uid="{00000000-0005-0000-0000-00006F410000}"/>
    <cellStyle name="Normal 92 3 6" xfId="9416" xr:uid="{00000000-0005-0000-0000-000070410000}"/>
    <cellStyle name="Normal 92 4" xfId="511" xr:uid="{00000000-0005-0000-0000-000071410000}"/>
    <cellStyle name="Normal 92 4 2" xfId="1075" xr:uid="{00000000-0005-0000-0000-000072410000}"/>
    <cellStyle name="Normal 92 4 2 2" xfId="2245" xr:uid="{00000000-0005-0000-0000-000073410000}"/>
    <cellStyle name="Normal 92 4 2 2 2" xfId="4439" xr:uid="{00000000-0005-0000-0000-000074410000}"/>
    <cellStyle name="Normal 92 4 2 2 2 2" xfId="8953" xr:uid="{00000000-0005-0000-0000-000075410000}"/>
    <cellStyle name="Normal 92 4 2 2 2 2 2" xfId="17994" xr:uid="{00000000-0005-0000-0000-000076410000}"/>
    <cellStyle name="Normal 92 4 2 2 2 3" xfId="13481" xr:uid="{00000000-0005-0000-0000-000077410000}"/>
    <cellStyle name="Normal 92 4 2 2 3" xfId="6768" xr:uid="{00000000-0005-0000-0000-000078410000}"/>
    <cellStyle name="Normal 92 4 2 2 3 2" xfId="15809" xr:uid="{00000000-0005-0000-0000-000079410000}"/>
    <cellStyle name="Normal 92 4 2 2 4" xfId="11296" xr:uid="{00000000-0005-0000-0000-00007A410000}"/>
    <cellStyle name="Normal 92 4 2 3" xfId="4438" xr:uid="{00000000-0005-0000-0000-00007B410000}"/>
    <cellStyle name="Normal 92 4 2 3 2" xfId="8952" xr:uid="{00000000-0005-0000-0000-00007C410000}"/>
    <cellStyle name="Normal 92 4 2 3 2 2" xfId="17993" xr:uid="{00000000-0005-0000-0000-00007D410000}"/>
    <cellStyle name="Normal 92 4 2 3 3" xfId="13480" xr:uid="{00000000-0005-0000-0000-00007E410000}"/>
    <cellStyle name="Normal 92 4 2 4" xfId="5640" xr:uid="{00000000-0005-0000-0000-00007F410000}"/>
    <cellStyle name="Normal 92 4 2 4 2" xfId="14681" xr:uid="{00000000-0005-0000-0000-000080410000}"/>
    <cellStyle name="Normal 92 4 2 5" xfId="10168" xr:uid="{00000000-0005-0000-0000-000081410000}"/>
    <cellStyle name="Normal 92 4 3" xfId="1681" xr:uid="{00000000-0005-0000-0000-000082410000}"/>
    <cellStyle name="Normal 92 4 3 2" xfId="4440" xr:uid="{00000000-0005-0000-0000-000083410000}"/>
    <cellStyle name="Normal 92 4 3 2 2" xfId="8954" xr:uid="{00000000-0005-0000-0000-000084410000}"/>
    <cellStyle name="Normal 92 4 3 2 2 2" xfId="17995" xr:uid="{00000000-0005-0000-0000-000085410000}"/>
    <cellStyle name="Normal 92 4 3 2 3" xfId="13482" xr:uid="{00000000-0005-0000-0000-000086410000}"/>
    <cellStyle name="Normal 92 4 3 3" xfId="6204" xr:uid="{00000000-0005-0000-0000-000087410000}"/>
    <cellStyle name="Normal 92 4 3 3 2" xfId="15245" xr:uid="{00000000-0005-0000-0000-000088410000}"/>
    <cellStyle name="Normal 92 4 3 4" xfId="10732" xr:uid="{00000000-0005-0000-0000-000089410000}"/>
    <cellStyle name="Normal 92 4 4" xfId="4437" xr:uid="{00000000-0005-0000-0000-00008A410000}"/>
    <cellStyle name="Normal 92 4 4 2" xfId="8951" xr:uid="{00000000-0005-0000-0000-00008B410000}"/>
    <cellStyle name="Normal 92 4 4 2 2" xfId="17992" xr:uid="{00000000-0005-0000-0000-00008C410000}"/>
    <cellStyle name="Normal 92 4 4 3" xfId="13479" xr:uid="{00000000-0005-0000-0000-00008D410000}"/>
    <cellStyle name="Normal 92 4 5" xfId="5076" xr:uid="{00000000-0005-0000-0000-00008E410000}"/>
    <cellStyle name="Normal 92 4 5 2" xfId="14117" xr:uid="{00000000-0005-0000-0000-00008F410000}"/>
    <cellStyle name="Normal 92 4 6" xfId="9604" xr:uid="{00000000-0005-0000-0000-000090410000}"/>
    <cellStyle name="Normal 92 5" xfId="699" xr:uid="{00000000-0005-0000-0000-000091410000}"/>
    <cellStyle name="Normal 92 5 2" xfId="1869" xr:uid="{00000000-0005-0000-0000-000092410000}"/>
    <cellStyle name="Normal 92 5 2 2" xfId="4442" xr:uid="{00000000-0005-0000-0000-000093410000}"/>
    <cellStyle name="Normal 92 5 2 2 2" xfId="8956" xr:uid="{00000000-0005-0000-0000-000094410000}"/>
    <cellStyle name="Normal 92 5 2 2 2 2" xfId="17997" xr:uid="{00000000-0005-0000-0000-000095410000}"/>
    <cellStyle name="Normal 92 5 2 2 3" xfId="13484" xr:uid="{00000000-0005-0000-0000-000096410000}"/>
    <cellStyle name="Normal 92 5 2 3" xfId="6392" xr:uid="{00000000-0005-0000-0000-000097410000}"/>
    <cellStyle name="Normal 92 5 2 3 2" xfId="15433" xr:uid="{00000000-0005-0000-0000-000098410000}"/>
    <cellStyle name="Normal 92 5 2 4" xfId="10920" xr:uid="{00000000-0005-0000-0000-000099410000}"/>
    <cellStyle name="Normal 92 5 3" xfId="4441" xr:uid="{00000000-0005-0000-0000-00009A410000}"/>
    <cellStyle name="Normal 92 5 3 2" xfId="8955" xr:uid="{00000000-0005-0000-0000-00009B410000}"/>
    <cellStyle name="Normal 92 5 3 2 2" xfId="17996" xr:uid="{00000000-0005-0000-0000-00009C410000}"/>
    <cellStyle name="Normal 92 5 3 3" xfId="13483" xr:uid="{00000000-0005-0000-0000-00009D410000}"/>
    <cellStyle name="Normal 92 5 4" xfId="5264" xr:uid="{00000000-0005-0000-0000-00009E410000}"/>
    <cellStyle name="Normal 92 5 4 2" xfId="14305" xr:uid="{00000000-0005-0000-0000-00009F410000}"/>
    <cellStyle name="Normal 92 5 5" xfId="9792" xr:uid="{00000000-0005-0000-0000-0000A0410000}"/>
    <cellStyle name="Normal 92 6" xfId="1305" xr:uid="{00000000-0005-0000-0000-0000A1410000}"/>
    <cellStyle name="Normal 92 6 2" xfId="4443" xr:uid="{00000000-0005-0000-0000-0000A2410000}"/>
    <cellStyle name="Normal 92 6 2 2" xfId="8957" xr:uid="{00000000-0005-0000-0000-0000A3410000}"/>
    <cellStyle name="Normal 92 6 2 2 2" xfId="17998" xr:uid="{00000000-0005-0000-0000-0000A4410000}"/>
    <cellStyle name="Normal 92 6 2 3" xfId="13485" xr:uid="{00000000-0005-0000-0000-0000A5410000}"/>
    <cellStyle name="Normal 92 6 3" xfId="5828" xr:uid="{00000000-0005-0000-0000-0000A6410000}"/>
    <cellStyle name="Normal 92 6 3 2" xfId="14869" xr:uid="{00000000-0005-0000-0000-0000A7410000}"/>
    <cellStyle name="Normal 92 6 4" xfId="10356" xr:uid="{00000000-0005-0000-0000-0000A8410000}"/>
    <cellStyle name="Normal 92 7" xfId="4420" xr:uid="{00000000-0005-0000-0000-0000A9410000}"/>
    <cellStyle name="Normal 92 7 2" xfId="8934" xr:uid="{00000000-0005-0000-0000-0000AA410000}"/>
    <cellStyle name="Normal 92 7 2 2" xfId="17975" xr:uid="{00000000-0005-0000-0000-0000AB410000}"/>
    <cellStyle name="Normal 92 7 3" xfId="13462" xr:uid="{00000000-0005-0000-0000-0000AC410000}"/>
    <cellStyle name="Normal 92 8" xfId="4700" xr:uid="{00000000-0005-0000-0000-0000AD410000}"/>
    <cellStyle name="Normal 92 8 2" xfId="13741" xr:uid="{00000000-0005-0000-0000-0000AE410000}"/>
    <cellStyle name="Normal 92 9" xfId="9228" xr:uid="{00000000-0005-0000-0000-0000AF410000}"/>
    <cellStyle name="Normal 93" xfId="93" xr:uid="{00000000-0005-0000-0000-0000B0410000}"/>
    <cellStyle name="Normal 93 2" xfId="189" xr:uid="{00000000-0005-0000-0000-0000B1410000}"/>
    <cellStyle name="Normal 93 2 2" xfId="418" xr:uid="{00000000-0005-0000-0000-0000B2410000}"/>
    <cellStyle name="Normal 93 2 2 2" xfId="982" xr:uid="{00000000-0005-0000-0000-0000B3410000}"/>
    <cellStyle name="Normal 93 2 2 2 2" xfId="2152" xr:uid="{00000000-0005-0000-0000-0000B4410000}"/>
    <cellStyle name="Normal 93 2 2 2 2 2" xfId="4448" xr:uid="{00000000-0005-0000-0000-0000B5410000}"/>
    <cellStyle name="Normal 93 2 2 2 2 2 2" xfId="8962" xr:uid="{00000000-0005-0000-0000-0000B6410000}"/>
    <cellStyle name="Normal 93 2 2 2 2 2 2 2" xfId="18003" xr:uid="{00000000-0005-0000-0000-0000B7410000}"/>
    <cellStyle name="Normal 93 2 2 2 2 2 3" xfId="13490" xr:uid="{00000000-0005-0000-0000-0000B8410000}"/>
    <cellStyle name="Normal 93 2 2 2 2 3" xfId="6675" xr:uid="{00000000-0005-0000-0000-0000B9410000}"/>
    <cellStyle name="Normal 93 2 2 2 2 3 2" xfId="15716" xr:uid="{00000000-0005-0000-0000-0000BA410000}"/>
    <cellStyle name="Normal 93 2 2 2 2 4" xfId="11203" xr:uid="{00000000-0005-0000-0000-0000BB410000}"/>
    <cellStyle name="Normal 93 2 2 2 3" xfId="4447" xr:uid="{00000000-0005-0000-0000-0000BC410000}"/>
    <cellStyle name="Normal 93 2 2 2 3 2" xfId="8961" xr:uid="{00000000-0005-0000-0000-0000BD410000}"/>
    <cellStyle name="Normal 93 2 2 2 3 2 2" xfId="18002" xr:uid="{00000000-0005-0000-0000-0000BE410000}"/>
    <cellStyle name="Normal 93 2 2 2 3 3" xfId="13489" xr:uid="{00000000-0005-0000-0000-0000BF410000}"/>
    <cellStyle name="Normal 93 2 2 2 4" xfId="5547" xr:uid="{00000000-0005-0000-0000-0000C0410000}"/>
    <cellStyle name="Normal 93 2 2 2 4 2" xfId="14588" xr:uid="{00000000-0005-0000-0000-0000C1410000}"/>
    <cellStyle name="Normal 93 2 2 2 5" xfId="10075" xr:uid="{00000000-0005-0000-0000-0000C2410000}"/>
    <cellStyle name="Normal 93 2 2 3" xfId="1588" xr:uid="{00000000-0005-0000-0000-0000C3410000}"/>
    <cellStyle name="Normal 93 2 2 3 2" xfId="4449" xr:uid="{00000000-0005-0000-0000-0000C4410000}"/>
    <cellStyle name="Normal 93 2 2 3 2 2" xfId="8963" xr:uid="{00000000-0005-0000-0000-0000C5410000}"/>
    <cellStyle name="Normal 93 2 2 3 2 2 2" xfId="18004" xr:uid="{00000000-0005-0000-0000-0000C6410000}"/>
    <cellStyle name="Normal 93 2 2 3 2 3" xfId="13491" xr:uid="{00000000-0005-0000-0000-0000C7410000}"/>
    <cellStyle name="Normal 93 2 2 3 3" xfId="6111" xr:uid="{00000000-0005-0000-0000-0000C8410000}"/>
    <cellStyle name="Normal 93 2 2 3 3 2" xfId="15152" xr:uid="{00000000-0005-0000-0000-0000C9410000}"/>
    <cellStyle name="Normal 93 2 2 3 4" xfId="10639" xr:uid="{00000000-0005-0000-0000-0000CA410000}"/>
    <cellStyle name="Normal 93 2 2 4" xfId="4446" xr:uid="{00000000-0005-0000-0000-0000CB410000}"/>
    <cellStyle name="Normal 93 2 2 4 2" xfId="8960" xr:uid="{00000000-0005-0000-0000-0000CC410000}"/>
    <cellStyle name="Normal 93 2 2 4 2 2" xfId="18001" xr:uid="{00000000-0005-0000-0000-0000CD410000}"/>
    <cellStyle name="Normal 93 2 2 4 3" xfId="13488" xr:uid="{00000000-0005-0000-0000-0000CE410000}"/>
    <cellStyle name="Normal 93 2 2 5" xfId="4983" xr:uid="{00000000-0005-0000-0000-0000CF410000}"/>
    <cellStyle name="Normal 93 2 2 5 2" xfId="14024" xr:uid="{00000000-0005-0000-0000-0000D0410000}"/>
    <cellStyle name="Normal 93 2 2 6" xfId="9511" xr:uid="{00000000-0005-0000-0000-0000D1410000}"/>
    <cellStyle name="Normal 93 2 3" xfId="606" xr:uid="{00000000-0005-0000-0000-0000D2410000}"/>
    <cellStyle name="Normal 93 2 3 2" xfId="1170" xr:uid="{00000000-0005-0000-0000-0000D3410000}"/>
    <cellStyle name="Normal 93 2 3 2 2" xfId="2340" xr:uid="{00000000-0005-0000-0000-0000D4410000}"/>
    <cellStyle name="Normal 93 2 3 2 2 2" xfId="4452" xr:uid="{00000000-0005-0000-0000-0000D5410000}"/>
    <cellStyle name="Normal 93 2 3 2 2 2 2" xfId="8966" xr:uid="{00000000-0005-0000-0000-0000D6410000}"/>
    <cellStyle name="Normal 93 2 3 2 2 2 2 2" xfId="18007" xr:uid="{00000000-0005-0000-0000-0000D7410000}"/>
    <cellStyle name="Normal 93 2 3 2 2 2 3" xfId="13494" xr:uid="{00000000-0005-0000-0000-0000D8410000}"/>
    <cellStyle name="Normal 93 2 3 2 2 3" xfId="6863" xr:uid="{00000000-0005-0000-0000-0000D9410000}"/>
    <cellStyle name="Normal 93 2 3 2 2 3 2" xfId="15904" xr:uid="{00000000-0005-0000-0000-0000DA410000}"/>
    <cellStyle name="Normal 93 2 3 2 2 4" xfId="11391" xr:uid="{00000000-0005-0000-0000-0000DB410000}"/>
    <cellStyle name="Normal 93 2 3 2 3" xfId="4451" xr:uid="{00000000-0005-0000-0000-0000DC410000}"/>
    <cellStyle name="Normal 93 2 3 2 3 2" xfId="8965" xr:uid="{00000000-0005-0000-0000-0000DD410000}"/>
    <cellStyle name="Normal 93 2 3 2 3 2 2" xfId="18006" xr:uid="{00000000-0005-0000-0000-0000DE410000}"/>
    <cellStyle name="Normal 93 2 3 2 3 3" xfId="13493" xr:uid="{00000000-0005-0000-0000-0000DF410000}"/>
    <cellStyle name="Normal 93 2 3 2 4" xfId="5735" xr:uid="{00000000-0005-0000-0000-0000E0410000}"/>
    <cellStyle name="Normal 93 2 3 2 4 2" xfId="14776" xr:uid="{00000000-0005-0000-0000-0000E1410000}"/>
    <cellStyle name="Normal 93 2 3 2 5" xfId="10263" xr:uid="{00000000-0005-0000-0000-0000E2410000}"/>
    <cellStyle name="Normal 93 2 3 3" xfId="1776" xr:uid="{00000000-0005-0000-0000-0000E3410000}"/>
    <cellStyle name="Normal 93 2 3 3 2" xfId="4453" xr:uid="{00000000-0005-0000-0000-0000E4410000}"/>
    <cellStyle name="Normal 93 2 3 3 2 2" xfId="8967" xr:uid="{00000000-0005-0000-0000-0000E5410000}"/>
    <cellStyle name="Normal 93 2 3 3 2 2 2" xfId="18008" xr:uid="{00000000-0005-0000-0000-0000E6410000}"/>
    <cellStyle name="Normal 93 2 3 3 2 3" xfId="13495" xr:uid="{00000000-0005-0000-0000-0000E7410000}"/>
    <cellStyle name="Normal 93 2 3 3 3" xfId="6299" xr:uid="{00000000-0005-0000-0000-0000E8410000}"/>
    <cellStyle name="Normal 93 2 3 3 3 2" xfId="15340" xr:uid="{00000000-0005-0000-0000-0000E9410000}"/>
    <cellStyle name="Normal 93 2 3 3 4" xfId="10827" xr:uid="{00000000-0005-0000-0000-0000EA410000}"/>
    <cellStyle name="Normal 93 2 3 4" xfId="4450" xr:uid="{00000000-0005-0000-0000-0000EB410000}"/>
    <cellStyle name="Normal 93 2 3 4 2" xfId="8964" xr:uid="{00000000-0005-0000-0000-0000EC410000}"/>
    <cellStyle name="Normal 93 2 3 4 2 2" xfId="18005" xr:uid="{00000000-0005-0000-0000-0000ED410000}"/>
    <cellStyle name="Normal 93 2 3 4 3" xfId="13492" xr:uid="{00000000-0005-0000-0000-0000EE410000}"/>
    <cellStyle name="Normal 93 2 3 5" xfId="5171" xr:uid="{00000000-0005-0000-0000-0000EF410000}"/>
    <cellStyle name="Normal 93 2 3 5 2" xfId="14212" xr:uid="{00000000-0005-0000-0000-0000F0410000}"/>
    <cellStyle name="Normal 93 2 3 6" xfId="9699" xr:uid="{00000000-0005-0000-0000-0000F1410000}"/>
    <cellStyle name="Normal 93 2 4" xfId="794" xr:uid="{00000000-0005-0000-0000-0000F2410000}"/>
    <cellStyle name="Normal 93 2 4 2" xfId="1964" xr:uid="{00000000-0005-0000-0000-0000F3410000}"/>
    <cellStyle name="Normal 93 2 4 2 2" xfId="4455" xr:uid="{00000000-0005-0000-0000-0000F4410000}"/>
    <cellStyle name="Normal 93 2 4 2 2 2" xfId="8969" xr:uid="{00000000-0005-0000-0000-0000F5410000}"/>
    <cellStyle name="Normal 93 2 4 2 2 2 2" xfId="18010" xr:uid="{00000000-0005-0000-0000-0000F6410000}"/>
    <cellStyle name="Normal 93 2 4 2 2 3" xfId="13497" xr:uid="{00000000-0005-0000-0000-0000F7410000}"/>
    <cellStyle name="Normal 93 2 4 2 3" xfId="6487" xr:uid="{00000000-0005-0000-0000-0000F8410000}"/>
    <cellStyle name="Normal 93 2 4 2 3 2" xfId="15528" xr:uid="{00000000-0005-0000-0000-0000F9410000}"/>
    <cellStyle name="Normal 93 2 4 2 4" xfId="11015" xr:uid="{00000000-0005-0000-0000-0000FA410000}"/>
    <cellStyle name="Normal 93 2 4 3" xfId="4454" xr:uid="{00000000-0005-0000-0000-0000FB410000}"/>
    <cellStyle name="Normal 93 2 4 3 2" xfId="8968" xr:uid="{00000000-0005-0000-0000-0000FC410000}"/>
    <cellStyle name="Normal 93 2 4 3 2 2" xfId="18009" xr:uid="{00000000-0005-0000-0000-0000FD410000}"/>
    <cellStyle name="Normal 93 2 4 3 3" xfId="13496" xr:uid="{00000000-0005-0000-0000-0000FE410000}"/>
    <cellStyle name="Normal 93 2 4 4" xfId="5359" xr:uid="{00000000-0005-0000-0000-0000FF410000}"/>
    <cellStyle name="Normal 93 2 4 4 2" xfId="14400" xr:uid="{00000000-0005-0000-0000-000000420000}"/>
    <cellStyle name="Normal 93 2 4 5" xfId="9887" xr:uid="{00000000-0005-0000-0000-000001420000}"/>
    <cellStyle name="Normal 93 2 5" xfId="1400" xr:uid="{00000000-0005-0000-0000-000002420000}"/>
    <cellStyle name="Normal 93 2 5 2" xfId="4456" xr:uid="{00000000-0005-0000-0000-000003420000}"/>
    <cellStyle name="Normal 93 2 5 2 2" xfId="8970" xr:uid="{00000000-0005-0000-0000-000004420000}"/>
    <cellStyle name="Normal 93 2 5 2 2 2" xfId="18011" xr:uid="{00000000-0005-0000-0000-000005420000}"/>
    <cellStyle name="Normal 93 2 5 2 3" xfId="13498" xr:uid="{00000000-0005-0000-0000-000006420000}"/>
    <cellStyle name="Normal 93 2 5 3" xfId="5923" xr:uid="{00000000-0005-0000-0000-000007420000}"/>
    <cellStyle name="Normal 93 2 5 3 2" xfId="14964" xr:uid="{00000000-0005-0000-0000-000008420000}"/>
    <cellStyle name="Normal 93 2 5 4" xfId="10451" xr:uid="{00000000-0005-0000-0000-000009420000}"/>
    <cellStyle name="Normal 93 2 6" xfId="4445" xr:uid="{00000000-0005-0000-0000-00000A420000}"/>
    <cellStyle name="Normal 93 2 6 2" xfId="8959" xr:uid="{00000000-0005-0000-0000-00000B420000}"/>
    <cellStyle name="Normal 93 2 6 2 2" xfId="18000" xr:uid="{00000000-0005-0000-0000-00000C420000}"/>
    <cellStyle name="Normal 93 2 6 3" xfId="13487" xr:uid="{00000000-0005-0000-0000-00000D420000}"/>
    <cellStyle name="Normal 93 2 7" xfId="4795" xr:uid="{00000000-0005-0000-0000-00000E420000}"/>
    <cellStyle name="Normal 93 2 7 2" xfId="13836" xr:uid="{00000000-0005-0000-0000-00000F420000}"/>
    <cellStyle name="Normal 93 2 8" xfId="9323" xr:uid="{00000000-0005-0000-0000-000010420000}"/>
    <cellStyle name="Normal 93 3" xfId="324" xr:uid="{00000000-0005-0000-0000-000011420000}"/>
    <cellStyle name="Normal 93 3 2" xfId="888" xr:uid="{00000000-0005-0000-0000-000012420000}"/>
    <cellStyle name="Normal 93 3 2 2" xfId="2058" xr:uid="{00000000-0005-0000-0000-000013420000}"/>
    <cellStyle name="Normal 93 3 2 2 2" xfId="4459" xr:uid="{00000000-0005-0000-0000-000014420000}"/>
    <cellStyle name="Normal 93 3 2 2 2 2" xfId="8973" xr:uid="{00000000-0005-0000-0000-000015420000}"/>
    <cellStyle name="Normal 93 3 2 2 2 2 2" xfId="18014" xr:uid="{00000000-0005-0000-0000-000016420000}"/>
    <cellStyle name="Normal 93 3 2 2 2 3" xfId="13501" xr:uid="{00000000-0005-0000-0000-000017420000}"/>
    <cellStyle name="Normal 93 3 2 2 3" xfId="6581" xr:uid="{00000000-0005-0000-0000-000018420000}"/>
    <cellStyle name="Normal 93 3 2 2 3 2" xfId="15622" xr:uid="{00000000-0005-0000-0000-000019420000}"/>
    <cellStyle name="Normal 93 3 2 2 4" xfId="11109" xr:uid="{00000000-0005-0000-0000-00001A420000}"/>
    <cellStyle name="Normal 93 3 2 3" xfId="4458" xr:uid="{00000000-0005-0000-0000-00001B420000}"/>
    <cellStyle name="Normal 93 3 2 3 2" xfId="8972" xr:uid="{00000000-0005-0000-0000-00001C420000}"/>
    <cellStyle name="Normal 93 3 2 3 2 2" xfId="18013" xr:uid="{00000000-0005-0000-0000-00001D420000}"/>
    <cellStyle name="Normal 93 3 2 3 3" xfId="13500" xr:uid="{00000000-0005-0000-0000-00001E420000}"/>
    <cellStyle name="Normal 93 3 2 4" xfId="5453" xr:uid="{00000000-0005-0000-0000-00001F420000}"/>
    <cellStyle name="Normal 93 3 2 4 2" xfId="14494" xr:uid="{00000000-0005-0000-0000-000020420000}"/>
    <cellStyle name="Normal 93 3 2 5" xfId="9981" xr:uid="{00000000-0005-0000-0000-000021420000}"/>
    <cellStyle name="Normal 93 3 3" xfId="1494" xr:uid="{00000000-0005-0000-0000-000022420000}"/>
    <cellStyle name="Normal 93 3 3 2" xfId="4460" xr:uid="{00000000-0005-0000-0000-000023420000}"/>
    <cellStyle name="Normal 93 3 3 2 2" xfId="8974" xr:uid="{00000000-0005-0000-0000-000024420000}"/>
    <cellStyle name="Normal 93 3 3 2 2 2" xfId="18015" xr:uid="{00000000-0005-0000-0000-000025420000}"/>
    <cellStyle name="Normal 93 3 3 2 3" xfId="13502" xr:uid="{00000000-0005-0000-0000-000026420000}"/>
    <cellStyle name="Normal 93 3 3 3" xfId="6017" xr:uid="{00000000-0005-0000-0000-000027420000}"/>
    <cellStyle name="Normal 93 3 3 3 2" xfId="15058" xr:uid="{00000000-0005-0000-0000-000028420000}"/>
    <cellStyle name="Normal 93 3 3 4" xfId="10545" xr:uid="{00000000-0005-0000-0000-000029420000}"/>
    <cellStyle name="Normal 93 3 4" xfId="4457" xr:uid="{00000000-0005-0000-0000-00002A420000}"/>
    <cellStyle name="Normal 93 3 4 2" xfId="8971" xr:uid="{00000000-0005-0000-0000-00002B420000}"/>
    <cellStyle name="Normal 93 3 4 2 2" xfId="18012" xr:uid="{00000000-0005-0000-0000-00002C420000}"/>
    <cellStyle name="Normal 93 3 4 3" xfId="13499" xr:uid="{00000000-0005-0000-0000-00002D420000}"/>
    <cellStyle name="Normal 93 3 5" xfId="4889" xr:uid="{00000000-0005-0000-0000-00002E420000}"/>
    <cellStyle name="Normal 93 3 5 2" xfId="13930" xr:uid="{00000000-0005-0000-0000-00002F420000}"/>
    <cellStyle name="Normal 93 3 6" xfId="9417" xr:uid="{00000000-0005-0000-0000-000030420000}"/>
    <cellStyle name="Normal 93 4" xfId="512" xr:uid="{00000000-0005-0000-0000-000031420000}"/>
    <cellStyle name="Normal 93 4 2" xfId="1076" xr:uid="{00000000-0005-0000-0000-000032420000}"/>
    <cellStyle name="Normal 93 4 2 2" xfId="2246" xr:uid="{00000000-0005-0000-0000-000033420000}"/>
    <cellStyle name="Normal 93 4 2 2 2" xfId="4463" xr:uid="{00000000-0005-0000-0000-000034420000}"/>
    <cellStyle name="Normal 93 4 2 2 2 2" xfId="8977" xr:uid="{00000000-0005-0000-0000-000035420000}"/>
    <cellStyle name="Normal 93 4 2 2 2 2 2" xfId="18018" xr:uid="{00000000-0005-0000-0000-000036420000}"/>
    <cellStyle name="Normal 93 4 2 2 2 3" xfId="13505" xr:uid="{00000000-0005-0000-0000-000037420000}"/>
    <cellStyle name="Normal 93 4 2 2 3" xfId="6769" xr:uid="{00000000-0005-0000-0000-000038420000}"/>
    <cellStyle name="Normal 93 4 2 2 3 2" xfId="15810" xr:uid="{00000000-0005-0000-0000-000039420000}"/>
    <cellStyle name="Normal 93 4 2 2 4" xfId="11297" xr:uid="{00000000-0005-0000-0000-00003A420000}"/>
    <cellStyle name="Normal 93 4 2 3" xfId="4462" xr:uid="{00000000-0005-0000-0000-00003B420000}"/>
    <cellStyle name="Normal 93 4 2 3 2" xfId="8976" xr:uid="{00000000-0005-0000-0000-00003C420000}"/>
    <cellStyle name="Normal 93 4 2 3 2 2" xfId="18017" xr:uid="{00000000-0005-0000-0000-00003D420000}"/>
    <cellStyle name="Normal 93 4 2 3 3" xfId="13504" xr:uid="{00000000-0005-0000-0000-00003E420000}"/>
    <cellStyle name="Normal 93 4 2 4" xfId="5641" xr:uid="{00000000-0005-0000-0000-00003F420000}"/>
    <cellStyle name="Normal 93 4 2 4 2" xfId="14682" xr:uid="{00000000-0005-0000-0000-000040420000}"/>
    <cellStyle name="Normal 93 4 2 5" xfId="10169" xr:uid="{00000000-0005-0000-0000-000041420000}"/>
    <cellStyle name="Normal 93 4 3" xfId="1682" xr:uid="{00000000-0005-0000-0000-000042420000}"/>
    <cellStyle name="Normal 93 4 3 2" xfId="4464" xr:uid="{00000000-0005-0000-0000-000043420000}"/>
    <cellStyle name="Normal 93 4 3 2 2" xfId="8978" xr:uid="{00000000-0005-0000-0000-000044420000}"/>
    <cellStyle name="Normal 93 4 3 2 2 2" xfId="18019" xr:uid="{00000000-0005-0000-0000-000045420000}"/>
    <cellStyle name="Normal 93 4 3 2 3" xfId="13506" xr:uid="{00000000-0005-0000-0000-000046420000}"/>
    <cellStyle name="Normal 93 4 3 3" xfId="6205" xr:uid="{00000000-0005-0000-0000-000047420000}"/>
    <cellStyle name="Normal 93 4 3 3 2" xfId="15246" xr:uid="{00000000-0005-0000-0000-000048420000}"/>
    <cellStyle name="Normal 93 4 3 4" xfId="10733" xr:uid="{00000000-0005-0000-0000-000049420000}"/>
    <cellStyle name="Normal 93 4 4" xfId="4461" xr:uid="{00000000-0005-0000-0000-00004A420000}"/>
    <cellStyle name="Normal 93 4 4 2" xfId="8975" xr:uid="{00000000-0005-0000-0000-00004B420000}"/>
    <cellStyle name="Normal 93 4 4 2 2" xfId="18016" xr:uid="{00000000-0005-0000-0000-00004C420000}"/>
    <cellStyle name="Normal 93 4 4 3" xfId="13503" xr:uid="{00000000-0005-0000-0000-00004D420000}"/>
    <cellStyle name="Normal 93 4 5" xfId="5077" xr:uid="{00000000-0005-0000-0000-00004E420000}"/>
    <cellStyle name="Normal 93 4 5 2" xfId="14118" xr:uid="{00000000-0005-0000-0000-00004F420000}"/>
    <cellStyle name="Normal 93 4 6" xfId="9605" xr:uid="{00000000-0005-0000-0000-000050420000}"/>
    <cellStyle name="Normal 93 5" xfId="700" xr:uid="{00000000-0005-0000-0000-000051420000}"/>
    <cellStyle name="Normal 93 5 2" xfId="1870" xr:uid="{00000000-0005-0000-0000-000052420000}"/>
    <cellStyle name="Normal 93 5 2 2" xfId="4466" xr:uid="{00000000-0005-0000-0000-000053420000}"/>
    <cellStyle name="Normal 93 5 2 2 2" xfId="8980" xr:uid="{00000000-0005-0000-0000-000054420000}"/>
    <cellStyle name="Normal 93 5 2 2 2 2" xfId="18021" xr:uid="{00000000-0005-0000-0000-000055420000}"/>
    <cellStyle name="Normal 93 5 2 2 3" xfId="13508" xr:uid="{00000000-0005-0000-0000-000056420000}"/>
    <cellStyle name="Normal 93 5 2 3" xfId="6393" xr:uid="{00000000-0005-0000-0000-000057420000}"/>
    <cellStyle name="Normal 93 5 2 3 2" xfId="15434" xr:uid="{00000000-0005-0000-0000-000058420000}"/>
    <cellStyle name="Normal 93 5 2 4" xfId="10921" xr:uid="{00000000-0005-0000-0000-000059420000}"/>
    <cellStyle name="Normal 93 5 3" xfId="4465" xr:uid="{00000000-0005-0000-0000-00005A420000}"/>
    <cellStyle name="Normal 93 5 3 2" xfId="8979" xr:uid="{00000000-0005-0000-0000-00005B420000}"/>
    <cellStyle name="Normal 93 5 3 2 2" xfId="18020" xr:uid="{00000000-0005-0000-0000-00005C420000}"/>
    <cellStyle name="Normal 93 5 3 3" xfId="13507" xr:uid="{00000000-0005-0000-0000-00005D420000}"/>
    <cellStyle name="Normal 93 5 4" xfId="5265" xr:uid="{00000000-0005-0000-0000-00005E420000}"/>
    <cellStyle name="Normal 93 5 4 2" xfId="14306" xr:uid="{00000000-0005-0000-0000-00005F420000}"/>
    <cellStyle name="Normal 93 5 5" xfId="9793" xr:uid="{00000000-0005-0000-0000-000060420000}"/>
    <cellStyle name="Normal 93 6" xfId="1306" xr:uid="{00000000-0005-0000-0000-000061420000}"/>
    <cellStyle name="Normal 93 6 2" xfId="4467" xr:uid="{00000000-0005-0000-0000-000062420000}"/>
    <cellStyle name="Normal 93 6 2 2" xfId="8981" xr:uid="{00000000-0005-0000-0000-000063420000}"/>
    <cellStyle name="Normal 93 6 2 2 2" xfId="18022" xr:uid="{00000000-0005-0000-0000-000064420000}"/>
    <cellStyle name="Normal 93 6 2 3" xfId="13509" xr:uid="{00000000-0005-0000-0000-000065420000}"/>
    <cellStyle name="Normal 93 6 3" xfId="5829" xr:uid="{00000000-0005-0000-0000-000066420000}"/>
    <cellStyle name="Normal 93 6 3 2" xfId="14870" xr:uid="{00000000-0005-0000-0000-000067420000}"/>
    <cellStyle name="Normal 93 6 4" xfId="10357" xr:uid="{00000000-0005-0000-0000-000068420000}"/>
    <cellStyle name="Normal 93 7" xfId="4444" xr:uid="{00000000-0005-0000-0000-000069420000}"/>
    <cellStyle name="Normal 93 7 2" xfId="8958" xr:uid="{00000000-0005-0000-0000-00006A420000}"/>
    <cellStyle name="Normal 93 7 2 2" xfId="17999" xr:uid="{00000000-0005-0000-0000-00006B420000}"/>
    <cellStyle name="Normal 93 7 3" xfId="13486" xr:uid="{00000000-0005-0000-0000-00006C420000}"/>
    <cellStyle name="Normal 93 8" xfId="4701" xr:uid="{00000000-0005-0000-0000-00006D420000}"/>
    <cellStyle name="Normal 93 8 2" xfId="13742" xr:uid="{00000000-0005-0000-0000-00006E420000}"/>
    <cellStyle name="Normal 93 9" xfId="9229" xr:uid="{00000000-0005-0000-0000-00006F420000}"/>
    <cellStyle name="Normal 94" xfId="94" xr:uid="{00000000-0005-0000-0000-000070420000}"/>
    <cellStyle name="Normal 94 2" xfId="190" xr:uid="{00000000-0005-0000-0000-000071420000}"/>
    <cellStyle name="Normal 94 2 2" xfId="419" xr:uid="{00000000-0005-0000-0000-000072420000}"/>
    <cellStyle name="Normal 94 2 2 2" xfId="983" xr:uid="{00000000-0005-0000-0000-000073420000}"/>
    <cellStyle name="Normal 94 2 2 2 2" xfId="2153" xr:uid="{00000000-0005-0000-0000-000074420000}"/>
    <cellStyle name="Normal 94 2 2 2 2 2" xfId="4472" xr:uid="{00000000-0005-0000-0000-000075420000}"/>
    <cellStyle name="Normal 94 2 2 2 2 2 2" xfId="8986" xr:uid="{00000000-0005-0000-0000-000076420000}"/>
    <cellStyle name="Normal 94 2 2 2 2 2 2 2" xfId="18027" xr:uid="{00000000-0005-0000-0000-000077420000}"/>
    <cellStyle name="Normal 94 2 2 2 2 2 3" xfId="13514" xr:uid="{00000000-0005-0000-0000-000078420000}"/>
    <cellStyle name="Normal 94 2 2 2 2 3" xfId="6676" xr:uid="{00000000-0005-0000-0000-000079420000}"/>
    <cellStyle name="Normal 94 2 2 2 2 3 2" xfId="15717" xr:uid="{00000000-0005-0000-0000-00007A420000}"/>
    <cellStyle name="Normal 94 2 2 2 2 4" xfId="11204" xr:uid="{00000000-0005-0000-0000-00007B420000}"/>
    <cellStyle name="Normal 94 2 2 2 3" xfId="4471" xr:uid="{00000000-0005-0000-0000-00007C420000}"/>
    <cellStyle name="Normal 94 2 2 2 3 2" xfId="8985" xr:uid="{00000000-0005-0000-0000-00007D420000}"/>
    <cellStyle name="Normal 94 2 2 2 3 2 2" xfId="18026" xr:uid="{00000000-0005-0000-0000-00007E420000}"/>
    <cellStyle name="Normal 94 2 2 2 3 3" xfId="13513" xr:uid="{00000000-0005-0000-0000-00007F420000}"/>
    <cellStyle name="Normal 94 2 2 2 4" xfId="5548" xr:uid="{00000000-0005-0000-0000-000080420000}"/>
    <cellStyle name="Normal 94 2 2 2 4 2" xfId="14589" xr:uid="{00000000-0005-0000-0000-000081420000}"/>
    <cellStyle name="Normal 94 2 2 2 5" xfId="10076" xr:uid="{00000000-0005-0000-0000-000082420000}"/>
    <cellStyle name="Normal 94 2 2 3" xfId="1589" xr:uid="{00000000-0005-0000-0000-000083420000}"/>
    <cellStyle name="Normal 94 2 2 3 2" xfId="4473" xr:uid="{00000000-0005-0000-0000-000084420000}"/>
    <cellStyle name="Normal 94 2 2 3 2 2" xfId="8987" xr:uid="{00000000-0005-0000-0000-000085420000}"/>
    <cellStyle name="Normal 94 2 2 3 2 2 2" xfId="18028" xr:uid="{00000000-0005-0000-0000-000086420000}"/>
    <cellStyle name="Normal 94 2 2 3 2 3" xfId="13515" xr:uid="{00000000-0005-0000-0000-000087420000}"/>
    <cellStyle name="Normal 94 2 2 3 3" xfId="6112" xr:uid="{00000000-0005-0000-0000-000088420000}"/>
    <cellStyle name="Normal 94 2 2 3 3 2" xfId="15153" xr:uid="{00000000-0005-0000-0000-000089420000}"/>
    <cellStyle name="Normal 94 2 2 3 4" xfId="10640" xr:uid="{00000000-0005-0000-0000-00008A420000}"/>
    <cellStyle name="Normal 94 2 2 4" xfId="4470" xr:uid="{00000000-0005-0000-0000-00008B420000}"/>
    <cellStyle name="Normal 94 2 2 4 2" xfId="8984" xr:uid="{00000000-0005-0000-0000-00008C420000}"/>
    <cellStyle name="Normal 94 2 2 4 2 2" xfId="18025" xr:uid="{00000000-0005-0000-0000-00008D420000}"/>
    <cellStyle name="Normal 94 2 2 4 3" xfId="13512" xr:uid="{00000000-0005-0000-0000-00008E420000}"/>
    <cellStyle name="Normal 94 2 2 5" xfId="4984" xr:uid="{00000000-0005-0000-0000-00008F420000}"/>
    <cellStyle name="Normal 94 2 2 5 2" xfId="14025" xr:uid="{00000000-0005-0000-0000-000090420000}"/>
    <cellStyle name="Normal 94 2 2 6" xfId="9512" xr:uid="{00000000-0005-0000-0000-000091420000}"/>
    <cellStyle name="Normal 94 2 3" xfId="607" xr:uid="{00000000-0005-0000-0000-000092420000}"/>
    <cellStyle name="Normal 94 2 3 2" xfId="1171" xr:uid="{00000000-0005-0000-0000-000093420000}"/>
    <cellStyle name="Normal 94 2 3 2 2" xfId="2341" xr:uid="{00000000-0005-0000-0000-000094420000}"/>
    <cellStyle name="Normal 94 2 3 2 2 2" xfId="4476" xr:uid="{00000000-0005-0000-0000-000095420000}"/>
    <cellStyle name="Normal 94 2 3 2 2 2 2" xfId="8990" xr:uid="{00000000-0005-0000-0000-000096420000}"/>
    <cellStyle name="Normal 94 2 3 2 2 2 2 2" xfId="18031" xr:uid="{00000000-0005-0000-0000-000097420000}"/>
    <cellStyle name="Normal 94 2 3 2 2 2 3" xfId="13518" xr:uid="{00000000-0005-0000-0000-000098420000}"/>
    <cellStyle name="Normal 94 2 3 2 2 3" xfId="6864" xr:uid="{00000000-0005-0000-0000-000099420000}"/>
    <cellStyle name="Normal 94 2 3 2 2 3 2" xfId="15905" xr:uid="{00000000-0005-0000-0000-00009A420000}"/>
    <cellStyle name="Normal 94 2 3 2 2 4" xfId="11392" xr:uid="{00000000-0005-0000-0000-00009B420000}"/>
    <cellStyle name="Normal 94 2 3 2 3" xfId="4475" xr:uid="{00000000-0005-0000-0000-00009C420000}"/>
    <cellStyle name="Normal 94 2 3 2 3 2" xfId="8989" xr:uid="{00000000-0005-0000-0000-00009D420000}"/>
    <cellStyle name="Normal 94 2 3 2 3 2 2" xfId="18030" xr:uid="{00000000-0005-0000-0000-00009E420000}"/>
    <cellStyle name="Normal 94 2 3 2 3 3" xfId="13517" xr:uid="{00000000-0005-0000-0000-00009F420000}"/>
    <cellStyle name="Normal 94 2 3 2 4" xfId="5736" xr:uid="{00000000-0005-0000-0000-0000A0420000}"/>
    <cellStyle name="Normal 94 2 3 2 4 2" xfId="14777" xr:uid="{00000000-0005-0000-0000-0000A1420000}"/>
    <cellStyle name="Normal 94 2 3 2 5" xfId="10264" xr:uid="{00000000-0005-0000-0000-0000A2420000}"/>
    <cellStyle name="Normal 94 2 3 3" xfId="1777" xr:uid="{00000000-0005-0000-0000-0000A3420000}"/>
    <cellStyle name="Normal 94 2 3 3 2" xfId="4477" xr:uid="{00000000-0005-0000-0000-0000A4420000}"/>
    <cellStyle name="Normal 94 2 3 3 2 2" xfId="8991" xr:uid="{00000000-0005-0000-0000-0000A5420000}"/>
    <cellStyle name="Normal 94 2 3 3 2 2 2" xfId="18032" xr:uid="{00000000-0005-0000-0000-0000A6420000}"/>
    <cellStyle name="Normal 94 2 3 3 2 3" xfId="13519" xr:uid="{00000000-0005-0000-0000-0000A7420000}"/>
    <cellStyle name="Normal 94 2 3 3 3" xfId="6300" xr:uid="{00000000-0005-0000-0000-0000A8420000}"/>
    <cellStyle name="Normal 94 2 3 3 3 2" xfId="15341" xr:uid="{00000000-0005-0000-0000-0000A9420000}"/>
    <cellStyle name="Normal 94 2 3 3 4" xfId="10828" xr:uid="{00000000-0005-0000-0000-0000AA420000}"/>
    <cellStyle name="Normal 94 2 3 4" xfId="4474" xr:uid="{00000000-0005-0000-0000-0000AB420000}"/>
    <cellStyle name="Normal 94 2 3 4 2" xfId="8988" xr:uid="{00000000-0005-0000-0000-0000AC420000}"/>
    <cellStyle name="Normal 94 2 3 4 2 2" xfId="18029" xr:uid="{00000000-0005-0000-0000-0000AD420000}"/>
    <cellStyle name="Normal 94 2 3 4 3" xfId="13516" xr:uid="{00000000-0005-0000-0000-0000AE420000}"/>
    <cellStyle name="Normal 94 2 3 5" xfId="5172" xr:uid="{00000000-0005-0000-0000-0000AF420000}"/>
    <cellStyle name="Normal 94 2 3 5 2" xfId="14213" xr:uid="{00000000-0005-0000-0000-0000B0420000}"/>
    <cellStyle name="Normal 94 2 3 6" xfId="9700" xr:uid="{00000000-0005-0000-0000-0000B1420000}"/>
    <cellStyle name="Normal 94 2 4" xfId="795" xr:uid="{00000000-0005-0000-0000-0000B2420000}"/>
    <cellStyle name="Normal 94 2 4 2" xfId="1965" xr:uid="{00000000-0005-0000-0000-0000B3420000}"/>
    <cellStyle name="Normal 94 2 4 2 2" xfId="4479" xr:uid="{00000000-0005-0000-0000-0000B4420000}"/>
    <cellStyle name="Normal 94 2 4 2 2 2" xfId="8993" xr:uid="{00000000-0005-0000-0000-0000B5420000}"/>
    <cellStyle name="Normal 94 2 4 2 2 2 2" xfId="18034" xr:uid="{00000000-0005-0000-0000-0000B6420000}"/>
    <cellStyle name="Normal 94 2 4 2 2 3" xfId="13521" xr:uid="{00000000-0005-0000-0000-0000B7420000}"/>
    <cellStyle name="Normal 94 2 4 2 3" xfId="6488" xr:uid="{00000000-0005-0000-0000-0000B8420000}"/>
    <cellStyle name="Normal 94 2 4 2 3 2" xfId="15529" xr:uid="{00000000-0005-0000-0000-0000B9420000}"/>
    <cellStyle name="Normal 94 2 4 2 4" xfId="11016" xr:uid="{00000000-0005-0000-0000-0000BA420000}"/>
    <cellStyle name="Normal 94 2 4 3" xfId="4478" xr:uid="{00000000-0005-0000-0000-0000BB420000}"/>
    <cellStyle name="Normal 94 2 4 3 2" xfId="8992" xr:uid="{00000000-0005-0000-0000-0000BC420000}"/>
    <cellStyle name="Normal 94 2 4 3 2 2" xfId="18033" xr:uid="{00000000-0005-0000-0000-0000BD420000}"/>
    <cellStyle name="Normal 94 2 4 3 3" xfId="13520" xr:uid="{00000000-0005-0000-0000-0000BE420000}"/>
    <cellStyle name="Normal 94 2 4 4" xfId="5360" xr:uid="{00000000-0005-0000-0000-0000BF420000}"/>
    <cellStyle name="Normal 94 2 4 4 2" xfId="14401" xr:uid="{00000000-0005-0000-0000-0000C0420000}"/>
    <cellStyle name="Normal 94 2 4 5" xfId="9888" xr:uid="{00000000-0005-0000-0000-0000C1420000}"/>
    <cellStyle name="Normal 94 2 5" xfId="1401" xr:uid="{00000000-0005-0000-0000-0000C2420000}"/>
    <cellStyle name="Normal 94 2 5 2" xfId="4480" xr:uid="{00000000-0005-0000-0000-0000C3420000}"/>
    <cellStyle name="Normal 94 2 5 2 2" xfId="8994" xr:uid="{00000000-0005-0000-0000-0000C4420000}"/>
    <cellStyle name="Normal 94 2 5 2 2 2" xfId="18035" xr:uid="{00000000-0005-0000-0000-0000C5420000}"/>
    <cellStyle name="Normal 94 2 5 2 3" xfId="13522" xr:uid="{00000000-0005-0000-0000-0000C6420000}"/>
    <cellStyle name="Normal 94 2 5 3" xfId="5924" xr:uid="{00000000-0005-0000-0000-0000C7420000}"/>
    <cellStyle name="Normal 94 2 5 3 2" xfId="14965" xr:uid="{00000000-0005-0000-0000-0000C8420000}"/>
    <cellStyle name="Normal 94 2 5 4" xfId="10452" xr:uid="{00000000-0005-0000-0000-0000C9420000}"/>
    <cellStyle name="Normal 94 2 6" xfId="4469" xr:uid="{00000000-0005-0000-0000-0000CA420000}"/>
    <cellStyle name="Normal 94 2 6 2" xfId="8983" xr:uid="{00000000-0005-0000-0000-0000CB420000}"/>
    <cellStyle name="Normal 94 2 6 2 2" xfId="18024" xr:uid="{00000000-0005-0000-0000-0000CC420000}"/>
    <cellStyle name="Normal 94 2 6 3" xfId="13511" xr:uid="{00000000-0005-0000-0000-0000CD420000}"/>
    <cellStyle name="Normal 94 2 7" xfId="4796" xr:uid="{00000000-0005-0000-0000-0000CE420000}"/>
    <cellStyle name="Normal 94 2 7 2" xfId="13837" xr:uid="{00000000-0005-0000-0000-0000CF420000}"/>
    <cellStyle name="Normal 94 2 8" xfId="9324" xr:uid="{00000000-0005-0000-0000-0000D0420000}"/>
    <cellStyle name="Normal 94 3" xfId="325" xr:uid="{00000000-0005-0000-0000-0000D1420000}"/>
    <cellStyle name="Normal 94 3 2" xfId="889" xr:uid="{00000000-0005-0000-0000-0000D2420000}"/>
    <cellStyle name="Normal 94 3 2 2" xfId="2059" xr:uid="{00000000-0005-0000-0000-0000D3420000}"/>
    <cellStyle name="Normal 94 3 2 2 2" xfId="4483" xr:uid="{00000000-0005-0000-0000-0000D4420000}"/>
    <cellStyle name="Normal 94 3 2 2 2 2" xfId="8997" xr:uid="{00000000-0005-0000-0000-0000D5420000}"/>
    <cellStyle name="Normal 94 3 2 2 2 2 2" xfId="18038" xr:uid="{00000000-0005-0000-0000-0000D6420000}"/>
    <cellStyle name="Normal 94 3 2 2 2 3" xfId="13525" xr:uid="{00000000-0005-0000-0000-0000D7420000}"/>
    <cellStyle name="Normal 94 3 2 2 3" xfId="6582" xr:uid="{00000000-0005-0000-0000-0000D8420000}"/>
    <cellStyle name="Normal 94 3 2 2 3 2" xfId="15623" xr:uid="{00000000-0005-0000-0000-0000D9420000}"/>
    <cellStyle name="Normal 94 3 2 2 4" xfId="11110" xr:uid="{00000000-0005-0000-0000-0000DA420000}"/>
    <cellStyle name="Normal 94 3 2 3" xfId="4482" xr:uid="{00000000-0005-0000-0000-0000DB420000}"/>
    <cellStyle name="Normal 94 3 2 3 2" xfId="8996" xr:uid="{00000000-0005-0000-0000-0000DC420000}"/>
    <cellStyle name="Normal 94 3 2 3 2 2" xfId="18037" xr:uid="{00000000-0005-0000-0000-0000DD420000}"/>
    <cellStyle name="Normal 94 3 2 3 3" xfId="13524" xr:uid="{00000000-0005-0000-0000-0000DE420000}"/>
    <cellStyle name="Normal 94 3 2 4" xfId="5454" xr:uid="{00000000-0005-0000-0000-0000DF420000}"/>
    <cellStyle name="Normal 94 3 2 4 2" xfId="14495" xr:uid="{00000000-0005-0000-0000-0000E0420000}"/>
    <cellStyle name="Normal 94 3 2 5" xfId="9982" xr:uid="{00000000-0005-0000-0000-0000E1420000}"/>
    <cellStyle name="Normal 94 3 3" xfId="1495" xr:uid="{00000000-0005-0000-0000-0000E2420000}"/>
    <cellStyle name="Normal 94 3 3 2" xfId="4484" xr:uid="{00000000-0005-0000-0000-0000E3420000}"/>
    <cellStyle name="Normal 94 3 3 2 2" xfId="8998" xr:uid="{00000000-0005-0000-0000-0000E4420000}"/>
    <cellStyle name="Normal 94 3 3 2 2 2" xfId="18039" xr:uid="{00000000-0005-0000-0000-0000E5420000}"/>
    <cellStyle name="Normal 94 3 3 2 3" xfId="13526" xr:uid="{00000000-0005-0000-0000-0000E6420000}"/>
    <cellStyle name="Normal 94 3 3 3" xfId="6018" xr:uid="{00000000-0005-0000-0000-0000E7420000}"/>
    <cellStyle name="Normal 94 3 3 3 2" xfId="15059" xr:uid="{00000000-0005-0000-0000-0000E8420000}"/>
    <cellStyle name="Normal 94 3 3 4" xfId="10546" xr:uid="{00000000-0005-0000-0000-0000E9420000}"/>
    <cellStyle name="Normal 94 3 4" xfId="4481" xr:uid="{00000000-0005-0000-0000-0000EA420000}"/>
    <cellStyle name="Normal 94 3 4 2" xfId="8995" xr:uid="{00000000-0005-0000-0000-0000EB420000}"/>
    <cellStyle name="Normal 94 3 4 2 2" xfId="18036" xr:uid="{00000000-0005-0000-0000-0000EC420000}"/>
    <cellStyle name="Normal 94 3 4 3" xfId="13523" xr:uid="{00000000-0005-0000-0000-0000ED420000}"/>
    <cellStyle name="Normal 94 3 5" xfId="4890" xr:uid="{00000000-0005-0000-0000-0000EE420000}"/>
    <cellStyle name="Normal 94 3 5 2" xfId="13931" xr:uid="{00000000-0005-0000-0000-0000EF420000}"/>
    <cellStyle name="Normal 94 3 6" xfId="9418" xr:uid="{00000000-0005-0000-0000-0000F0420000}"/>
    <cellStyle name="Normal 94 4" xfId="513" xr:uid="{00000000-0005-0000-0000-0000F1420000}"/>
    <cellStyle name="Normal 94 4 2" xfId="1077" xr:uid="{00000000-0005-0000-0000-0000F2420000}"/>
    <cellStyle name="Normal 94 4 2 2" xfId="2247" xr:uid="{00000000-0005-0000-0000-0000F3420000}"/>
    <cellStyle name="Normal 94 4 2 2 2" xfId="4487" xr:uid="{00000000-0005-0000-0000-0000F4420000}"/>
    <cellStyle name="Normal 94 4 2 2 2 2" xfId="9001" xr:uid="{00000000-0005-0000-0000-0000F5420000}"/>
    <cellStyle name="Normal 94 4 2 2 2 2 2" xfId="18042" xr:uid="{00000000-0005-0000-0000-0000F6420000}"/>
    <cellStyle name="Normal 94 4 2 2 2 3" xfId="13529" xr:uid="{00000000-0005-0000-0000-0000F7420000}"/>
    <cellStyle name="Normal 94 4 2 2 3" xfId="6770" xr:uid="{00000000-0005-0000-0000-0000F8420000}"/>
    <cellStyle name="Normal 94 4 2 2 3 2" xfId="15811" xr:uid="{00000000-0005-0000-0000-0000F9420000}"/>
    <cellStyle name="Normal 94 4 2 2 4" xfId="11298" xr:uid="{00000000-0005-0000-0000-0000FA420000}"/>
    <cellStyle name="Normal 94 4 2 3" xfId="4486" xr:uid="{00000000-0005-0000-0000-0000FB420000}"/>
    <cellStyle name="Normal 94 4 2 3 2" xfId="9000" xr:uid="{00000000-0005-0000-0000-0000FC420000}"/>
    <cellStyle name="Normal 94 4 2 3 2 2" xfId="18041" xr:uid="{00000000-0005-0000-0000-0000FD420000}"/>
    <cellStyle name="Normal 94 4 2 3 3" xfId="13528" xr:uid="{00000000-0005-0000-0000-0000FE420000}"/>
    <cellStyle name="Normal 94 4 2 4" xfId="5642" xr:uid="{00000000-0005-0000-0000-0000FF420000}"/>
    <cellStyle name="Normal 94 4 2 4 2" xfId="14683" xr:uid="{00000000-0005-0000-0000-000000430000}"/>
    <cellStyle name="Normal 94 4 2 5" xfId="10170" xr:uid="{00000000-0005-0000-0000-000001430000}"/>
    <cellStyle name="Normal 94 4 3" xfId="1683" xr:uid="{00000000-0005-0000-0000-000002430000}"/>
    <cellStyle name="Normal 94 4 3 2" xfId="4488" xr:uid="{00000000-0005-0000-0000-000003430000}"/>
    <cellStyle name="Normal 94 4 3 2 2" xfId="9002" xr:uid="{00000000-0005-0000-0000-000004430000}"/>
    <cellStyle name="Normal 94 4 3 2 2 2" xfId="18043" xr:uid="{00000000-0005-0000-0000-000005430000}"/>
    <cellStyle name="Normal 94 4 3 2 3" xfId="13530" xr:uid="{00000000-0005-0000-0000-000006430000}"/>
    <cellStyle name="Normal 94 4 3 3" xfId="6206" xr:uid="{00000000-0005-0000-0000-000007430000}"/>
    <cellStyle name="Normal 94 4 3 3 2" xfId="15247" xr:uid="{00000000-0005-0000-0000-000008430000}"/>
    <cellStyle name="Normal 94 4 3 4" xfId="10734" xr:uid="{00000000-0005-0000-0000-000009430000}"/>
    <cellStyle name="Normal 94 4 4" xfId="4485" xr:uid="{00000000-0005-0000-0000-00000A430000}"/>
    <cellStyle name="Normal 94 4 4 2" xfId="8999" xr:uid="{00000000-0005-0000-0000-00000B430000}"/>
    <cellStyle name="Normal 94 4 4 2 2" xfId="18040" xr:uid="{00000000-0005-0000-0000-00000C430000}"/>
    <cellStyle name="Normal 94 4 4 3" xfId="13527" xr:uid="{00000000-0005-0000-0000-00000D430000}"/>
    <cellStyle name="Normal 94 4 5" xfId="5078" xr:uid="{00000000-0005-0000-0000-00000E430000}"/>
    <cellStyle name="Normal 94 4 5 2" xfId="14119" xr:uid="{00000000-0005-0000-0000-00000F430000}"/>
    <cellStyle name="Normal 94 4 6" xfId="9606" xr:uid="{00000000-0005-0000-0000-000010430000}"/>
    <cellStyle name="Normal 94 5" xfId="701" xr:uid="{00000000-0005-0000-0000-000011430000}"/>
    <cellStyle name="Normal 94 5 2" xfId="1871" xr:uid="{00000000-0005-0000-0000-000012430000}"/>
    <cellStyle name="Normal 94 5 2 2" xfId="4490" xr:uid="{00000000-0005-0000-0000-000013430000}"/>
    <cellStyle name="Normal 94 5 2 2 2" xfId="9004" xr:uid="{00000000-0005-0000-0000-000014430000}"/>
    <cellStyle name="Normal 94 5 2 2 2 2" xfId="18045" xr:uid="{00000000-0005-0000-0000-000015430000}"/>
    <cellStyle name="Normal 94 5 2 2 3" xfId="13532" xr:uid="{00000000-0005-0000-0000-000016430000}"/>
    <cellStyle name="Normal 94 5 2 3" xfId="6394" xr:uid="{00000000-0005-0000-0000-000017430000}"/>
    <cellStyle name="Normal 94 5 2 3 2" xfId="15435" xr:uid="{00000000-0005-0000-0000-000018430000}"/>
    <cellStyle name="Normal 94 5 2 4" xfId="10922" xr:uid="{00000000-0005-0000-0000-000019430000}"/>
    <cellStyle name="Normal 94 5 3" xfId="4489" xr:uid="{00000000-0005-0000-0000-00001A430000}"/>
    <cellStyle name="Normal 94 5 3 2" xfId="9003" xr:uid="{00000000-0005-0000-0000-00001B430000}"/>
    <cellStyle name="Normal 94 5 3 2 2" xfId="18044" xr:uid="{00000000-0005-0000-0000-00001C430000}"/>
    <cellStyle name="Normal 94 5 3 3" xfId="13531" xr:uid="{00000000-0005-0000-0000-00001D430000}"/>
    <cellStyle name="Normal 94 5 4" xfId="5266" xr:uid="{00000000-0005-0000-0000-00001E430000}"/>
    <cellStyle name="Normal 94 5 4 2" xfId="14307" xr:uid="{00000000-0005-0000-0000-00001F430000}"/>
    <cellStyle name="Normal 94 5 5" xfId="9794" xr:uid="{00000000-0005-0000-0000-000020430000}"/>
    <cellStyle name="Normal 94 6" xfId="1307" xr:uid="{00000000-0005-0000-0000-000021430000}"/>
    <cellStyle name="Normal 94 6 2" xfId="4491" xr:uid="{00000000-0005-0000-0000-000022430000}"/>
    <cellStyle name="Normal 94 6 2 2" xfId="9005" xr:uid="{00000000-0005-0000-0000-000023430000}"/>
    <cellStyle name="Normal 94 6 2 2 2" xfId="18046" xr:uid="{00000000-0005-0000-0000-000024430000}"/>
    <cellStyle name="Normal 94 6 2 3" xfId="13533" xr:uid="{00000000-0005-0000-0000-000025430000}"/>
    <cellStyle name="Normal 94 6 3" xfId="5830" xr:uid="{00000000-0005-0000-0000-000026430000}"/>
    <cellStyle name="Normal 94 6 3 2" xfId="14871" xr:uid="{00000000-0005-0000-0000-000027430000}"/>
    <cellStyle name="Normal 94 6 4" xfId="10358" xr:uid="{00000000-0005-0000-0000-000028430000}"/>
    <cellStyle name="Normal 94 7" xfId="4468" xr:uid="{00000000-0005-0000-0000-000029430000}"/>
    <cellStyle name="Normal 94 7 2" xfId="8982" xr:uid="{00000000-0005-0000-0000-00002A430000}"/>
    <cellStyle name="Normal 94 7 2 2" xfId="18023" xr:uid="{00000000-0005-0000-0000-00002B430000}"/>
    <cellStyle name="Normal 94 7 3" xfId="13510" xr:uid="{00000000-0005-0000-0000-00002C430000}"/>
    <cellStyle name="Normal 94 8" xfId="4702" xr:uid="{00000000-0005-0000-0000-00002D430000}"/>
    <cellStyle name="Normal 94 8 2" xfId="13743" xr:uid="{00000000-0005-0000-0000-00002E430000}"/>
    <cellStyle name="Normal 94 9" xfId="9230" xr:uid="{00000000-0005-0000-0000-00002F430000}"/>
    <cellStyle name="Normal 95" xfId="95" xr:uid="{00000000-0005-0000-0000-000030430000}"/>
    <cellStyle name="Normal 95 2" xfId="191" xr:uid="{00000000-0005-0000-0000-000031430000}"/>
    <cellStyle name="Normal 95 2 2" xfId="420" xr:uid="{00000000-0005-0000-0000-000032430000}"/>
    <cellStyle name="Normal 95 2 2 2" xfId="984" xr:uid="{00000000-0005-0000-0000-000033430000}"/>
    <cellStyle name="Normal 95 2 2 2 2" xfId="2154" xr:uid="{00000000-0005-0000-0000-000034430000}"/>
    <cellStyle name="Normal 95 2 2 2 2 2" xfId="4496" xr:uid="{00000000-0005-0000-0000-000035430000}"/>
    <cellStyle name="Normal 95 2 2 2 2 2 2" xfId="9010" xr:uid="{00000000-0005-0000-0000-000036430000}"/>
    <cellStyle name="Normal 95 2 2 2 2 2 2 2" xfId="18051" xr:uid="{00000000-0005-0000-0000-000037430000}"/>
    <cellStyle name="Normal 95 2 2 2 2 2 3" xfId="13538" xr:uid="{00000000-0005-0000-0000-000038430000}"/>
    <cellStyle name="Normal 95 2 2 2 2 3" xfId="6677" xr:uid="{00000000-0005-0000-0000-000039430000}"/>
    <cellStyle name="Normal 95 2 2 2 2 3 2" xfId="15718" xr:uid="{00000000-0005-0000-0000-00003A430000}"/>
    <cellStyle name="Normal 95 2 2 2 2 4" xfId="11205" xr:uid="{00000000-0005-0000-0000-00003B430000}"/>
    <cellStyle name="Normal 95 2 2 2 3" xfId="4495" xr:uid="{00000000-0005-0000-0000-00003C430000}"/>
    <cellStyle name="Normal 95 2 2 2 3 2" xfId="9009" xr:uid="{00000000-0005-0000-0000-00003D430000}"/>
    <cellStyle name="Normal 95 2 2 2 3 2 2" xfId="18050" xr:uid="{00000000-0005-0000-0000-00003E430000}"/>
    <cellStyle name="Normal 95 2 2 2 3 3" xfId="13537" xr:uid="{00000000-0005-0000-0000-00003F430000}"/>
    <cellStyle name="Normal 95 2 2 2 4" xfId="5549" xr:uid="{00000000-0005-0000-0000-000040430000}"/>
    <cellStyle name="Normal 95 2 2 2 4 2" xfId="14590" xr:uid="{00000000-0005-0000-0000-000041430000}"/>
    <cellStyle name="Normal 95 2 2 2 5" xfId="10077" xr:uid="{00000000-0005-0000-0000-000042430000}"/>
    <cellStyle name="Normal 95 2 2 3" xfId="1590" xr:uid="{00000000-0005-0000-0000-000043430000}"/>
    <cellStyle name="Normal 95 2 2 3 2" xfId="4497" xr:uid="{00000000-0005-0000-0000-000044430000}"/>
    <cellStyle name="Normal 95 2 2 3 2 2" xfId="9011" xr:uid="{00000000-0005-0000-0000-000045430000}"/>
    <cellStyle name="Normal 95 2 2 3 2 2 2" xfId="18052" xr:uid="{00000000-0005-0000-0000-000046430000}"/>
    <cellStyle name="Normal 95 2 2 3 2 3" xfId="13539" xr:uid="{00000000-0005-0000-0000-000047430000}"/>
    <cellStyle name="Normal 95 2 2 3 3" xfId="6113" xr:uid="{00000000-0005-0000-0000-000048430000}"/>
    <cellStyle name="Normal 95 2 2 3 3 2" xfId="15154" xr:uid="{00000000-0005-0000-0000-000049430000}"/>
    <cellStyle name="Normal 95 2 2 3 4" xfId="10641" xr:uid="{00000000-0005-0000-0000-00004A430000}"/>
    <cellStyle name="Normal 95 2 2 4" xfId="4494" xr:uid="{00000000-0005-0000-0000-00004B430000}"/>
    <cellStyle name="Normal 95 2 2 4 2" xfId="9008" xr:uid="{00000000-0005-0000-0000-00004C430000}"/>
    <cellStyle name="Normal 95 2 2 4 2 2" xfId="18049" xr:uid="{00000000-0005-0000-0000-00004D430000}"/>
    <cellStyle name="Normal 95 2 2 4 3" xfId="13536" xr:uid="{00000000-0005-0000-0000-00004E430000}"/>
    <cellStyle name="Normal 95 2 2 5" xfId="4985" xr:uid="{00000000-0005-0000-0000-00004F430000}"/>
    <cellStyle name="Normal 95 2 2 5 2" xfId="14026" xr:uid="{00000000-0005-0000-0000-000050430000}"/>
    <cellStyle name="Normal 95 2 2 6" xfId="9513" xr:uid="{00000000-0005-0000-0000-000051430000}"/>
    <cellStyle name="Normal 95 2 3" xfId="608" xr:uid="{00000000-0005-0000-0000-000052430000}"/>
    <cellStyle name="Normal 95 2 3 2" xfId="1172" xr:uid="{00000000-0005-0000-0000-000053430000}"/>
    <cellStyle name="Normal 95 2 3 2 2" xfId="2342" xr:uid="{00000000-0005-0000-0000-000054430000}"/>
    <cellStyle name="Normal 95 2 3 2 2 2" xfId="4500" xr:uid="{00000000-0005-0000-0000-000055430000}"/>
    <cellStyle name="Normal 95 2 3 2 2 2 2" xfId="9014" xr:uid="{00000000-0005-0000-0000-000056430000}"/>
    <cellStyle name="Normal 95 2 3 2 2 2 2 2" xfId="18055" xr:uid="{00000000-0005-0000-0000-000057430000}"/>
    <cellStyle name="Normal 95 2 3 2 2 2 3" xfId="13542" xr:uid="{00000000-0005-0000-0000-000058430000}"/>
    <cellStyle name="Normal 95 2 3 2 2 3" xfId="6865" xr:uid="{00000000-0005-0000-0000-000059430000}"/>
    <cellStyle name="Normal 95 2 3 2 2 3 2" xfId="15906" xr:uid="{00000000-0005-0000-0000-00005A430000}"/>
    <cellStyle name="Normal 95 2 3 2 2 4" xfId="11393" xr:uid="{00000000-0005-0000-0000-00005B430000}"/>
    <cellStyle name="Normal 95 2 3 2 3" xfId="4499" xr:uid="{00000000-0005-0000-0000-00005C430000}"/>
    <cellStyle name="Normal 95 2 3 2 3 2" xfId="9013" xr:uid="{00000000-0005-0000-0000-00005D430000}"/>
    <cellStyle name="Normal 95 2 3 2 3 2 2" xfId="18054" xr:uid="{00000000-0005-0000-0000-00005E430000}"/>
    <cellStyle name="Normal 95 2 3 2 3 3" xfId="13541" xr:uid="{00000000-0005-0000-0000-00005F430000}"/>
    <cellStyle name="Normal 95 2 3 2 4" xfId="5737" xr:uid="{00000000-0005-0000-0000-000060430000}"/>
    <cellStyle name="Normal 95 2 3 2 4 2" xfId="14778" xr:uid="{00000000-0005-0000-0000-000061430000}"/>
    <cellStyle name="Normal 95 2 3 2 5" xfId="10265" xr:uid="{00000000-0005-0000-0000-000062430000}"/>
    <cellStyle name="Normal 95 2 3 3" xfId="1778" xr:uid="{00000000-0005-0000-0000-000063430000}"/>
    <cellStyle name="Normal 95 2 3 3 2" xfId="4501" xr:uid="{00000000-0005-0000-0000-000064430000}"/>
    <cellStyle name="Normal 95 2 3 3 2 2" xfId="9015" xr:uid="{00000000-0005-0000-0000-000065430000}"/>
    <cellStyle name="Normal 95 2 3 3 2 2 2" xfId="18056" xr:uid="{00000000-0005-0000-0000-000066430000}"/>
    <cellStyle name="Normal 95 2 3 3 2 3" xfId="13543" xr:uid="{00000000-0005-0000-0000-000067430000}"/>
    <cellStyle name="Normal 95 2 3 3 3" xfId="6301" xr:uid="{00000000-0005-0000-0000-000068430000}"/>
    <cellStyle name="Normal 95 2 3 3 3 2" xfId="15342" xr:uid="{00000000-0005-0000-0000-000069430000}"/>
    <cellStyle name="Normal 95 2 3 3 4" xfId="10829" xr:uid="{00000000-0005-0000-0000-00006A430000}"/>
    <cellStyle name="Normal 95 2 3 4" xfId="4498" xr:uid="{00000000-0005-0000-0000-00006B430000}"/>
    <cellStyle name="Normal 95 2 3 4 2" xfId="9012" xr:uid="{00000000-0005-0000-0000-00006C430000}"/>
    <cellStyle name="Normal 95 2 3 4 2 2" xfId="18053" xr:uid="{00000000-0005-0000-0000-00006D430000}"/>
    <cellStyle name="Normal 95 2 3 4 3" xfId="13540" xr:uid="{00000000-0005-0000-0000-00006E430000}"/>
    <cellStyle name="Normal 95 2 3 5" xfId="5173" xr:uid="{00000000-0005-0000-0000-00006F430000}"/>
    <cellStyle name="Normal 95 2 3 5 2" xfId="14214" xr:uid="{00000000-0005-0000-0000-000070430000}"/>
    <cellStyle name="Normal 95 2 3 6" xfId="9701" xr:uid="{00000000-0005-0000-0000-000071430000}"/>
    <cellStyle name="Normal 95 2 4" xfId="796" xr:uid="{00000000-0005-0000-0000-000072430000}"/>
    <cellStyle name="Normal 95 2 4 2" xfId="1966" xr:uid="{00000000-0005-0000-0000-000073430000}"/>
    <cellStyle name="Normal 95 2 4 2 2" xfId="4503" xr:uid="{00000000-0005-0000-0000-000074430000}"/>
    <cellStyle name="Normal 95 2 4 2 2 2" xfId="9017" xr:uid="{00000000-0005-0000-0000-000075430000}"/>
    <cellStyle name="Normal 95 2 4 2 2 2 2" xfId="18058" xr:uid="{00000000-0005-0000-0000-000076430000}"/>
    <cellStyle name="Normal 95 2 4 2 2 3" xfId="13545" xr:uid="{00000000-0005-0000-0000-000077430000}"/>
    <cellStyle name="Normal 95 2 4 2 3" xfId="6489" xr:uid="{00000000-0005-0000-0000-000078430000}"/>
    <cellStyle name="Normal 95 2 4 2 3 2" xfId="15530" xr:uid="{00000000-0005-0000-0000-000079430000}"/>
    <cellStyle name="Normal 95 2 4 2 4" xfId="11017" xr:uid="{00000000-0005-0000-0000-00007A430000}"/>
    <cellStyle name="Normal 95 2 4 3" xfId="4502" xr:uid="{00000000-0005-0000-0000-00007B430000}"/>
    <cellStyle name="Normal 95 2 4 3 2" xfId="9016" xr:uid="{00000000-0005-0000-0000-00007C430000}"/>
    <cellStyle name="Normal 95 2 4 3 2 2" xfId="18057" xr:uid="{00000000-0005-0000-0000-00007D430000}"/>
    <cellStyle name="Normal 95 2 4 3 3" xfId="13544" xr:uid="{00000000-0005-0000-0000-00007E430000}"/>
    <cellStyle name="Normal 95 2 4 4" xfId="5361" xr:uid="{00000000-0005-0000-0000-00007F430000}"/>
    <cellStyle name="Normal 95 2 4 4 2" xfId="14402" xr:uid="{00000000-0005-0000-0000-000080430000}"/>
    <cellStyle name="Normal 95 2 4 5" xfId="9889" xr:uid="{00000000-0005-0000-0000-000081430000}"/>
    <cellStyle name="Normal 95 2 5" xfId="1402" xr:uid="{00000000-0005-0000-0000-000082430000}"/>
    <cellStyle name="Normal 95 2 5 2" xfId="4504" xr:uid="{00000000-0005-0000-0000-000083430000}"/>
    <cellStyle name="Normal 95 2 5 2 2" xfId="9018" xr:uid="{00000000-0005-0000-0000-000084430000}"/>
    <cellStyle name="Normal 95 2 5 2 2 2" xfId="18059" xr:uid="{00000000-0005-0000-0000-000085430000}"/>
    <cellStyle name="Normal 95 2 5 2 3" xfId="13546" xr:uid="{00000000-0005-0000-0000-000086430000}"/>
    <cellStyle name="Normal 95 2 5 3" xfId="5925" xr:uid="{00000000-0005-0000-0000-000087430000}"/>
    <cellStyle name="Normal 95 2 5 3 2" xfId="14966" xr:uid="{00000000-0005-0000-0000-000088430000}"/>
    <cellStyle name="Normal 95 2 5 4" xfId="10453" xr:uid="{00000000-0005-0000-0000-000089430000}"/>
    <cellStyle name="Normal 95 2 6" xfId="4493" xr:uid="{00000000-0005-0000-0000-00008A430000}"/>
    <cellStyle name="Normal 95 2 6 2" xfId="9007" xr:uid="{00000000-0005-0000-0000-00008B430000}"/>
    <cellStyle name="Normal 95 2 6 2 2" xfId="18048" xr:uid="{00000000-0005-0000-0000-00008C430000}"/>
    <cellStyle name="Normal 95 2 6 3" xfId="13535" xr:uid="{00000000-0005-0000-0000-00008D430000}"/>
    <cellStyle name="Normal 95 2 7" xfId="4797" xr:uid="{00000000-0005-0000-0000-00008E430000}"/>
    <cellStyle name="Normal 95 2 7 2" xfId="13838" xr:uid="{00000000-0005-0000-0000-00008F430000}"/>
    <cellStyle name="Normal 95 2 8" xfId="9325" xr:uid="{00000000-0005-0000-0000-000090430000}"/>
    <cellStyle name="Normal 95 3" xfId="326" xr:uid="{00000000-0005-0000-0000-000091430000}"/>
    <cellStyle name="Normal 95 3 2" xfId="890" xr:uid="{00000000-0005-0000-0000-000092430000}"/>
    <cellStyle name="Normal 95 3 2 2" xfId="2060" xr:uid="{00000000-0005-0000-0000-000093430000}"/>
    <cellStyle name="Normal 95 3 2 2 2" xfId="4507" xr:uid="{00000000-0005-0000-0000-000094430000}"/>
    <cellStyle name="Normal 95 3 2 2 2 2" xfId="9021" xr:uid="{00000000-0005-0000-0000-000095430000}"/>
    <cellStyle name="Normal 95 3 2 2 2 2 2" xfId="18062" xr:uid="{00000000-0005-0000-0000-000096430000}"/>
    <cellStyle name="Normal 95 3 2 2 2 3" xfId="13549" xr:uid="{00000000-0005-0000-0000-000097430000}"/>
    <cellStyle name="Normal 95 3 2 2 3" xfId="6583" xr:uid="{00000000-0005-0000-0000-000098430000}"/>
    <cellStyle name="Normal 95 3 2 2 3 2" xfId="15624" xr:uid="{00000000-0005-0000-0000-000099430000}"/>
    <cellStyle name="Normal 95 3 2 2 4" xfId="11111" xr:uid="{00000000-0005-0000-0000-00009A430000}"/>
    <cellStyle name="Normal 95 3 2 3" xfId="4506" xr:uid="{00000000-0005-0000-0000-00009B430000}"/>
    <cellStyle name="Normal 95 3 2 3 2" xfId="9020" xr:uid="{00000000-0005-0000-0000-00009C430000}"/>
    <cellStyle name="Normal 95 3 2 3 2 2" xfId="18061" xr:uid="{00000000-0005-0000-0000-00009D430000}"/>
    <cellStyle name="Normal 95 3 2 3 3" xfId="13548" xr:uid="{00000000-0005-0000-0000-00009E430000}"/>
    <cellStyle name="Normal 95 3 2 4" xfId="5455" xr:uid="{00000000-0005-0000-0000-00009F430000}"/>
    <cellStyle name="Normal 95 3 2 4 2" xfId="14496" xr:uid="{00000000-0005-0000-0000-0000A0430000}"/>
    <cellStyle name="Normal 95 3 2 5" xfId="9983" xr:uid="{00000000-0005-0000-0000-0000A1430000}"/>
    <cellStyle name="Normal 95 3 3" xfId="1496" xr:uid="{00000000-0005-0000-0000-0000A2430000}"/>
    <cellStyle name="Normal 95 3 3 2" xfId="4508" xr:uid="{00000000-0005-0000-0000-0000A3430000}"/>
    <cellStyle name="Normal 95 3 3 2 2" xfId="9022" xr:uid="{00000000-0005-0000-0000-0000A4430000}"/>
    <cellStyle name="Normal 95 3 3 2 2 2" xfId="18063" xr:uid="{00000000-0005-0000-0000-0000A5430000}"/>
    <cellStyle name="Normal 95 3 3 2 3" xfId="13550" xr:uid="{00000000-0005-0000-0000-0000A6430000}"/>
    <cellStyle name="Normal 95 3 3 3" xfId="6019" xr:uid="{00000000-0005-0000-0000-0000A7430000}"/>
    <cellStyle name="Normal 95 3 3 3 2" xfId="15060" xr:uid="{00000000-0005-0000-0000-0000A8430000}"/>
    <cellStyle name="Normal 95 3 3 4" xfId="10547" xr:uid="{00000000-0005-0000-0000-0000A9430000}"/>
    <cellStyle name="Normal 95 3 4" xfId="4505" xr:uid="{00000000-0005-0000-0000-0000AA430000}"/>
    <cellStyle name="Normal 95 3 4 2" xfId="9019" xr:uid="{00000000-0005-0000-0000-0000AB430000}"/>
    <cellStyle name="Normal 95 3 4 2 2" xfId="18060" xr:uid="{00000000-0005-0000-0000-0000AC430000}"/>
    <cellStyle name="Normal 95 3 4 3" xfId="13547" xr:uid="{00000000-0005-0000-0000-0000AD430000}"/>
    <cellStyle name="Normal 95 3 5" xfId="4891" xr:uid="{00000000-0005-0000-0000-0000AE430000}"/>
    <cellStyle name="Normal 95 3 5 2" xfId="13932" xr:uid="{00000000-0005-0000-0000-0000AF430000}"/>
    <cellStyle name="Normal 95 3 6" xfId="9419" xr:uid="{00000000-0005-0000-0000-0000B0430000}"/>
    <cellStyle name="Normal 95 4" xfId="514" xr:uid="{00000000-0005-0000-0000-0000B1430000}"/>
    <cellStyle name="Normal 95 4 2" xfId="1078" xr:uid="{00000000-0005-0000-0000-0000B2430000}"/>
    <cellStyle name="Normal 95 4 2 2" xfId="2248" xr:uid="{00000000-0005-0000-0000-0000B3430000}"/>
    <cellStyle name="Normal 95 4 2 2 2" xfId="4511" xr:uid="{00000000-0005-0000-0000-0000B4430000}"/>
    <cellStyle name="Normal 95 4 2 2 2 2" xfId="9025" xr:uid="{00000000-0005-0000-0000-0000B5430000}"/>
    <cellStyle name="Normal 95 4 2 2 2 2 2" xfId="18066" xr:uid="{00000000-0005-0000-0000-0000B6430000}"/>
    <cellStyle name="Normal 95 4 2 2 2 3" xfId="13553" xr:uid="{00000000-0005-0000-0000-0000B7430000}"/>
    <cellStyle name="Normal 95 4 2 2 3" xfId="6771" xr:uid="{00000000-0005-0000-0000-0000B8430000}"/>
    <cellStyle name="Normal 95 4 2 2 3 2" xfId="15812" xr:uid="{00000000-0005-0000-0000-0000B9430000}"/>
    <cellStyle name="Normal 95 4 2 2 4" xfId="11299" xr:uid="{00000000-0005-0000-0000-0000BA430000}"/>
    <cellStyle name="Normal 95 4 2 3" xfId="4510" xr:uid="{00000000-0005-0000-0000-0000BB430000}"/>
    <cellStyle name="Normal 95 4 2 3 2" xfId="9024" xr:uid="{00000000-0005-0000-0000-0000BC430000}"/>
    <cellStyle name="Normal 95 4 2 3 2 2" xfId="18065" xr:uid="{00000000-0005-0000-0000-0000BD430000}"/>
    <cellStyle name="Normal 95 4 2 3 3" xfId="13552" xr:uid="{00000000-0005-0000-0000-0000BE430000}"/>
    <cellStyle name="Normal 95 4 2 4" xfId="5643" xr:uid="{00000000-0005-0000-0000-0000BF430000}"/>
    <cellStyle name="Normal 95 4 2 4 2" xfId="14684" xr:uid="{00000000-0005-0000-0000-0000C0430000}"/>
    <cellStyle name="Normal 95 4 2 5" xfId="10171" xr:uid="{00000000-0005-0000-0000-0000C1430000}"/>
    <cellStyle name="Normal 95 4 3" xfId="1684" xr:uid="{00000000-0005-0000-0000-0000C2430000}"/>
    <cellStyle name="Normal 95 4 3 2" xfId="4512" xr:uid="{00000000-0005-0000-0000-0000C3430000}"/>
    <cellStyle name="Normal 95 4 3 2 2" xfId="9026" xr:uid="{00000000-0005-0000-0000-0000C4430000}"/>
    <cellStyle name="Normal 95 4 3 2 2 2" xfId="18067" xr:uid="{00000000-0005-0000-0000-0000C5430000}"/>
    <cellStyle name="Normal 95 4 3 2 3" xfId="13554" xr:uid="{00000000-0005-0000-0000-0000C6430000}"/>
    <cellStyle name="Normal 95 4 3 3" xfId="6207" xr:uid="{00000000-0005-0000-0000-0000C7430000}"/>
    <cellStyle name="Normal 95 4 3 3 2" xfId="15248" xr:uid="{00000000-0005-0000-0000-0000C8430000}"/>
    <cellStyle name="Normal 95 4 3 4" xfId="10735" xr:uid="{00000000-0005-0000-0000-0000C9430000}"/>
    <cellStyle name="Normal 95 4 4" xfId="4509" xr:uid="{00000000-0005-0000-0000-0000CA430000}"/>
    <cellStyle name="Normal 95 4 4 2" xfId="9023" xr:uid="{00000000-0005-0000-0000-0000CB430000}"/>
    <cellStyle name="Normal 95 4 4 2 2" xfId="18064" xr:uid="{00000000-0005-0000-0000-0000CC430000}"/>
    <cellStyle name="Normal 95 4 4 3" xfId="13551" xr:uid="{00000000-0005-0000-0000-0000CD430000}"/>
    <cellStyle name="Normal 95 4 5" xfId="5079" xr:uid="{00000000-0005-0000-0000-0000CE430000}"/>
    <cellStyle name="Normal 95 4 5 2" xfId="14120" xr:uid="{00000000-0005-0000-0000-0000CF430000}"/>
    <cellStyle name="Normal 95 4 6" xfId="9607" xr:uid="{00000000-0005-0000-0000-0000D0430000}"/>
    <cellStyle name="Normal 95 5" xfId="702" xr:uid="{00000000-0005-0000-0000-0000D1430000}"/>
    <cellStyle name="Normal 95 5 2" xfId="1872" xr:uid="{00000000-0005-0000-0000-0000D2430000}"/>
    <cellStyle name="Normal 95 5 2 2" xfId="4514" xr:uid="{00000000-0005-0000-0000-0000D3430000}"/>
    <cellStyle name="Normal 95 5 2 2 2" xfId="9028" xr:uid="{00000000-0005-0000-0000-0000D4430000}"/>
    <cellStyle name="Normal 95 5 2 2 2 2" xfId="18069" xr:uid="{00000000-0005-0000-0000-0000D5430000}"/>
    <cellStyle name="Normal 95 5 2 2 3" xfId="13556" xr:uid="{00000000-0005-0000-0000-0000D6430000}"/>
    <cellStyle name="Normal 95 5 2 3" xfId="6395" xr:uid="{00000000-0005-0000-0000-0000D7430000}"/>
    <cellStyle name="Normal 95 5 2 3 2" xfId="15436" xr:uid="{00000000-0005-0000-0000-0000D8430000}"/>
    <cellStyle name="Normal 95 5 2 4" xfId="10923" xr:uid="{00000000-0005-0000-0000-0000D9430000}"/>
    <cellStyle name="Normal 95 5 3" xfId="4513" xr:uid="{00000000-0005-0000-0000-0000DA430000}"/>
    <cellStyle name="Normal 95 5 3 2" xfId="9027" xr:uid="{00000000-0005-0000-0000-0000DB430000}"/>
    <cellStyle name="Normal 95 5 3 2 2" xfId="18068" xr:uid="{00000000-0005-0000-0000-0000DC430000}"/>
    <cellStyle name="Normal 95 5 3 3" xfId="13555" xr:uid="{00000000-0005-0000-0000-0000DD430000}"/>
    <cellStyle name="Normal 95 5 4" xfId="5267" xr:uid="{00000000-0005-0000-0000-0000DE430000}"/>
    <cellStyle name="Normal 95 5 4 2" xfId="14308" xr:uid="{00000000-0005-0000-0000-0000DF430000}"/>
    <cellStyle name="Normal 95 5 5" xfId="9795" xr:uid="{00000000-0005-0000-0000-0000E0430000}"/>
    <cellStyle name="Normal 95 6" xfId="1308" xr:uid="{00000000-0005-0000-0000-0000E1430000}"/>
    <cellStyle name="Normal 95 6 2" xfId="4515" xr:uid="{00000000-0005-0000-0000-0000E2430000}"/>
    <cellStyle name="Normal 95 6 2 2" xfId="9029" xr:uid="{00000000-0005-0000-0000-0000E3430000}"/>
    <cellStyle name="Normal 95 6 2 2 2" xfId="18070" xr:uid="{00000000-0005-0000-0000-0000E4430000}"/>
    <cellStyle name="Normal 95 6 2 3" xfId="13557" xr:uid="{00000000-0005-0000-0000-0000E5430000}"/>
    <cellStyle name="Normal 95 6 3" xfId="5831" xr:uid="{00000000-0005-0000-0000-0000E6430000}"/>
    <cellStyle name="Normal 95 6 3 2" xfId="14872" xr:uid="{00000000-0005-0000-0000-0000E7430000}"/>
    <cellStyle name="Normal 95 6 4" xfId="10359" xr:uid="{00000000-0005-0000-0000-0000E8430000}"/>
    <cellStyle name="Normal 95 7" xfId="4492" xr:uid="{00000000-0005-0000-0000-0000E9430000}"/>
    <cellStyle name="Normal 95 7 2" xfId="9006" xr:uid="{00000000-0005-0000-0000-0000EA430000}"/>
    <cellStyle name="Normal 95 7 2 2" xfId="18047" xr:uid="{00000000-0005-0000-0000-0000EB430000}"/>
    <cellStyle name="Normal 95 7 3" xfId="13534" xr:uid="{00000000-0005-0000-0000-0000EC430000}"/>
    <cellStyle name="Normal 95 8" xfId="4703" xr:uid="{00000000-0005-0000-0000-0000ED430000}"/>
    <cellStyle name="Normal 95 8 2" xfId="13744" xr:uid="{00000000-0005-0000-0000-0000EE430000}"/>
    <cellStyle name="Normal 95 9" xfId="9231" xr:uid="{00000000-0005-0000-0000-0000EF430000}"/>
    <cellStyle name="Normal 96" xfId="96" xr:uid="{00000000-0005-0000-0000-0000F0430000}"/>
    <cellStyle name="Normal 96 2" xfId="192" xr:uid="{00000000-0005-0000-0000-0000F1430000}"/>
    <cellStyle name="Normal 96 2 2" xfId="421" xr:uid="{00000000-0005-0000-0000-0000F2430000}"/>
    <cellStyle name="Normal 96 2 2 2" xfId="985" xr:uid="{00000000-0005-0000-0000-0000F3430000}"/>
    <cellStyle name="Normal 96 2 2 2 2" xfId="2155" xr:uid="{00000000-0005-0000-0000-0000F4430000}"/>
    <cellStyle name="Normal 96 2 2 2 2 2" xfId="4520" xr:uid="{00000000-0005-0000-0000-0000F5430000}"/>
    <cellStyle name="Normal 96 2 2 2 2 2 2" xfId="9034" xr:uid="{00000000-0005-0000-0000-0000F6430000}"/>
    <cellStyle name="Normal 96 2 2 2 2 2 2 2" xfId="18075" xr:uid="{00000000-0005-0000-0000-0000F7430000}"/>
    <cellStyle name="Normal 96 2 2 2 2 2 3" xfId="13562" xr:uid="{00000000-0005-0000-0000-0000F8430000}"/>
    <cellStyle name="Normal 96 2 2 2 2 3" xfId="6678" xr:uid="{00000000-0005-0000-0000-0000F9430000}"/>
    <cellStyle name="Normal 96 2 2 2 2 3 2" xfId="15719" xr:uid="{00000000-0005-0000-0000-0000FA430000}"/>
    <cellStyle name="Normal 96 2 2 2 2 4" xfId="11206" xr:uid="{00000000-0005-0000-0000-0000FB430000}"/>
    <cellStyle name="Normal 96 2 2 2 3" xfId="4519" xr:uid="{00000000-0005-0000-0000-0000FC430000}"/>
    <cellStyle name="Normal 96 2 2 2 3 2" xfId="9033" xr:uid="{00000000-0005-0000-0000-0000FD430000}"/>
    <cellStyle name="Normal 96 2 2 2 3 2 2" xfId="18074" xr:uid="{00000000-0005-0000-0000-0000FE430000}"/>
    <cellStyle name="Normal 96 2 2 2 3 3" xfId="13561" xr:uid="{00000000-0005-0000-0000-0000FF430000}"/>
    <cellStyle name="Normal 96 2 2 2 4" xfId="5550" xr:uid="{00000000-0005-0000-0000-000000440000}"/>
    <cellStyle name="Normal 96 2 2 2 4 2" xfId="14591" xr:uid="{00000000-0005-0000-0000-000001440000}"/>
    <cellStyle name="Normal 96 2 2 2 5" xfId="10078" xr:uid="{00000000-0005-0000-0000-000002440000}"/>
    <cellStyle name="Normal 96 2 2 3" xfId="1591" xr:uid="{00000000-0005-0000-0000-000003440000}"/>
    <cellStyle name="Normal 96 2 2 3 2" xfId="4521" xr:uid="{00000000-0005-0000-0000-000004440000}"/>
    <cellStyle name="Normal 96 2 2 3 2 2" xfId="9035" xr:uid="{00000000-0005-0000-0000-000005440000}"/>
    <cellStyle name="Normal 96 2 2 3 2 2 2" xfId="18076" xr:uid="{00000000-0005-0000-0000-000006440000}"/>
    <cellStyle name="Normal 96 2 2 3 2 3" xfId="13563" xr:uid="{00000000-0005-0000-0000-000007440000}"/>
    <cellStyle name="Normal 96 2 2 3 3" xfId="6114" xr:uid="{00000000-0005-0000-0000-000008440000}"/>
    <cellStyle name="Normal 96 2 2 3 3 2" xfId="15155" xr:uid="{00000000-0005-0000-0000-000009440000}"/>
    <cellStyle name="Normal 96 2 2 3 4" xfId="10642" xr:uid="{00000000-0005-0000-0000-00000A440000}"/>
    <cellStyle name="Normal 96 2 2 4" xfId="4518" xr:uid="{00000000-0005-0000-0000-00000B440000}"/>
    <cellStyle name="Normal 96 2 2 4 2" xfId="9032" xr:uid="{00000000-0005-0000-0000-00000C440000}"/>
    <cellStyle name="Normal 96 2 2 4 2 2" xfId="18073" xr:uid="{00000000-0005-0000-0000-00000D440000}"/>
    <cellStyle name="Normal 96 2 2 4 3" xfId="13560" xr:uid="{00000000-0005-0000-0000-00000E440000}"/>
    <cellStyle name="Normal 96 2 2 5" xfId="4986" xr:uid="{00000000-0005-0000-0000-00000F440000}"/>
    <cellStyle name="Normal 96 2 2 5 2" xfId="14027" xr:uid="{00000000-0005-0000-0000-000010440000}"/>
    <cellStyle name="Normal 96 2 2 6" xfId="9514" xr:uid="{00000000-0005-0000-0000-000011440000}"/>
    <cellStyle name="Normal 96 2 3" xfId="609" xr:uid="{00000000-0005-0000-0000-000012440000}"/>
    <cellStyle name="Normal 96 2 3 2" xfId="1173" xr:uid="{00000000-0005-0000-0000-000013440000}"/>
    <cellStyle name="Normal 96 2 3 2 2" xfId="2343" xr:uid="{00000000-0005-0000-0000-000014440000}"/>
    <cellStyle name="Normal 96 2 3 2 2 2" xfId="4524" xr:uid="{00000000-0005-0000-0000-000015440000}"/>
    <cellStyle name="Normal 96 2 3 2 2 2 2" xfId="9038" xr:uid="{00000000-0005-0000-0000-000016440000}"/>
    <cellStyle name="Normal 96 2 3 2 2 2 2 2" xfId="18079" xr:uid="{00000000-0005-0000-0000-000017440000}"/>
    <cellStyle name="Normal 96 2 3 2 2 2 3" xfId="13566" xr:uid="{00000000-0005-0000-0000-000018440000}"/>
    <cellStyle name="Normal 96 2 3 2 2 3" xfId="6866" xr:uid="{00000000-0005-0000-0000-000019440000}"/>
    <cellStyle name="Normal 96 2 3 2 2 3 2" xfId="15907" xr:uid="{00000000-0005-0000-0000-00001A440000}"/>
    <cellStyle name="Normal 96 2 3 2 2 4" xfId="11394" xr:uid="{00000000-0005-0000-0000-00001B440000}"/>
    <cellStyle name="Normal 96 2 3 2 3" xfId="4523" xr:uid="{00000000-0005-0000-0000-00001C440000}"/>
    <cellStyle name="Normal 96 2 3 2 3 2" xfId="9037" xr:uid="{00000000-0005-0000-0000-00001D440000}"/>
    <cellStyle name="Normal 96 2 3 2 3 2 2" xfId="18078" xr:uid="{00000000-0005-0000-0000-00001E440000}"/>
    <cellStyle name="Normal 96 2 3 2 3 3" xfId="13565" xr:uid="{00000000-0005-0000-0000-00001F440000}"/>
    <cellStyle name="Normal 96 2 3 2 4" xfId="5738" xr:uid="{00000000-0005-0000-0000-000020440000}"/>
    <cellStyle name="Normal 96 2 3 2 4 2" xfId="14779" xr:uid="{00000000-0005-0000-0000-000021440000}"/>
    <cellStyle name="Normal 96 2 3 2 5" xfId="10266" xr:uid="{00000000-0005-0000-0000-000022440000}"/>
    <cellStyle name="Normal 96 2 3 3" xfId="1779" xr:uid="{00000000-0005-0000-0000-000023440000}"/>
    <cellStyle name="Normal 96 2 3 3 2" xfId="4525" xr:uid="{00000000-0005-0000-0000-000024440000}"/>
    <cellStyle name="Normal 96 2 3 3 2 2" xfId="9039" xr:uid="{00000000-0005-0000-0000-000025440000}"/>
    <cellStyle name="Normal 96 2 3 3 2 2 2" xfId="18080" xr:uid="{00000000-0005-0000-0000-000026440000}"/>
    <cellStyle name="Normal 96 2 3 3 2 3" xfId="13567" xr:uid="{00000000-0005-0000-0000-000027440000}"/>
    <cellStyle name="Normal 96 2 3 3 3" xfId="6302" xr:uid="{00000000-0005-0000-0000-000028440000}"/>
    <cellStyle name="Normal 96 2 3 3 3 2" xfId="15343" xr:uid="{00000000-0005-0000-0000-000029440000}"/>
    <cellStyle name="Normal 96 2 3 3 4" xfId="10830" xr:uid="{00000000-0005-0000-0000-00002A440000}"/>
    <cellStyle name="Normal 96 2 3 4" xfId="4522" xr:uid="{00000000-0005-0000-0000-00002B440000}"/>
    <cellStyle name="Normal 96 2 3 4 2" xfId="9036" xr:uid="{00000000-0005-0000-0000-00002C440000}"/>
    <cellStyle name="Normal 96 2 3 4 2 2" xfId="18077" xr:uid="{00000000-0005-0000-0000-00002D440000}"/>
    <cellStyle name="Normal 96 2 3 4 3" xfId="13564" xr:uid="{00000000-0005-0000-0000-00002E440000}"/>
    <cellStyle name="Normal 96 2 3 5" xfId="5174" xr:uid="{00000000-0005-0000-0000-00002F440000}"/>
    <cellStyle name="Normal 96 2 3 5 2" xfId="14215" xr:uid="{00000000-0005-0000-0000-000030440000}"/>
    <cellStyle name="Normal 96 2 3 6" xfId="9702" xr:uid="{00000000-0005-0000-0000-000031440000}"/>
    <cellStyle name="Normal 96 2 4" xfId="797" xr:uid="{00000000-0005-0000-0000-000032440000}"/>
    <cellStyle name="Normal 96 2 4 2" xfId="1967" xr:uid="{00000000-0005-0000-0000-000033440000}"/>
    <cellStyle name="Normal 96 2 4 2 2" xfId="4527" xr:uid="{00000000-0005-0000-0000-000034440000}"/>
    <cellStyle name="Normal 96 2 4 2 2 2" xfId="9041" xr:uid="{00000000-0005-0000-0000-000035440000}"/>
    <cellStyle name="Normal 96 2 4 2 2 2 2" xfId="18082" xr:uid="{00000000-0005-0000-0000-000036440000}"/>
    <cellStyle name="Normal 96 2 4 2 2 3" xfId="13569" xr:uid="{00000000-0005-0000-0000-000037440000}"/>
    <cellStyle name="Normal 96 2 4 2 3" xfId="6490" xr:uid="{00000000-0005-0000-0000-000038440000}"/>
    <cellStyle name="Normal 96 2 4 2 3 2" xfId="15531" xr:uid="{00000000-0005-0000-0000-000039440000}"/>
    <cellStyle name="Normal 96 2 4 2 4" xfId="11018" xr:uid="{00000000-0005-0000-0000-00003A440000}"/>
    <cellStyle name="Normal 96 2 4 3" xfId="4526" xr:uid="{00000000-0005-0000-0000-00003B440000}"/>
    <cellStyle name="Normal 96 2 4 3 2" xfId="9040" xr:uid="{00000000-0005-0000-0000-00003C440000}"/>
    <cellStyle name="Normal 96 2 4 3 2 2" xfId="18081" xr:uid="{00000000-0005-0000-0000-00003D440000}"/>
    <cellStyle name="Normal 96 2 4 3 3" xfId="13568" xr:uid="{00000000-0005-0000-0000-00003E440000}"/>
    <cellStyle name="Normal 96 2 4 4" xfId="5362" xr:uid="{00000000-0005-0000-0000-00003F440000}"/>
    <cellStyle name="Normal 96 2 4 4 2" xfId="14403" xr:uid="{00000000-0005-0000-0000-000040440000}"/>
    <cellStyle name="Normal 96 2 4 5" xfId="9890" xr:uid="{00000000-0005-0000-0000-000041440000}"/>
    <cellStyle name="Normal 96 2 5" xfId="1403" xr:uid="{00000000-0005-0000-0000-000042440000}"/>
    <cellStyle name="Normal 96 2 5 2" xfId="4528" xr:uid="{00000000-0005-0000-0000-000043440000}"/>
    <cellStyle name="Normal 96 2 5 2 2" xfId="9042" xr:uid="{00000000-0005-0000-0000-000044440000}"/>
    <cellStyle name="Normal 96 2 5 2 2 2" xfId="18083" xr:uid="{00000000-0005-0000-0000-000045440000}"/>
    <cellStyle name="Normal 96 2 5 2 3" xfId="13570" xr:uid="{00000000-0005-0000-0000-000046440000}"/>
    <cellStyle name="Normal 96 2 5 3" xfId="5926" xr:uid="{00000000-0005-0000-0000-000047440000}"/>
    <cellStyle name="Normal 96 2 5 3 2" xfId="14967" xr:uid="{00000000-0005-0000-0000-000048440000}"/>
    <cellStyle name="Normal 96 2 5 4" xfId="10454" xr:uid="{00000000-0005-0000-0000-000049440000}"/>
    <cellStyle name="Normal 96 2 6" xfId="4517" xr:uid="{00000000-0005-0000-0000-00004A440000}"/>
    <cellStyle name="Normal 96 2 6 2" xfId="9031" xr:uid="{00000000-0005-0000-0000-00004B440000}"/>
    <cellStyle name="Normal 96 2 6 2 2" xfId="18072" xr:uid="{00000000-0005-0000-0000-00004C440000}"/>
    <cellStyle name="Normal 96 2 6 3" xfId="13559" xr:uid="{00000000-0005-0000-0000-00004D440000}"/>
    <cellStyle name="Normal 96 2 7" xfId="4798" xr:uid="{00000000-0005-0000-0000-00004E440000}"/>
    <cellStyle name="Normal 96 2 7 2" xfId="13839" xr:uid="{00000000-0005-0000-0000-00004F440000}"/>
    <cellStyle name="Normal 96 2 8" xfId="9326" xr:uid="{00000000-0005-0000-0000-000050440000}"/>
    <cellStyle name="Normal 96 3" xfId="327" xr:uid="{00000000-0005-0000-0000-000051440000}"/>
    <cellStyle name="Normal 96 3 2" xfId="891" xr:uid="{00000000-0005-0000-0000-000052440000}"/>
    <cellStyle name="Normal 96 3 2 2" xfId="2061" xr:uid="{00000000-0005-0000-0000-000053440000}"/>
    <cellStyle name="Normal 96 3 2 2 2" xfId="4531" xr:uid="{00000000-0005-0000-0000-000054440000}"/>
    <cellStyle name="Normal 96 3 2 2 2 2" xfId="9045" xr:uid="{00000000-0005-0000-0000-000055440000}"/>
    <cellStyle name="Normal 96 3 2 2 2 2 2" xfId="18086" xr:uid="{00000000-0005-0000-0000-000056440000}"/>
    <cellStyle name="Normal 96 3 2 2 2 3" xfId="13573" xr:uid="{00000000-0005-0000-0000-000057440000}"/>
    <cellStyle name="Normal 96 3 2 2 3" xfId="6584" xr:uid="{00000000-0005-0000-0000-000058440000}"/>
    <cellStyle name="Normal 96 3 2 2 3 2" xfId="15625" xr:uid="{00000000-0005-0000-0000-000059440000}"/>
    <cellStyle name="Normal 96 3 2 2 4" xfId="11112" xr:uid="{00000000-0005-0000-0000-00005A440000}"/>
    <cellStyle name="Normal 96 3 2 3" xfId="4530" xr:uid="{00000000-0005-0000-0000-00005B440000}"/>
    <cellStyle name="Normal 96 3 2 3 2" xfId="9044" xr:uid="{00000000-0005-0000-0000-00005C440000}"/>
    <cellStyle name="Normal 96 3 2 3 2 2" xfId="18085" xr:uid="{00000000-0005-0000-0000-00005D440000}"/>
    <cellStyle name="Normal 96 3 2 3 3" xfId="13572" xr:uid="{00000000-0005-0000-0000-00005E440000}"/>
    <cellStyle name="Normal 96 3 2 4" xfId="5456" xr:uid="{00000000-0005-0000-0000-00005F440000}"/>
    <cellStyle name="Normal 96 3 2 4 2" xfId="14497" xr:uid="{00000000-0005-0000-0000-000060440000}"/>
    <cellStyle name="Normal 96 3 2 5" xfId="9984" xr:uid="{00000000-0005-0000-0000-000061440000}"/>
    <cellStyle name="Normal 96 3 3" xfId="1497" xr:uid="{00000000-0005-0000-0000-000062440000}"/>
    <cellStyle name="Normal 96 3 3 2" xfId="4532" xr:uid="{00000000-0005-0000-0000-000063440000}"/>
    <cellStyle name="Normal 96 3 3 2 2" xfId="9046" xr:uid="{00000000-0005-0000-0000-000064440000}"/>
    <cellStyle name="Normal 96 3 3 2 2 2" xfId="18087" xr:uid="{00000000-0005-0000-0000-000065440000}"/>
    <cellStyle name="Normal 96 3 3 2 3" xfId="13574" xr:uid="{00000000-0005-0000-0000-000066440000}"/>
    <cellStyle name="Normal 96 3 3 3" xfId="6020" xr:uid="{00000000-0005-0000-0000-000067440000}"/>
    <cellStyle name="Normal 96 3 3 3 2" xfId="15061" xr:uid="{00000000-0005-0000-0000-000068440000}"/>
    <cellStyle name="Normal 96 3 3 4" xfId="10548" xr:uid="{00000000-0005-0000-0000-000069440000}"/>
    <cellStyle name="Normal 96 3 4" xfId="4529" xr:uid="{00000000-0005-0000-0000-00006A440000}"/>
    <cellStyle name="Normal 96 3 4 2" xfId="9043" xr:uid="{00000000-0005-0000-0000-00006B440000}"/>
    <cellStyle name="Normal 96 3 4 2 2" xfId="18084" xr:uid="{00000000-0005-0000-0000-00006C440000}"/>
    <cellStyle name="Normal 96 3 4 3" xfId="13571" xr:uid="{00000000-0005-0000-0000-00006D440000}"/>
    <cellStyle name="Normal 96 3 5" xfId="4892" xr:uid="{00000000-0005-0000-0000-00006E440000}"/>
    <cellStyle name="Normal 96 3 5 2" xfId="13933" xr:uid="{00000000-0005-0000-0000-00006F440000}"/>
    <cellStyle name="Normal 96 3 6" xfId="9420" xr:uid="{00000000-0005-0000-0000-000070440000}"/>
    <cellStyle name="Normal 96 4" xfId="515" xr:uid="{00000000-0005-0000-0000-000071440000}"/>
    <cellStyle name="Normal 96 4 2" xfId="1079" xr:uid="{00000000-0005-0000-0000-000072440000}"/>
    <cellStyle name="Normal 96 4 2 2" xfId="2249" xr:uid="{00000000-0005-0000-0000-000073440000}"/>
    <cellStyle name="Normal 96 4 2 2 2" xfId="4535" xr:uid="{00000000-0005-0000-0000-000074440000}"/>
    <cellStyle name="Normal 96 4 2 2 2 2" xfId="9049" xr:uid="{00000000-0005-0000-0000-000075440000}"/>
    <cellStyle name="Normal 96 4 2 2 2 2 2" xfId="18090" xr:uid="{00000000-0005-0000-0000-000076440000}"/>
    <cellStyle name="Normal 96 4 2 2 2 3" xfId="13577" xr:uid="{00000000-0005-0000-0000-000077440000}"/>
    <cellStyle name="Normal 96 4 2 2 3" xfId="6772" xr:uid="{00000000-0005-0000-0000-000078440000}"/>
    <cellStyle name="Normal 96 4 2 2 3 2" xfId="15813" xr:uid="{00000000-0005-0000-0000-000079440000}"/>
    <cellStyle name="Normal 96 4 2 2 4" xfId="11300" xr:uid="{00000000-0005-0000-0000-00007A440000}"/>
    <cellStyle name="Normal 96 4 2 3" xfId="4534" xr:uid="{00000000-0005-0000-0000-00007B440000}"/>
    <cellStyle name="Normal 96 4 2 3 2" xfId="9048" xr:uid="{00000000-0005-0000-0000-00007C440000}"/>
    <cellStyle name="Normal 96 4 2 3 2 2" xfId="18089" xr:uid="{00000000-0005-0000-0000-00007D440000}"/>
    <cellStyle name="Normal 96 4 2 3 3" xfId="13576" xr:uid="{00000000-0005-0000-0000-00007E440000}"/>
    <cellStyle name="Normal 96 4 2 4" xfId="5644" xr:uid="{00000000-0005-0000-0000-00007F440000}"/>
    <cellStyle name="Normal 96 4 2 4 2" xfId="14685" xr:uid="{00000000-0005-0000-0000-000080440000}"/>
    <cellStyle name="Normal 96 4 2 5" xfId="10172" xr:uid="{00000000-0005-0000-0000-000081440000}"/>
    <cellStyle name="Normal 96 4 3" xfId="1685" xr:uid="{00000000-0005-0000-0000-000082440000}"/>
    <cellStyle name="Normal 96 4 3 2" xfId="4536" xr:uid="{00000000-0005-0000-0000-000083440000}"/>
    <cellStyle name="Normal 96 4 3 2 2" xfId="9050" xr:uid="{00000000-0005-0000-0000-000084440000}"/>
    <cellStyle name="Normal 96 4 3 2 2 2" xfId="18091" xr:uid="{00000000-0005-0000-0000-000085440000}"/>
    <cellStyle name="Normal 96 4 3 2 3" xfId="13578" xr:uid="{00000000-0005-0000-0000-000086440000}"/>
    <cellStyle name="Normal 96 4 3 3" xfId="6208" xr:uid="{00000000-0005-0000-0000-000087440000}"/>
    <cellStyle name="Normal 96 4 3 3 2" xfId="15249" xr:uid="{00000000-0005-0000-0000-000088440000}"/>
    <cellStyle name="Normal 96 4 3 4" xfId="10736" xr:uid="{00000000-0005-0000-0000-000089440000}"/>
    <cellStyle name="Normal 96 4 4" xfId="4533" xr:uid="{00000000-0005-0000-0000-00008A440000}"/>
    <cellStyle name="Normal 96 4 4 2" xfId="9047" xr:uid="{00000000-0005-0000-0000-00008B440000}"/>
    <cellStyle name="Normal 96 4 4 2 2" xfId="18088" xr:uid="{00000000-0005-0000-0000-00008C440000}"/>
    <cellStyle name="Normal 96 4 4 3" xfId="13575" xr:uid="{00000000-0005-0000-0000-00008D440000}"/>
    <cellStyle name="Normal 96 4 5" xfId="5080" xr:uid="{00000000-0005-0000-0000-00008E440000}"/>
    <cellStyle name="Normal 96 4 5 2" xfId="14121" xr:uid="{00000000-0005-0000-0000-00008F440000}"/>
    <cellStyle name="Normal 96 4 6" xfId="9608" xr:uid="{00000000-0005-0000-0000-000090440000}"/>
    <cellStyle name="Normal 96 5" xfId="703" xr:uid="{00000000-0005-0000-0000-000091440000}"/>
    <cellStyle name="Normal 96 5 2" xfId="1873" xr:uid="{00000000-0005-0000-0000-000092440000}"/>
    <cellStyle name="Normal 96 5 2 2" xfId="4538" xr:uid="{00000000-0005-0000-0000-000093440000}"/>
    <cellStyle name="Normal 96 5 2 2 2" xfId="9052" xr:uid="{00000000-0005-0000-0000-000094440000}"/>
    <cellStyle name="Normal 96 5 2 2 2 2" xfId="18093" xr:uid="{00000000-0005-0000-0000-000095440000}"/>
    <cellStyle name="Normal 96 5 2 2 3" xfId="13580" xr:uid="{00000000-0005-0000-0000-000096440000}"/>
    <cellStyle name="Normal 96 5 2 3" xfId="6396" xr:uid="{00000000-0005-0000-0000-000097440000}"/>
    <cellStyle name="Normal 96 5 2 3 2" xfId="15437" xr:uid="{00000000-0005-0000-0000-000098440000}"/>
    <cellStyle name="Normal 96 5 2 4" xfId="10924" xr:uid="{00000000-0005-0000-0000-000099440000}"/>
    <cellStyle name="Normal 96 5 3" xfId="4537" xr:uid="{00000000-0005-0000-0000-00009A440000}"/>
    <cellStyle name="Normal 96 5 3 2" xfId="9051" xr:uid="{00000000-0005-0000-0000-00009B440000}"/>
    <cellStyle name="Normal 96 5 3 2 2" xfId="18092" xr:uid="{00000000-0005-0000-0000-00009C440000}"/>
    <cellStyle name="Normal 96 5 3 3" xfId="13579" xr:uid="{00000000-0005-0000-0000-00009D440000}"/>
    <cellStyle name="Normal 96 5 4" xfId="5268" xr:uid="{00000000-0005-0000-0000-00009E440000}"/>
    <cellStyle name="Normal 96 5 4 2" xfId="14309" xr:uid="{00000000-0005-0000-0000-00009F440000}"/>
    <cellStyle name="Normal 96 5 5" xfId="9796" xr:uid="{00000000-0005-0000-0000-0000A0440000}"/>
    <cellStyle name="Normal 96 6" xfId="1309" xr:uid="{00000000-0005-0000-0000-0000A1440000}"/>
    <cellStyle name="Normal 96 6 2" xfId="4539" xr:uid="{00000000-0005-0000-0000-0000A2440000}"/>
    <cellStyle name="Normal 96 6 2 2" xfId="9053" xr:uid="{00000000-0005-0000-0000-0000A3440000}"/>
    <cellStyle name="Normal 96 6 2 2 2" xfId="18094" xr:uid="{00000000-0005-0000-0000-0000A4440000}"/>
    <cellStyle name="Normal 96 6 2 3" xfId="13581" xr:uid="{00000000-0005-0000-0000-0000A5440000}"/>
    <cellStyle name="Normal 96 6 3" xfId="5832" xr:uid="{00000000-0005-0000-0000-0000A6440000}"/>
    <cellStyle name="Normal 96 6 3 2" xfId="14873" xr:uid="{00000000-0005-0000-0000-0000A7440000}"/>
    <cellStyle name="Normal 96 6 4" xfId="10360" xr:uid="{00000000-0005-0000-0000-0000A8440000}"/>
    <cellStyle name="Normal 96 7" xfId="4516" xr:uid="{00000000-0005-0000-0000-0000A9440000}"/>
    <cellStyle name="Normal 96 7 2" xfId="9030" xr:uid="{00000000-0005-0000-0000-0000AA440000}"/>
    <cellStyle name="Normal 96 7 2 2" xfId="18071" xr:uid="{00000000-0005-0000-0000-0000AB440000}"/>
    <cellStyle name="Normal 96 7 3" xfId="13558" xr:uid="{00000000-0005-0000-0000-0000AC440000}"/>
    <cellStyle name="Normal 96 8" xfId="4704" xr:uid="{00000000-0005-0000-0000-0000AD440000}"/>
    <cellStyle name="Normal 96 8 2" xfId="13745" xr:uid="{00000000-0005-0000-0000-0000AE440000}"/>
    <cellStyle name="Normal 96 9" xfId="9232" xr:uid="{00000000-0005-0000-0000-0000AF440000}"/>
    <cellStyle name="Normal 97" xfId="97" xr:uid="{00000000-0005-0000-0000-0000B0440000}"/>
    <cellStyle name="Normal 97 2" xfId="193" xr:uid="{00000000-0005-0000-0000-0000B1440000}"/>
    <cellStyle name="Normal 97 2 2" xfId="422" xr:uid="{00000000-0005-0000-0000-0000B2440000}"/>
    <cellStyle name="Normal 97 2 2 2" xfId="986" xr:uid="{00000000-0005-0000-0000-0000B3440000}"/>
    <cellStyle name="Normal 97 2 2 2 2" xfId="2156" xr:uid="{00000000-0005-0000-0000-0000B4440000}"/>
    <cellStyle name="Normal 97 2 2 2 2 2" xfId="4544" xr:uid="{00000000-0005-0000-0000-0000B5440000}"/>
    <cellStyle name="Normal 97 2 2 2 2 2 2" xfId="9058" xr:uid="{00000000-0005-0000-0000-0000B6440000}"/>
    <cellStyle name="Normal 97 2 2 2 2 2 2 2" xfId="18099" xr:uid="{00000000-0005-0000-0000-0000B7440000}"/>
    <cellStyle name="Normal 97 2 2 2 2 2 3" xfId="13586" xr:uid="{00000000-0005-0000-0000-0000B8440000}"/>
    <cellStyle name="Normal 97 2 2 2 2 3" xfId="6679" xr:uid="{00000000-0005-0000-0000-0000B9440000}"/>
    <cellStyle name="Normal 97 2 2 2 2 3 2" xfId="15720" xr:uid="{00000000-0005-0000-0000-0000BA440000}"/>
    <cellStyle name="Normal 97 2 2 2 2 4" xfId="11207" xr:uid="{00000000-0005-0000-0000-0000BB440000}"/>
    <cellStyle name="Normal 97 2 2 2 3" xfId="4543" xr:uid="{00000000-0005-0000-0000-0000BC440000}"/>
    <cellStyle name="Normal 97 2 2 2 3 2" xfId="9057" xr:uid="{00000000-0005-0000-0000-0000BD440000}"/>
    <cellStyle name="Normal 97 2 2 2 3 2 2" xfId="18098" xr:uid="{00000000-0005-0000-0000-0000BE440000}"/>
    <cellStyle name="Normal 97 2 2 2 3 3" xfId="13585" xr:uid="{00000000-0005-0000-0000-0000BF440000}"/>
    <cellStyle name="Normal 97 2 2 2 4" xfId="5551" xr:uid="{00000000-0005-0000-0000-0000C0440000}"/>
    <cellStyle name="Normal 97 2 2 2 4 2" xfId="14592" xr:uid="{00000000-0005-0000-0000-0000C1440000}"/>
    <cellStyle name="Normal 97 2 2 2 5" xfId="10079" xr:uid="{00000000-0005-0000-0000-0000C2440000}"/>
    <cellStyle name="Normal 97 2 2 3" xfId="1592" xr:uid="{00000000-0005-0000-0000-0000C3440000}"/>
    <cellStyle name="Normal 97 2 2 3 2" xfId="4545" xr:uid="{00000000-0005-0000-0000-0000C4440000}"/>
    <cellStyle name="Normal 97 2 2 3 2 2" xfId="9059" xr:uid="{00000000-0005-0000-0000-0000C5440000}"/>
    <cellStyle name="Normal 97 2 2 3 2 2 2" xfId="18100" xr:uid="{00000000-0005-0000-0000-0000C6440000}"/>
    <cellStyle name="Normal 97 2 2 3 2 3" xfId="13587" xr:uid="{00000000-0005-0000-0000-0000C7440000}"/>
    <cellStyle name="Normal 97 2 2 3 3" xfId="6115" xr:uid="{00000000-0005-0000-0000-0000C8440000}"/>
    <cellStyle name="Normal 97 2 2 3 3 2" xfId="15156" xr:uid="{00000000-0005-0000-0000-0000C9440000}"/>
    <cellStyle name="Normal 97 2 2 3 4" xfId="10643" xr:uid="{00000000-0005-0000-0000-0000CA440000}"/>
    <cellStyle name="Normal 97 2 2 4" xfId="4542" xr:uid="{00000000-0005-0000-0000-0000CB440000}"/>
    <cellStyle name="Normal 97 2 2 4 2" xfId="9056" xr:uid="{00000000-0005-0000-0000-0000CC440000}"/>
    <cellStyle name="Normal 97 2 2 4 2 2" xfId="18097" xr:uid="{00000000-0005-0000-0000-0000CD440000}"/>
    <cellStyle name="Normal 97 2 2 4 3" xfId="13584" xr:uid="{00000000-0005-0000-0000-0000CE440000}"/>
    <cellStyle name="Normal 97 2 2 5" xfId="4987" xr:uid="{00000000-0005-0000-0000-0000CF440000}"/>
    <cellStyle name="Normal 97 2 2 5 2" xfId="14028" xr:uid="{00000000-0005-0000-0000-0000D0440000}"/>
    <cellStyle name="Normal 97 2 2 6" xfId="9515" xr:uid="{00000000-0005-0000-0000-0000D1440000}"/>
    <cellStyle name="Normal 97 2 3" xfId="610" xr:uid="{00000000-0005-0000-0000-0000D2440000}"/>
    <cellStyle name="Normal 97 2 3 2" xfId="1174" xr:uid="{00000000-0005-0000-0000-0000D3440000}"/>
    <cellStyle name="Normal 97 2 3 2 2" xfId="2344" xr:uid="{00000000-0005-0000-0000-0000D4440000}"/>
    <cellStyle name="Normal 97 2 3 2 2 2" xfId="4548" xr:uid="{00000000-0005-0000-0000-0000D5440000}"/>
    <cellStyle name="Normal 97 2 3 2 2 2 2" xfId="9062" xr:uid="{00000000-0005-0000-0000-0000D6440000}"/>
    <cellStyle name="Normal 97 2 3 2 2 2 2 2" xfId="18103" xr:uid="{00000000-0005-0000-0000-0000D7440000}"/>
    <cellStyle name="Normal 97 2 3 2 2 2 3" xfId="13590" xr:uid="{00000000-0005-0000-0000-0000D8440000}"/>
    <cellStyle name="Normal 97 2 3 2 2 3" xfId="6867" xr:uid="{00000000-0005-0000-0000-0000D9440000}"/>
    <cellStyle name="Normal 97 2 3 2 2 3 2" xfId="15908" xr:uid="{00000000-0005-0000-0000-0000DA440000}"/>
    <cellStyle name="Normal 97 2 3 2 2 4" xfId="11395" xr:uid="{00000000-0005-0000-0000-0000DB440000}"/>
    <cellStyle name="Normal 97 2 3 2 3" xfId="4547" xr:uid="{00000000-0005-0000-0000-0000DC440000}"/>
    <cellStyle name="Normal 97 2 3 2 3 2" xfId="9061" xr:uid="{00000000-0005-0000-0000-0000DD440000}"/>
    <cellStyle name="Normal 97 2 3 2 3 2 2" xfId="18102" xr:uid="{00000000-0005-0000-0000-0000DE440000}"/>
    <cellStyle name="Normal 97 2 3 2 3 3" xfId="13589" xr:uid="{00000000-0005-0000-0000-0000DF440000}"/>
    <cellStyle name="Normal 97 2 3 2 4" xfId="5739" xr:uid="{00000000-0005-0000-0000-0000E0440000}"/>
    <cellStyle name="Normal 97 2 3 2 4 2" xfId="14780" xr:uid="{00000000-0005-0000-0000-0000E1440000}"/>
    <cellStyle name="Normal 97 2 3 2 5" xfId="10267" xr:uid="{00000000-0005-0000-0000-0000E2440000}"/>
    <cellStyle name="Normal 97 2 3 3" xfId="1780" xr:uid="{00000000-0005-0000-0000-0000E3440000}"/>
    <cellStyle name="Normal 97 2 3 3 2" xfId="4549" xr:uid="{00000000-0005-0000-0000-0000E4440000}"/>
    <cellStyle name="Normal 97 2 3 3 2 2" xfId="9063" xr:uid="{00000000-0005-0000-0000-0000E5440000}"/>
    <cellStyle name="Normal 97 2 3 3 2 2 2" xfId="18104" xr:uid="{00000000-0005-0000-0000-0000E6440000}"/>
    <cellStyle name="Normal 97 2 3 3 2 3" xfId="13591" xr:uid="{00000000-0005-0000-0000-0000E7440000}"/>
    <cellStyle name="Normal 97 2 3 3 3" xfId="6303" xr:uid="{00000000-0005-0000-0000-0000E8440000}"/>
    <cellStyle name="Normal 97 2 3 3 3 2" xfId="15344" xr:uid="{00000000-0005-0000-0000-0000E9440000}"/>
    <cellStyle name="Normal 97 2 3 3 4" xfId="10831" xr:uid="{00000000-0005-0000-0000-0000EA440000}"/>
    <cellStyle name="Normal 97 2 3 4" xfId="4546" xr:uid="{00000000-0005-0000-0000-0000EB440000}"/>
    <cellStyle name="Normal 97 2 3 4 2" xfId="9060" xr:uid="{00000000-0005-0000-0000-0000EC440000}"/>
    <cellStyle name="Normal 97 2 3 4 2 2" xfId="18101" xr:uid="{00000000-0005-0000-0000-0000ED440000}"/>
    <cellStyle name="Normal 97 2 3 4 3" xfId="13588" xr:uid="{00000000-0005-0000-0000-0000EE440000}"/>
    <cellStyle name="Normal 97 2 3 5" xfId="5175" xr:uid="{00000000-0005-0000-0000-0000EF440000}"/>
    <cellStyle name="Normal 97 2 3 5 2" xfId="14216" xr:uid="{00000000-0005-0000-0000-0000F0440000}"/>
    <cellStyle name="Normal 97 2 3 6" xfId="9703" xr:uid="{00000000-0005-0000-0000-0000F1440000}"/>
    <cellStyle name="Normal 97 2 4" xfId="798" xr:uid="{00000000-0005-0000-0000-0000F2440000}"/>
    <cellStyle name="Normal 97 2 4 2" xfId="1968" xr:uid="{00000000-0005-0000-0000-0000F3440000}"/>
    <cellStyle name="Normal 97 2 4 2 2" xfId="4551" xr:uid="{00000000-0005-0000-0000-0000F4440000}"/>
    <cellStyle name="Normal 97 2 4 2 2 2" xfId="9065" xr:uid="{00000000-0005-0000-0000-0000F5440000}"/>
    <cellStyle name="Normal 97 2 4 2 2 2 2" xfId="18106" xr:uid="{00000000-0005-0000-0000-0000F6440000}"/>
    <cellStyle name="Normal 97 2 4 2 2 3" xfId="13593" xr:uid="{00000000-0005-0000-0000-0000F7440000}"/>
    <cellStyle name="Normal 97 2 4 2 3" xfId="6491" xr:uid="{00000000-0005-0000-0000-0000F8440000}"/>
    <cellStyle name="Normal 97 2 4 2 3 2" xfId="15532" xr:uid="{00000000-0005-0000-0000-0000F9440000}"/>
    <cellStyle name="Normal 97 2 4 2 4" xfId="11019" xr:uid="{00000000-0005-0000-0000-0000FA440000}"/>
    <cellStyle name="Normal 97 2 4 3" xfId="4550" xr:uid="{00000000-0005-0000-0000-0000FB440000}"/>
    <cellStyle name="Normal 97 2 4 3 2" xfId="9064" xr:uid="{00000000-0005-0000-0000-0000FC440000}"/>
    <cellStyle name="Normal 97 2 4 3 2 2" xfId="18105" xr:uid="{00000000-0005-0000-0000-0000FD440000}"/>
    <cellStyle name="Normal 97 2 4 3 3" xfId="13592" xr:uid="{00000000-0005-0000-0000-0000FE440000}"/>
    <cellStyle name="Normal 97 2 4 4" xfId="5363" xr:uid="{00000000-0005-0000-0000-0000FF440000}"/>
    <cellStyle name="Normal 97 2 4 4 2" xfId="14404" xr:uid="{00000000-0005-0000-0000-000000450000}"/>
    <cellStyle name="Normal 97 2 4 5" xfId="9891" xr:uid="{00000000-0005-0000-0000-000001450000}"/>
    <cellStyle name="Normal 97 2 5" xfId="1404" xr:uid="{00000000-0005-0000-0000-000002450000}"/>
    <cellStyle name="Normal 97 2 5 2" xfId="4552" xr:uid="{00000000-0005-0000-0000-000003450000}"/>
    <cellStyle name="Normal 97 2 5 2 2" xfId="9066" xr:uid="{00000000-0005-0000-0000-000004450000}"/>
    <cellStyle name="Normal 97 2 5 2 2 2" xfId="18107" xr:uid="{00000000-0005-0000-0000-000005450000}"/>
    <cellStyle name="Normal 97 2 5 2 3" xfId="13594" xr:uid="{00000000-0005-0000-0000-000006450000}"/>
    <cellStyle name="Normal 97 2 5 3" xfId="5927" xr:uid="{00000000-0005-0000-0000-000007450000}"/>
    <cellStyle name="Normal 97 2 5 3 2" xfId="14968" xr:uid="{00000000-0005-0000-0000-000008450000}"/>
    <cellStyle name="Normal 97 2 5 4" xfId="10455" xr:uid="{00000000-0005-0000-0000-000009450000}"/>
    <cellStyle name="Normal 97 2 6" xfId="4541" xr:uid="{00000000-0005-0000-0000-00000A450000}"/>
    <cellStyle name="Normal 97 2 6 2" xfId="9055" xr:uid="{00000000-0005-0000-0000-00000B450000}"/>
    <cellStyle name="Normal 97 2 6 2 2" xfId="18096" xr:uid="{00000000-0005-0000-0000-00000C450000}"/>
    <cellStyle name="Normal 97 2 6 3" xfId="13583" xr:uid="{00000000-0005-0000-0000-00000D450000}"/>
    <cellStyle name="Normal 97 2 7" xfId="4799" xr:uid="{00000000-0005-0000-0000-00000E450000}"/>
    <cellStyle name="Normal 97 2 7 2" xfId="13840" xr:uid="{00000000-0005-0000-0000-00000F450000}"/>
    <cellStyle name="Normal 97 2 8" xfId="9327" xr:uid="{00000000-0005-0000-0000-000010450000}"/>
    <cellStyle name="Normal 97 3" xfId="328" xr:uid="{00000000-0005-0000-0000-000011450000}"/>
    <cellStyle name="Normal 97 3 2" xfId="892" xr:uid="{00000000-0005-0000-0000-000012450000}"/>
    <cellStyle name="Normal 97 3 2 2" xfId="2062" xr:uid="{00000000-0005-0000-0000-000013450000}"/>
    <cellStyle name="Normal 97 3 2 2 2" xfId="4555" xr:uid="{00000000-0005-0000-0000-000014450000}"/>
    <cellStyle name="Normal 97 3 2 2 2 2" xfId="9069" xr:uid="{00000000-0005-0000-0000-000015450000}"/>
    <cellStyle name="Normal 97 3 2 2 2 2 2" xfId="18110" xr:uid="{00000000-0005-0000-0000-000016450000}"/>
    <cellStyle name="Normal 97 3 2 2 2 3" xfId="13597" xr:uid="{00000000-0005-0000-0000-000017450000}"/>
    <cellStyle name="Normal 97 3 2 2 3" xfId="6585" xr:uid="{00000000-0005-0000-0000-000018450000}"/>
    <cellStyle name="Normal 97 3 2 2 3 2" xfId="15626" xr:uid="{00000000-0005-0000-0000-000019450000}"/>
    <cellStyle name="Normal 97 3 2 2 4" xfId="11113" xr:uid="{00000000-0005-0000-0000-00001A450000}"/>
    <cellStyle name="Normal 97 3 2 3" xfId="4554" xr:uid="{00000000-0005-0000-0000-00001B450000}"/>
    <cellStyle name="Normal 97 3 2 3 2" xfId="9068" xr:uid="{00000000-0005-0000-0000-00001C450000}"/>
    <cellStyle name="Normal 97 3 2 3 2 2" xfId="18109" xr:uid="{00000000-0005-0000-0000-00001D450000}"/>
    <cellStyle name="Normal 97 3 2 3 3" xfId="13596" xr:uid="{00000000-0005-0000-0000-00001E450000}"/>
    <cellStyle name="Normal 97 3 2 4" xfId="5457" xr:uid="{00000000-0005-0000-0000-00001F450000}"/>
    <cellStyle name="Normal 97 3 2 4 2" xfId="14498" xr:uid="{00000000-0005-0000-0000-000020450000}"/>
    <cellStyle name="Normal 97 3 2 5" xfId="9985" xr:uid="{00000000-0005-0000-0000-000021450000}"/>
    <cellStyle name="Normal 97 3 3" xfId="1498" xr:uid="{00000000-0005-0000-0000-000022450000}"/>
    <cellStyle name="Normal 97 3 3 2" xfId="4556" xr:uid="{00000000-0005-0000-0000-000023450000}"/>
    <cellStyle name="Normal 97 3 3 2 2" xfId="9070" xr:uid="{00000000-0005-0000-0000-000024450000}"/>
    <cellStyle name="Normal 97 3 3 2 2 2" xfId="18111" xr:uid="{00000000-0005-0000-0000-000025450000}"/>
    <cellStyle name="Normal 97 3 3 2 3" xfId="13598" xr:uid="{00000000-0005-0000-0000-000026450000}"/>
    <cellStyle name="Normal 97 3 3 3" xfId="6021" xr:uid="{00000000-0005-0000-0000-000027450000}"/>
    <cellStyle name="Normal 97 3 3 3 2" xfId="15062" xr:uid="{00000000-0005-0000-0000-000028450000}"/>
    <cellStyle name="Normal 97 3 3 4" xfId="10549" xr:uid="{00000000-0005-0000-0000-000029450000}"/>
    <cellStyle name="Normal 97 3 4" xfId="4553" xr:uid="{00000000-0005-0000-0000-00002A450000}"/>
    <cellStyle name="Normal 97 3 4 2" xfId="9067" xr:uid="{00000000-0005-0000-0000-00002B450000}"/>
    <cellStyle name="Normal 97 3 4 2 2" xfId="18108" xr:uid="{00000000-0005-0000-0000-00002C450000}"/>
    <cellStyle name="Normal 97 3 4 3" xfId="13595" xr:uid="{00000000-0005-0000-0000-00002D450000}"/>
    <cellStyle name="Normal 97 3 5" xfId="4893" xr:uid="{00000000-0005-0000-0000-00002E450000}"/>
    <cellStyle name="Normal 97 3 5 2" xfId="13934" xr:uid="{00000000-0005-0000-0000-00002F450000}"/>
    <cellStyle name="Normal 97 3 6" xfId="9421" xr:uid="{00000000-0005-0000-0000-000030450000}"/>
    <cellStyle name="Normal 97 4" xfId="516" xr:uid="{00000000-0005-0000-0000-000031450000}"/>
    <cellStyle name="Normal 97 4 2" xfId="1080" xr:uid="{00000000-0005-0000-0000-000032450000}"/>
    <cellStyle name="Normal 97 4 2 2" xfId="2250" xr:uid="{00000000-0005-0000-0000-000033450000}"/>
    <cellStyle name="Normal 97 4 2 2 2" xfId="4559" xr:uid="{00000000-0005-0000-0000-000034450000}"/>
    <cellStyle name="Normal 97 4 2 2 2 2" xfId="9073" xr:uid="{00000000-0005-0000-0000-000035450000}"/>
    <cellStyle name="Normal 97 4 2 2 2 2 2" xfId="18114" xr:uid="{00000000-0005-0000-0000-000036450000}"/>
    <cellStyle name="Normal 97 4 2 2 2 3" xfId="13601" xr:uid="{00000000-0005-0000-0000-000037450000}"/>
    <cellStyle name="Normal 97 4 2 2 3" xfId="6773" xr:uid="{00000000-0005-0000-0000-000038450000}"/>
    <cellStyle name="Normal 97 4 2 2 3 2" xfId="15814" xr:uid="{00000000-0005-0000-0000-000039450000}"/>
    <cellStyle name="Normal 97 4 2 2 4" xfId="11301" xr:uid="{00000000-0005-0000-0000-00003A450000}"/>
    <cellStyle name="Normal 97 4 2 3" xfId="4558" xr:uid="{00000000-0005-0000-0000-00003B450000}"/>
    <cellStyle name="Normal 97 4 2 3 2" xfId="9072" xr:uid="{00000000-0005-0000-0000-00003C450000}"/>
    <cellStyle name="Normal 97 4 2 3 2 2" xfId="18113" xr:uid="{00000000-0005-0000-0000-00003D450000}"/>
    <cellStyle name="Normal 97 4 2 3 3" xfId="13600" xr:uid="{00000000-0005-0000-0000-00003E450000}"/>
    <cellStyle name="Normal 97 4 2 4" xfId="5645" xr:uid="{00000000-0005-0000-0000-00003F450000}"/>
    <cellStyle name="Normal 97 4 2 4 2" xfId="14686" xr:uid="{00000000-0005-0000-0000-000040450000}"/>
    <cellStyle name="Normal 97 4 2 5" xfId="10173" xr:uid="{00000000-0005-0000-0000-000041450000}"/>
    <cellStyle name="Normal 97 4 3" xfId="1686" xr:uid="{00000000-0005-0000-0000-000042450000}"/>
    <cellStyle name="Normal 97 4 3 2" xfId="4560" xr:uid="{00000000-0005-0000-0000-000043450000}"/>
    <cellStyle name="Normal 97 4 3 2 2" xfId="9074" xr:uid="{00000000-0005-0000-0000-000044450000}"/>
    <cellStyle name="Normal 97 4 3 2 2 2" xfId="18115" xr:uid="{00000000-0005-0000-0000-000045450000}"/>
    <cellStyle name="Normal 97 4 3 2 3" xfId="13602" xr:uid="{00000000-0005-0000-0000-000046450000}"/>
    <cellStyle name="Normal 97 4 3 3" xfId="6209" xr:uid="{00000000-0005-0000-0000-000047450000}"/>
    <cellStyle name="Normal 97 4 3 3 2" xfId="15250" xr:uid="{00000000-0005-0000-0000-000048450000}"/>
    <cellStyle name="Normal 97 4 3 4" xfId="10737" xr:uid="{00000000-0005-0000-0000-000049450000}"/>
    <cellStyle name="Normal 97 4 4" xfId="4557" xr:uid="{00000000-0005-0000-0000-00004A450000}"/>
    <cellStyle name="Normal 97 4 4 2" xfId="9071" xr:uid="{00000000-0005-0000-0000-00004B450000}"/>
    <cellStyle name="Normal 97 4 4 2 2" xfId="18112" xr:uid="{00000000-0005-0000-0000-00004C450000}"/>
    <cellStyle name="Normal 97 4 4 3" xfId="13599" xr:uid="{00000000-0005-0000-0000-00004D450000}"/>
    <cellStyle name="Normal 97 4 5" xfId="5081" xr:uid="{00000000-0005-0000-0000-00004E450000}"/>
    <cellStyle name="Normal 97 4 5 2" xfId="14122" xr:uid="{00000000-0005-0000-0000-00004F450000}"/>
    <cellStyle name="Normal 97 4 6" xfId="9609" xr:uid="{00000000-0005-0000-0000-000050450000}"/>
    <cellStyle name="Normal 97 5" xfId="704" xr:uid="{00000000-0005-0000-0000-000051450000}"/>
    <cellStyle name="Normal 97 5 2" xfId="1874" xr:uid="{00000000-0005-0000-0000-000052450000}"/>
    <cellStyle name="Normal 97 5 2 2" xfId="4562" xr:uid="{00000000-0005-0000-0000-000053450000}"/>
    <cellStyle name="Normal 97 5 2 2 2" xfId="9076" xr:uid="{00000000-0005-0000-0000-000054450000}"/>
    <cellStyle name="Normal 97 5 2 2 2 2" xfId="18117" xr:uid="{00000000-0005-0000-0000-000055450000}"/>
    <cellStyle name="Normal 97 5 2 2 3" xfId="13604" xr:uid="{00000000-0005-0000-0000-000056450000}"/>
    <cellStyle name="Normal 97 5 2 3" xfId="6397" xr:uid="{00000000-0005-0000-0000-000057450000}"/>
    <cellStyle name="Normal 97 5 2 3 2" xfId="15438" xr:uid="{00000000-0005-0000-0000-000058450000}"/>
    <cellStyle name="Normal 97 5 2 4" xfId="10925" xr:uid="{00000000-0005-0000-0000-000059450000}"/>
    <cellStyle name="Normal 97 5 3" xfId="4561" xr:uid="{00000000-0005-0000-0000-00005A450000}"/>
    <cellStyle name="Normal 97 5 3 2" xfId="9075" xr:uid="{00000000-0005-0000-0000-00005B450000}"/>
    <cellStyle name="Normal 97 5 3 2 2" xfId="18116" xr:uid="{00000000-0005-0000-0000-00005C450000}"/>
    <cellStyle name="Normal 97 5 3 3" xfId="13603" xr:uid="{00000000-0005-0000-0000-00005D450000}"/>
    <cellStyle name="Normal 97 5 4" xfId="5269" xr:uid="{00000000-0005-0000-0000-00005E450000}"/>
    <cellStyle name="Normal 97 5 4 2" xfId="14310" xr:uid="{00000000-0005-0000-0000-00005F450000}"/>
    <cellStyle name="Normal 97 5 5" xfId="9797" xr:uid="{00000000-0005-0000-0000-000060450000}"/>
    <cellStyle name="Normal 97 6" xfId="1310" xr:uid="{00000000-0005-0000-0000-000061450000}"/>
    <cellStyle name="Normal 97 6 2" xfId="4563" xr:uid="{00000000-0005-0000-0000-000062450000}"/>
    <cellStyle name="Normal 97 6 2 2" xfId="9077" xr:uid="{00000000-0005-0000-0000-000063450000}"/>
    <cellStyle name="Normal 97 6 2 2 2" xfId="18118" xr:uid="{00000000-0005-0000-0000-000064450000}"/>
    <cellStyle name="Normal 97 6 2 3" xfId="13605" xr:uid="{00000000-0005-0000-0000-000065450000}"/>
    <cellStyle name="Normal 97 6 3" xfId="5833" xr:uid="{00000000-0005-0000-0000-000066450000}"/>
    <cellStyle name="Normal 97 6 3 2" xfId="14874" xr:uid="{00000000-0005-0000-0000-000067450000}"/>
    <cellStyle name="Normal 97 6 4" xfId="10361" xr:uid="{00000000-0005-0000-0000-000068450000}"/>
    <cellStyle name="Normal 97 7" xfId="4540" xr:uid="{00000000-0005-0000-0000-000069450000}"/>
    <cellStyle name="Normal 97 7 2" xfId="9054" xr:uid="{00000000-0005-0000-0000-00006A450000}"/>
    <cellStyle name="Normal 97 7 2 2" xfId="18095" xr:uid="{00000000-0005-0000-0000-00006B450000}"/>
    <cellStyle name="Normal 97 7 3" xfId="13582" xr:uid="{00000000-0005-0000-0000-00006C450000}"/>
    <cellStyle name="Normal 97 8" xfId="4705" xr:uid="{00000000-0005-0000-0000-00006D450000}"/>
    <cellStyle name="Normal 97 8 2" xfId="13746" xr:uid="{00000000-0005-0000-0000-00006E450000}"/>
    <cellStyle name="Normal 97 9" xfId="9233" xr:uid="{00000000-0005-0000-0000-00006F450000}"/>
    <cellStyle name="Normal 98" xfId="98" xr:uid="{00000000-0005-0000-0000-000070450000}"/>
    <cellStyle name="Normal 98 2" xfId="194" xr:uid="{00000000-0005-0000-0000-000071450000}"/>
    <cellStyle name="Normal 98 2 2" xfId="423" xr:uid="{00000000-0005-0000-0000-000072450000}"/>
    <cellStyle name="Normal 98 2 2 2" xfId="987" xr:uid="{00000000-0005-0000-0000-000073450000}"/>
    <cellStyle name="Normal 98 2 2 2 2" xfId="2157" xr:uid="{00000000-0005-0000-0000-000074450000}"/>
    <cellStyle name="Normal 98 2 2 2 2 2" xfId="4568" xr:uid="{00000000-0005-0000-0000-000075450000}"/>
    <cellStyle name="Normal 98 2 2 2 2 2 2" xfId="9082" xr:uid="{00000000-0005-0000-0000-000076450000}"/>
    <cellStyle name="Normal 98 2 2 2 2 2 2 2" xfId="18123" xr:uid="{00000000-0005-0000-0000-000077450000}"/>
    <cellStyle name="Normal 98 2 2 2 2 2 3" xfId="13610" xr:uid="{00000000-0005-0000-0000-000078450000}"/>
    <cellStyle name="Normal 98 2 2 2 2 3" xfId="6680" xr:uid="{00000000-0005-0000-0000-000079450000}"/>
    <cellStyle name="Normal 98 2 2 2 2 3 2" xfId="15721" xr:uid="{00000000-0005-0000-0000-00007A450000}"/>
    <cellStyle name="Normal 98 2 2 2 2 4" xfId="11208" xr:uid="{00000000-0005-0000-0000-00007B450000}"/>
    <cellStyle name="Normal 98 2 2 2 3" xfId="4567" xr:uid="{00000000-0005-0000-0000-00007C450000}"/>
    <cellStyle name="Normal 98 2 2 2 3 2" xfId="9081" xr:uid="{00000000-0005-0000-0000-00007D450000}"/>
    <cellStyle name="Normal 98 2 2 2 3 2 2" xfId="18122" xr:uid="{00000000-0005-0000-0000-00007E450000}"/>
    <cellStyle name="Normal 98 2 2 2 3 3" xfId="13609" xr:uid="{00000000-0005-0000-0000-00007F450000}"/>
    <cellStyle name="Normal 98 2 2 2 4" xfId="5552" xr:uid="{00000000-0005-0000-0000-000080450000}"/>
    <cellStyle name="Normal 98 2 2 2 4 2" xfId="14593" xr:uid="{00000000-0005-0000-0000-000081450000}"/>
    <cellStyle name="Normal 98 2 2 2 5" xfId="10080" xr:uid="{00000000-0005-0000-0000-000082450000}"/>
    <cellStyle name="Normal 98 2 2 3" xfId="1593" xr:uid="{00000000-0005-0000-0000-000083450000}"/>
    <cellStyle name="Normal 98 2 2 3 2" xfId="4569" xr:uid="{00000000-0005-0000-0000-000084450000}"/>
    <cellStyle name="Normal 98 2 2 3 2 2" xfId="9083" xr:uid="{00000000-0005-0000-0000-000085450000}"/>
    <cellStyle name="Normal 98 2 2 3 2 2 2" xfId="18124" xr:uid="{00000000-0005-0000-0000-000086450000}"/>
    <cellStyle name="Normal 98 2 2 3 2 3" xfId="13611" xr:uid="{00000000-0005-0000-0000-000087450000}"/>
    <cellStyle name="Normal 98 2 2 3 3" xfId="6116" xr:uid="{00000000-0005-0000-0000-000088450000}"/>
    <cellStyle name="Normal 98 2 2 3 3 2" xfId="15157" xr:uid="{00000000-0005-0000-0000-000089450000}"/>
    <cellStyle name="Normal 98 2 2 3 4" xfId="10644" xr:uid="{00000000-0005-0000-0000-00008A450000}"/>
    <cellStyle name="Normal 98 2 2 4" xfId="4566" xr:uid="{00000000-0005-0000-0000-00008B450000}"/>
    <cellStyle name="Normal 98 2 2 4 2" xfId="9080" xr:uid="{00000000-0005-0000-0000-00008C450000}"/>
    <cellStyle name="Normal 98 2 2 4 2 2" xfId="18121" xr:uid="{00000000-0005-0000-0000-00008D450000}"/>
    <cellStyle name="Normal 98 2 2 4 3" xfId="13608" xr:uid="{00000000-0005-0000-0000-00008E450000}"/>
    <cellStyle name="Normal 98 2 2 5" xfId="4988" xr:uid="{00000000-0005-0000-0000-00008F450000}"/>
    <cellStyle name="Normal 98 2 2 5 2" xfId="14029" xr:uid="{00000000-0005-0000-0000-000090450000}"/>
    <cellStyle name="Normal 98 2 2 6" xfId="9516" xr:uid="{00000000-0005-0000-0000-000091450000}"/>
    <cellStyle name="Normal 98 2 3" xfId="611" xr:uid="{00000000-0005-0000-0000-000092450000}"/>
    <cellStyle name="Normal 98 2 3 2" xfId="1175" xr:uid="{00000000-0005-0000-0000-000093450000}"/>
    <cellStyle name="Normal 98 2 3 2 2" xfId="2345" xr:uid="{00000000-0005-0000-0000-000094450000}"/>
    <cellStyle name="Normal 98 2 3 2 2 2" xfId="4572" xr:uid="{00000000-0005-0000-0000-000095450000}"/>
    <cellStyle name="Normal 98 2 3 2 2 2 2" xfId="9086" xr:uid="{00000000-0005-0000-0000-000096450000}"/>
    <cellStyle name="Normal 98 2 3 2 2 2 2 2" xfId="18127" xr:uid="{00000000-0005-0000-0000-000097450000}"/>
    <cellStyle name="Normal 98 2 3 2 2 2 3" xfId="13614" xr:uid="{00000000-0005-0000-0000-000098450000}"/>
    <cellStyle name="Normal 98 2 3 2 2 3" xfId="6868" xr:uid="{00000000-0005-0000-0000-000099450000}"/>
    <cellStyle name="Normal 98 2 3 2 2 3 2" xfId="15909" xr:uid="{00000000-0005-0000-0000-00009A450000}"/>
    <cellStyle name="Normal 98 2 3 2 2 4" xfId="11396" xr:uid="{00000000-0005-0000-0000-00009B450000}"/>
    <cellStyle name="Normal 98 2 3 2 3" xfId="4571" xr:uid="{00000000-0005-0000-0000-00009C450000}"/>
    <cellStyle name="Normal 98 2 3 2 3 2" xfId="9085" xr:uid="{00000000-0005-0000-0000-00009D450000}"/>
    <cellStyle name="Normal 98 2 3 2 3 2 2" xfId="18126" xr:uid="{00000000-0005-0000-0000-00009E450000}"/>
    <cellStyle name="Normal 98 2 3 2 3 3" xfId="13613" xr:uid="{00000000-0005-0000-0000-00009F450000}"/>
    <cellStyle name="Normal 98 2 3 2 4" xfId="5740" xr:uid="{00000000-0005-0000-0000-0000A0450000}"/>
    <cellStyle name="Normal 98 2 3 2 4 2" xfId="14781" xr:uid="{00000000-0005-0000-0000-0000A1450000}"/>
    <cellStyle name="Normal 98 2 3 2 5" xfId="10268" xr:uid="{00000000-0005-0000-0000-0000A2450000}"/>
    <cellStyle name="Normal 98 2 3 3" xfId="1781" xr:uid="{00000000-0005-0000-0000-0000A3450000}"/>
    <cellStyle name="Normal 98 2 3 3 2" xfId="4573" xr:uid="{00000000-0005-0000-0000-0000A4450000}"/>
    <cellStyle name="Normal 98 2 3 3 2 2" xfId="9087" xr:uid="{00000000-0005-0000-0000-0000A5450000}"/>
    <cellStyle name="Normal 98 2 3 3 2 2 2" xfId="18128" xr:uid="{00000000-0005-0000-0000-0000A6450000}"/>
    <cellStyle name="Normal 98 2 3 3 2 3" xfId="13615" xr:uid="{00000000-0005-0000-0000-0000A7450000}"/>
    <cellStyle name="Normal 98 2 3 3 3" xfId="6304" xr:uid="{00000000-0005-0000-0000-0000A8450000}"/>
    <cellStyle name="Normal 98 2 3 3 3 2" xfId="15345" xr:uid="{00000000-0005-0000-0000-0000A9450000}"/>
    <cellStyle name="Normal 98 2 3 3 4" xfId="10832" xr:uid="{00000000-0005-0000-0000-0000AA450000}"/>
    <cellStyle name="Normal 98 2 3 4" xfId="4570" xr:uid="{00000000-0005-0000-0000-0000AB450000}"/>
    <cellStyle name="Normal 98 2 3 4 2" xfId="9084" xr:uid="{00000000-0005-0000-0000-0000AC450000}"/>
    <cellStyle name="Normal 98 2 3 4 2 2" xfId="18125" xr:uid="{00000000-0005-0000-0000-0000AD450000}"/>
    <cellStyle name="Normal 98 2 3 4 3" xfId="13612" xr:uid="{00000000-0005-0000-0000-0000AE450000}"/>
    <cellStyle name="Normal 98 2 3 5" xfId="5176" xr:uid="{00000000-0005-0000-0000-0000AF450000}"/>
    <cellStyle name="Normal 98 2 3 5 2" xfId="14217" xr:uid="{00000000-0005-0000-0000-0000B0450000}"/>
    <cellStyle name="Normal 98 2 3 6" xfId="9704" xr:uid="{00000000-0005-0000-0000-0000B1450000}"/>
    <cellStyle name="Normal 98 2 4" xfId="799" xr:uid="{00000000-0005-0000-0000-0000B2450000}"/>
    <cellStyle name="Normal 98 2 4 2" xfId="1969" xr:uid="{00000000-0005-0000-0000-0000B3450000}"/>
    <cellStyle name="Normal 98 2 4 2 2" xfId="4575" xr:uid="{00000000-0005-0000-0000-0000B4450000}"/>
    <cellStyle name="Normal 98 2 4 2 2 2" xfId="9089" xr:uid="{00000000-0005-0000-0000-0000B5450000}"/>
    <cellStyle name="Normal 98 2 4 2 2 2 2" xfId="18130" xr:uid="{00000000-0005-0000-0000-0000B6450000}"/>
    <cellStyle name="Normal 98 2 4 2 2 3" xfId="13617" xr:uid="{00000000-0005-0000-0000-0000B7450000}"/>
    <cellStyle name="Normal 98 2 4 2 3" xfId="6492" xr:uid="{00000000-0005-0000-0000-0000B8450000}"/>
    <cellStyle name="Normal 98 2 4 2 3 2" xfId="15533" xr:uid="{00000000-0005-0000-0000-0000B9450000}"/>
    <cellStyle name="Normal 98 2 4 2 4" xfId="11020" xr:uid="{00000000-0005-0000-0000-0000BA450000}"/>
    <cellStyle name="Normal 98 2 4 3" xfId="4574" xr:uid="{00000000-0005-0000-0000-0000BB450000}"/>
    <cellStyle name="Normal 98 2 4 3 2" xfId="9088" xr:uid="{00000000-0005-0000-0000-0000BC450000}"/>
    <cellStyle name="Normal 98 2 4 3 2 2" xfId="18129" xr:uid="{00000000-0005-0000-0000-0000BD450000}"/>
    <cellStyle name="Normal 98 2 4 3 3" xfId="13616" xr:uid="{00000000-0005-0000-0000-0000BE450000}"/>
    <cellStyle name="Normal 98 2 4 4" xfId="5364" xr:uid="{00000000-0005-0000-0000-0000BF450000}"/>
    <cellStyle name="Normal 98 2 4 4 2" xfId="14405" xr:uid="{00000000-0005-0000-0000-0000C0450000}"/>
    <cellStyle name="Normal 98 2 4 5" xfId="9892" xr:uid="{00000000-0005-0000-0000-0000C1450000}"/>
    <cellStyle name="Normal 98 2 5" xfId="1405" xr:uid="{00000000-0005-0000-0000-0000C2450000}"/>
    <cellStyle name="Normal 98 2 5 2" xfId="4576" xr:uid="{00000000-0005-0000-0000-0000C3450000}"/>
    <cellStyle name="Normal 98 2 5 2 2" xfId="9090" xr:uid="{00000000-0005-0000-0000-0000C4450000}"/>
    <cellStyle name="Normal 98 2 5 2 2 2" xfId="18131" xr:uid="{00000000-0005-0000-0000-0000C5450000}"/>
    <cellStyle name="Normal 98 2 5 2 3" xfId="13618" xr:uid="{00000000-0005-0000-0000-0000C6450000}"/>
    <cellStyle name="Normal 98 2 5 3" xfId="5928" xr:uid="{00000000-0005-0000-0000-0000C7450000}"/>
    <cellStyle name="Normal 98 2 5 3 2" xfId="14969" xr:uid="{00000000-0005-0000-0000-0000C8450000}"/>
    <cellStyle name="Normal 98 2 5 4" xfId="10456" xr:uid="{00000000-0005-0000-0000-0000C9450000}"/>
    <cellStyle name="Normal 98 2 6" xfId="4565" xr:uid="{00000000-0005-0000-0000-0000CA450000}"/>
    <cellStyle name="Normal 98 2 6 2" xfId="9079" xr:uid="{00000000-0005-0000-0000-0000CB450000}"/>
    <cellStyle name="Normal 98 2 6 2 2" xfId="18120" xr:uid="{00000000-0005-0000-0000-0000CC450000}"/>
    <cellStyle name="Normal 98 2 6 3" xfId="13607" xr:uid="{00000000-0005-0000-0000-0000CD450000}"/>
    <cellStyle name="Normal 98 2 7" xfId="4800" xr:uid="{00000000-0005-0000-0000-0000CE450000}"/>
    <cellStyle name="Normal 98 2 7 2" xfId="13841" xr:uid="{00000000-0005-0000-0000-0000CF450000}"/>
    <cellStyle name="Normal 98 2 8" xfId="9328" xr:uid="{00000000-0005-0000-0000-0000D0450000}"/>
    <cellStyle name="Normal 98 3" xfId="329" xr:uid="{00000000-0005-0000-0000-0000D1450000}"/>
    <cellStyle name="Normal 98 3 2" xfId="893" xr:uid="{00000000-0005-0000-0000-0000D2450000}"/>
    <cellStyle name="Normal 98 3 2 2" xfId="2063" xr:uid="{00000000-0005-0000-0000-0000D3450000}"/>
    <cellStyle name="Normal 98 3 2 2 2" xfId="4579" xr:uid="{00000000-0005-0000-0000-0000D4450000}"/>
    <cellStyle name="Normal 98 3 2 2 2 2" xfId="9093" xr:uid="{00000000-0005-0000-0000-0000D5450000}"/>
    <cellStyle name="Normal 98 3 2 2 2 2 2" xfId="18134" xr:uid="{00000000-0005-0000-0000-0000D6450000}"/>
    <cellStyle name="Normal 98 3 2 2 2 3" xfId="13621" xr:uid="{00000000-0005-0000-0000-0000D7450000}"/>
    <cellStyle name="Normal 98 3 2 2 3" xfId="6586" xr:uid="{00000000-0005-0000-0000-0000D8450000}"/>
    <cellStyle name="Normal 98 3 2 2 3 2" xfId="15627" xr:uid="{00000000-0005-0000-0000-0000D9450000}"/>
    <cellStyle name="Normal 98 3 2 2 4" xfId="11114" xr:uid="{00000000-0005-0000-0000-0000DA450000}"/>
    <cellStyle name="Normal 98 3 2 3" xfId="4578" xr:uid="{00000000-0005-0000-0000-0000DB450000}"/>
    <cellStyle name="Normal 98 3 2 3 2" xfId="9092" xr:uid="{00000000-0005-0000-0000-0000DC450000}"/>
    <cellStyle name="Normal 98 3 2 3 2 2" xfId="18133" xr:uid="{00000000-0005-0000-0000-0000DD450000}"/>
    <cellStyle name="Normal 98 3 2 3 3" xfId="13620" xr:uid="{00000000-0005-0000-0000-0000DE450000}"/>
    <cellStyle name="Normal 98 3 2 4" xfId="5458" xr:uid="{00000000-0005-0000-0000-0000DF450000}"/>
    <cellStyle name="Normal 98 3 2 4 2" xfId="14499" xr:uid="{00000000-0005-0000-0000-0000E0450000}"/>
    <cellStyle name="Normal 98 3 2 5" xfId="9986" xr:uid="{00000000-0005-0000-0000-0000E1450000}"/>
    <cellStyle name="Normal 98 3 3" xfId="1499" xr:uid="{00000000-0005-0000-0000-0000E2450000}"/>
    <cellStyle name="Normal 98 3 3 2" xfId="4580" xr:uid="{00000000-0005-0000-0000-0000E3450000}"/>
    <cellStyle name="Normal 98 3 3 2 2" xfId="9094" xr:uid="{00000000-0005-0000-0000-0000E4450000}"/>
    <cellStyle name="Normal 98 3 3 2 2 2" xfId="18135" xr:uid="{00000000-0005-0000-0000-0000E5450000}"/>
    <cellStyle name="Normal 98 3 3 2 3" xfId="13622" xr:uid="{00000000-0005-0000-0000-0000E6450000}"/>
    <cellStyle name="Normal 98 3 3 3" xfId="6022" xr:uid="{00000000-0005-0000-0000-0000E7450000}"/>
    <cellStyle name="Normal 98 3 3 3 2" xfId="15063" xr:uid="{00000000-0005-0000-0000-0000E8450000}"/>
    <cellStyle name="Normal 98 3 3 4" xfId="10550" xr:uid="{00000000-0005-0000-0000-0000E9450000}"/>
    <cellStyle name="Normal 98 3 4" xfId="4577" xr:uid="{00000000-0005-0000-0000-0000EA450000}"/>
    <cellStyle name="Normal 98 3 4 2" xfId="9091" xr:uid="{00000000-0005-0000-0000-0000EB450000}"/>
    <cellStyle name="Normal 98 3 4 2 2" xfId="18132" xr:uid="{00000000-0005-0000-0000-0000EC450000}"/>
    <cellStyle name="Normal 98 3 4 3" xfId="13619" xr:uid="{00000000-0005-0000-0000-0000ED450000}"/>
    <cellStyle name="Normal 98 3 5" xfId="4894" xr:uid="{00000000-0005-0000-0000-0000EE450000}"/>
    <cellStyle name="Normal 98 3 5 2" xfId="13935" xr:uid="{00000000-0005-0000-0000-0000EF450000}"/>
    <cellStyle name="Normal 98 3 6" xfId="9422" xr:uid="{00000000-0005-0000-0000-0000F0450000}"/>
    <cellStyle name="Normal 98 4" xfId="517" xr:uid="{00000000-0005-0000-0000-0000F1450000}"/>
    <cellStyle name="Normal 98 4 2" xfId="1081" xr:uid="{00000000-0005-0000-0000-0000F2450000}"/>
    <cellStyle name="Normal 98 4 2 2" xfId="2251" xr:uid="{00000000-0005-0000-0000-0000F3450000}"/>
    <cellStyle name="Normal 98 4 2 2 2" xfId="4583" xr:uid="{00000000-0005-0000-0000-0000F4450000}"/>
    <cellStyle name="Normal 98 4 2 2 2 2" xfId="9097" xr:uid="{00000000-0005-0000-0000-0000F5450000}"/>
    <cellStyle name="Normal 98 4 2 2 2 2 2" xfId="18138" xr:uid="{00000000-0005-0000-0000-0000F6450000}"/>
    <cellStyle name="Normal 98 4 2 2 2 3" xfId="13625" xr:uid="{00000000-0005-0000-0000-0000F7450000}"/>
    <cellStyle name="Normal 98 4 2 2 3" xfId="6774" xr:uid="{00000000-0005-0000-0000-0000F8450000}"/>
    <cellStyle name="Normal 98 4 2 2 3 2" xfId="15815" xr:uid="{00000000-0005-0000-0000-0000F9450000}"/>
    <cellStyle name="Normal 98 4 2 2 4" xfId="11302" xr:uid="{00000000-0005-0000-0000-0000FA450000}"/>
    <cellStyle name="Normal 98 4 2 3" xfId="4582" xr:uid="{00000000-0005-0000-0000-0000FB450000}"/>
    <cellStyle name="Normal 98 4 2 3 2" xfId="9096" xr:uid="{00000000-0005-0000-0000-0000FC450000}"/>
    <cellStyle name="Normal 98 4 2 3 2 2" xfId="18137" xr:uid="{00000000-0005-0000-0000-0000FD450000}"/>
    <cellStyle name="Normal 98 4 2 3 3" xfId="13624" xr:uid="{00000000-0005-0000-0000-0000FE450000}"/>
    <cellStyle name="Normal 98 4 2 4" xfId="5646" xr:uid="{00000000-0005-0000-0000-0000FF450000}"/>
    <cellStyle name="Normal 98 4 2 4 2" xfId="14687" xr:uid="{00000000-0005-0000-0000-000000460000}"/>
    <cellStyle name="Normal 98 4 2 5" xfId="10174" xr:uid="{00000000-0005-0000-0000-000001460000}"/>
    <cellStyle name="Normal 98 4 3" xfId="1687" xr:uid="{00000000-0005-0000-0000-000002460000}"/>
    <cellStyle name="Normal 98 4 3 2" xfId="4584" xr:uid="{00000000-0005-0000-0000-000003460000}"/>
    <cellStyle name="Normal 98 4 3 2 2" xfId="9098" xr:uid="{00000000-0005-0000-0000-000004460000}"/>
    <cellStyle name="Normal 98 4 3 2 2 2" xfId="18139" xr:uid="{00000000-0005-0000-0000-000005460000}"/>
    <cellStyle name="Normal 98 4 3 2 3" xfId="13626" xr:uid="{00000000-0005-0000-0000-000006460000}"/>
    <cellStyle name="Normal 98 4 3 3" xfId="6210" xr:uid="{00000000-0005-0000-0000-000007460000}"/>
    <cellStyle name="Normal 98 4 3 3 2" xfId="15251" xr:uid="{00000000-0005-0000-0000-000008460000}"/>
    <cellStyle name="Normal 98 4 3 4" xfId="10738" xr:uid="{00000000-0005-0000-0000-000009460000}"/>
    <cellStyle name="Normal 98 4 4" xfId="4581" xr:uid="{00000000-0005-0000-0000-00000A460000}"/>
    <cellStyle name="Normal 98 4 4 2" xfId="9095" xr:uid="{00000000-0005-0000-0000-00000B460000}"/>
    <cellStyle name="Normal 98 4 4 2 2" xfId="18136" xr:uid="{00000000-0005-0000-0000-00000C460000}"/>
    <cellStyle name="Normal 98 4 4 3" xfId="13623" xr:uid="{00000000-0005-0000-0000-00000D460000}"/>
    <cellStyle name="Normal 98 4 5" xfId="5082" xr:uid="{00000000-0005-0000-0000-00000E460000}"/>
    <cellStyle name="Normal 98 4 5 2" xfId="14123" xr:uid="{00000000-0005-0000-0000-00000F460000}"/>
    <cellStyle name="Normal 98 4 6" xfId="9610" xr:uid="{00000000-0005-0000-0000-000010460000}"/>
    <cellStyle name="Normal 98 5" xfId="705" xr:uid="{00000000-0005-0000-0000-000011460000}"/>
    <cellStyle name="Normal 98 5 2" xfId="1875" xr:uid="{00000000-0005-0000-0000-000012460000}"/>
    <cellStyle name="Normal 98 5 2 2" xfId="4586" xr:uid="{00000000-0005-0000-0000-000013460000}"/>
    <cellStyle name="Normal 98 5 2 2 2" xfId="9100" xr:uid="{00000000-0005-0000-0000-000014460000}"/>
    <cellStyle name="Normal 98 5 2 2 2 2" xfId="18141" xr:uid="{00000000-0005-0000-0000-000015460000}"/>
    <cellStyle name="Normal 98 5 2 2 3" xfId="13628" xr:uid="{00000000-0005-0000-0000-000016460000}"/>
    <cellStyle name="Normal 98 5 2 3" xfId="6398" xr:uid="{00000000-0005-0000-0000-000017460000}"/>
    <cellStyle name="Normal 98 5 2 3 2" xfId="15439" xr:uid="{00000000-0005-0000-0000-000018460000}"/>
    <cellStyle name="Normal 98 5 2 4" xfId="10926" xr:uid="{00000000-0005-0000-0000-000019460000}"/>
    <cellStyle name="Normal 98 5 3" xfId="4585" xr:uid="{00000000-0005-0000-0000-00001A460000}"/>
    <cellStyle name="Normal 98 5 3 2" xfId="9099" xr:uid="{00000000-0005-0000-0000-00001B460000}"/>
    <cellStyle name="Normal 98 5 3 2 2" xfId="18140" xr:uid="{00000000-0005-0000-0000-00001C460000}"/>
    <cellStyle name="Normal 98 5 3 3" xfId="13627" xr:uid="{00000000-0005-0000-0000-00001D460000}"/>
    <cellStyle name="Normal 98 5 4" xfId="5270" xr:uid="{00000000-0005-0000-0000-00001E460000}"/>
    <cellStyle name="Normal 98 5 4 2" xfId="14311" xr:uid="{00000000-0005-0000-0000-00001F460000}"/>
    <cellStyle name="Normal 98 5 5" xfId="9798" xr:uid="{00000000-0005-0000-0000-000020460000}"/>
    <cellStyle name="Normal 98 6" xfId="1311" xr:uid="{00000000-0005-0000-0000-000021460000}"/>
    <cellStyle name="Normal 98 6 2" xfId="4587" xr:uid="{00000000-0005-0000-0000-000022460000}"/>
    <cellStyle name="Normal 98 6 2 2" xfId="9101" xr:uid="{00000000-0005-0000-0000-000023460000}"/>
    <cellStyle name="Normal 98 6 2 2 2" xfId="18142" xr:uid="{00000000-0005-0000-0000-000024460000}"/>
    <cellStyle name="Normal 98 6 2 3" xfId="13629" xr:uid="{00000000-0005-0000-0000-000025460000}"/>
    <cellStyle name="Normal 98 6 3" xfId="5834" xr:uid="{00000000-0005-0000-0000-000026460000}"/>
    <cellStyle name="Normal 98 6 3 2" xfId="14875" xr:uid="{00000000-0005-0000-0000-000027460000}"/>
    <cellStyle name="Normal 98 6 4" xfId="10362" xr:uid="{00000000-0005-0000-0000-000028460000}"/>
    <cellStyle name="Normal 98 7" xfId="4564" xr:uid="{00000000-0005-0000-0000-000029460000}"/>
    <cellStyle name="Normal 98 7 2" xfId="9078" xr:uid="{00000000-0005-0000-0000-00002A460000}"/>
    <cellStyle name="Normal 98 7 2 2" xfId="18119" xr:uid="{00000000-0005-0000-0000-00002B460000}"/>
    <cellStyle name="Normal 98 7 3" xfId="13606" xr:uid="{00000000-0005-0000-0000-00002C460000}"/>
    <cellStyle name="Normal 98 8" xfId="4706" xr:uid="{00000000-0005-0000-0000-00002D460000}"/>
    <cellStyle name="Normal 98 8 2" xfId="13747" xr:uid="{00000000-0005-0000-0000-00002E460000}"/>
    <cellStyle name="Normal 98 9" xfId="9234" xr:uid="{00000000-0005-0000-0000-00002F460000}"/>
    <cellStyle name="Normal 99" xfId="99" xr:uid="{00000000-0005-0000-0000-000030460000}"/>
    <cellStyle name="Normal 99 2" xfId="195" xr:uid="{00000000-0005-0000-0000-000031460000}"/>
    <cellStyle name="Normal 99 2 2" xfId="424" xr:uid="{00000000-0005-0000-0000-000032460000}"/>
    <cellStyle name="Normal 99 2 2 2" xfId="988" xr:uid="{00000000-0005-0000-0000-000033460000}"/>
    <cellStyle name="Normal 99 2 2 2 2" xfId="2158" xr:uid="{00000000-0005-0000-0000-000034460000}"/>
    <cellStyle name="Normal 99 2 2 2 2 2" xfId="4592" xr:uid="{00000000-0005-0000-0000-000035460000}"/>
    <cellStyle name="Normal 99 2 2 2 2 2 2" xfId="9106" xr:uid="{00000000-0005-0000-0000-000036460000}"/>
    <cellStyle name="Normal 99 2 2 2 2 2 2 2" xfId="18147" xr:uid="{00000000-0005-0000-0000-000037460000}"/>
    <cellStyle name="Normal 99 2 2 2 2 2 3" xfId="13634" xr:uid="{00000000-0005-0000-0000-000038460000}"/>
    <cellStyle name="Normal 99 2 2 2 2 3" xfId="6681" xr:uid="{00000000-0005-0000-0000-000039460000}"/>
    <cellStyle name="Normal 99 2 2 2 2 3 2" xfId="15722" xr:uid="{00000000-0005-0000-0000-00003A460000}"/>
    <cellStyle name="Normal 99 2 2 2 2 4" xfId="11209" xr:uid="{00000000-0005-0000-0000-00003B460000}"/>
    <cellStyle name="Normal 99 2 2 2 3" xfId="4591" xr:uid="{00000000-0005-0000-0000-00003C460000}"/>
    <cellStyle name="Normal 99 2 2 2 3 2" xfId="9105" xr:uid="{00000000-0005-0000-0000-00003D460000}"/>
    <cellStyle name="Normal 99 2 2 2 3 2 2" xfId="18146" xr:uid="{00000000-0005-0000-0000-00003E460000}"/>
    <cellStyle name="Normal 99 2 2 2 3 3" xfId="13633" xr:uid="{00000000-0005-0000-0000-00003F460000}"/>
    <cellStyle name="Normal 99 2 2 2 4" xfId="5553" xr:uid="{00000000-0005-0000-0000-000040460000}"/>
    <cellStyle name="Normal 99 2 2 2 4 2" xfId="14594" xr:uid="{00000000-0005-0000-0000-000041460000}"/>
    <cellStyle name="Normal 99 2 2 2 5" xfId="10081" xr:uid="{00000000-0005-0000-0000-000042460000}"/>
    <cellStyle name="Normal 99 2 2 3" xfId="1594" xr:uid="{00000000-0005-0000-0000-000043460000}"/>
    <cellStyle name="Normal 99 2 2 3 2" xfId="4593" xr:uid="{00000000-0005-0000-0000-000044460000}"/>
    <cellStyle name="Normal 99 2 2 3 2 2" xfId="9107" xr:uid="{00000000-0005-0000-0000-000045460000}"/>
    <cellStyle name="Normal 99 2 2 3 2 2 2" xfId="18148" xr:uid="{00000000-0005-0000-0000-000046460000}"/>
    <cellStyle name="Normal 99 2 2 3 2 3" xfId="13635" xr:uid="{00000000-0005-0000-0000-000047460000}"/>
    <cellStyle name="Normal 99 2 2 3 3" xfId="6117" xr:uid="{00000000-0005-0000-0000-000048460000}"/>
    <cellStyle name="Normal 99 2 2 3 3 2" xfId="15158" xr:uid="{00000000-0005-0000-0000-000049460000}"/>
    <cellStyle name="Normal 99 2 2 3 4" xfId="10645" xr:uid="{00000000-0005-0000-0000-00004A460000}"/>
    <cellStyle name="Normal 99 2 2 4" xfId="4590" xr:uid="{00000000-0005-0000-0000-00004B460000}"/>
    <cellStyle name="Normal 99 2 2 4 2" xfId="9104" xr:uid="{00000000-0005-0000-0000-00004C460000}"/>
    <cellStyle name="Normal 99 2 2 4 2 2" xfId="18145" xr:uid="{00000000-0005-0000-0000-00004D460000}"/>
    <cellStyle name="Normal 99 2 2 4 3" xfId="13632" xr:uid="{00000000-0005-0000-0000-00004E460000}"/>
    <cellStyle name="Normal 99 2 2 5" xfId="4989" xr:uid="{00000000-0005-0000-0000-00004F460000}"/>
    <cellStyle name="Normal 99 2 2 5 2" xfId="14030" xr:uid="{00000000-0005-0000-0000-000050460000}"/>
    <cellStyle name="Normal 99 2 2 6" xfId="9517" xr:uid="{00000000-0005-0000-0000-000051460000}"/>
    <cellStyle name="Normal 99 2 3" xfId="612" xr:uid="{00000000-0005-0000-0000-000052460000}"/>
    <cellStyle name="Normal 99 2 3 2" xfId="1176" xr:uid="{00000000-0005-0000-0000-000053460000}"/>
    <cellStyle name="Normal 99 2 3 2 2" xfId="2346" xr:uid="{00000000-0005-0000-0000-000054460000}"/>
    <cellStyle name="Normal 99 2 3 2 2 2" xfId="4596" xr:uid="{00000000-0005-0000-0000-000055460000}"/>
    <cellStyle name="Normal 99 2 3 2 2 2 2" xfId="9110" xr:uid="{00000000-0005-0000-0000-000056460000}"/>
    <cellStyle name="Normal 99 2 3 2 2 2 2 2" xfId="18151" xr:uid="{00000000-0005-0000-0000-000057460000}"/>
    <cellStyle name="Normal 99 2 3 2 2 2 3" xfId="13638" xr:uid="{00000000-0005-0000-0000-000058460000}"/>
    <cellStyle name="Normal 99 2 3 2 2 3" xfId="6869" xr:uid="{00000000-0005-0000-0000-000059460000}"/>
    <cellStyle name="Normal 99 2 3 2 2 3 2" xfId="15910" xr:uid="{00000000-0005-0000-0000-00005A460000}"/>
    <cellStyle name="Normal 99 2 3 2 2 4" xfId="11397" xr:uid="{00000000-0005-0000-0000-00005B460000}"/>
    <cellStyle name="Normal 99 2 3 2 3" xfId="4595" xr:uid="{00000000-0005-0000-0000-00005C460000}"/>
    <cellStyle name="Normal 99 2 3 2 3 2" xfId="9109" xr:uid="{00000000-0005-0000-0000-00005D460000}"/>
    <cellStyle name="Normal 99 2 3 2 3 2 2" xfId="18150" xr:uid="{00000000-0005-0000-0000-00005E460000}"/>
    <cellStyle name="Normal 99 2 3 2 3 3" xfId="13637" xr:uid="{00000000-0005-0000-0000-00005F460000}"/>
    <cellStyle name="Normal 99 2 3 2 4" xfId="5741" xr:uid="{00000000-0005-0000-0000-000060460000}"/>
    <cellStyle name="Normal 99 2 3 2 4 2" xfId="14782" xr:uid="{00000000-0005-0000-0000-000061460000}"/>
    <cellStyle name="Normal 99 2 3 2 5" xfId="10269" xr:uid="{00000000-0005-0000-0000-000062460000}"/>
    <cellStyle name="Normal 99 2 3 3" xfId="1782" xr:uid="{00000000-0005-0000-0000-000063460000}"/>
    <cellStyle name="Normal 99 2 3 3 2" xfId="4597" xr:uid="{00000000-0005-0000-0000-000064460000}"/>
    <cellStyle name="Normal 99 2 3 3 2 2" xfId="9111" xr:uid="{00000000-0005-0000-0000-000065460000}"/>
    <cellStyle name="Normal 99 2 3 3 2 2 2" xfId="18152" xr:uid="{00000000-0005-0000-0000-000066460000}"/>
    <cellStyle name="Normal 99 2 3 3 2 3" xfId="13639" xr:uid="{00000000-0005-0000-0000-000067460000}"/>
    <cellStyle name="Normal 99 2 3 3 3" xfId="6305" xr:uid="{00000000-0005-0000-0000-000068460000}"/>
    <cellStyle name="Normal 99 2 3 3 3 2" xfId="15346" xr:uid="{00000000-0005-0000-0000-000069460000}"/>
    <cellStyle name="Normal 99 2 3 3 4" xfId="10833" xr:uid="{00000000-0005-0000-0000-00006A460000}"/>
    <cellStyle name="Normal 99 2 3 4" xfId="4594" xr:uid="{00000000-0005-0000-0000-00006B460000}"/>
    <cellStyle name="Normal 99 2 3 4 2" xfId="9108" xr:uid="{00000000-0005-0000-0000-00006C460000}"/>
    <cellStyle name="Normal 99 2 3 4 2 2" xfId="18149" xr:uid="{00000000-0005-0000-0000-00006D460000}"/>
    <cellStyle name="Normal 99 2 3 4 3" xfId="13636" xr:uid="{00000000-0005-0000-0000-00006E460000}"/>
    <cellStyle name="Normal 99 2 3 5" xfId="5177" xr:uid="{00000000-0005-0000-0000-00006F460000}"/>
    <cellStyle name="Normal 99 2 3 5 2" xfId="14218" xr:uid="{00000000-0005-0000-0000-000070460000}"/>
    <cellStyle name="Normal 99 2 3 6" xfId="9705" xr:uid="{00000000-0005-0000-0000-000071460000}"/>
    <cellStyle name="Normal 99 2 4" xfId="800" xr:uid="{00000000-0005-0000-0000-000072460000}"/>
    <cellStyle name="Normal 99 2 4 2" xfId="1970" xr:uid="{00000000-0005-0000-0000-000073460000}"/>
    <cellStyle name="Normal 99 2 4 2 2" xfId="4599" xr:uid="{00000000-0005-0000-0000-000074460000}"/>
    <cellStyle name="Normal 99 2 4 2 2 2" xfId="9113" xr:uid="{00000000-0005-0000-0000-000075460000}"/>
    <cellStyle name="Normal 99 2 4 2 2 2 2" xfId="18154" xr:uid="{00000000-0005-0000-0000-000076460000}"/>
    <cellStyle name="Normal 99 2 4 2 2 3" xfId="13641" xr:uid="{00000000-0005-0000-0000-000077460000}"/>
    <cellStyle name="Normal 99 2 4 2 3" xfId="6493" xr:uid="{00000000-0005-0000-0000-000078460000}"/>
    <cellStyle name="Normal 99 2 4 2 3 2" xfId="15534" xr:uid="{00000000-0005-0000-0000-000079460000}"/>
    <cellStyle name="Normal 99 2 4 2 4" xfId="11021" xr:uid="{00000000-0005-0000-0000-00007A460000}"/>
    <cellStyle name="Normal 99 2 4 3" xfId="4598" xr:uid="{00000000-0005-0000-0000-00007B460000}"/>
    <cellStyle name="Normal 99 2 4 3 2" xfId="9112" xr:uid="{00000000-0005-0000-0000-00007C460000}"/>
    <cellStyle name="Normal 99 2 4 3 2 2" xfId="18153" xr:uid="{00000000-0005-0000-0000-00007D460000}"/>
    <cellStyle name="Normal 99 2 4 3 3" xfId="13640" xr:uid="{00000000-0005-0000-0000-00007E460000}"/>
    <cellStyle name="Normal 99 2 4 4" xfId="5365" xr:uid="{00000000-0005-0000-0000-00007F460000}"/>
    <cellStyle name="Normal 99 2 4 4 2" xfId="14406" xr:uid="{00000000-0005-0000-0000-000080460000}"/>
    <cellStyle name="Normal 99 2 4 5" xfId="9893" xr:uid="{00000000-0005-0000-0000-000081460000}"/>
    <cellStyle name="Normal 99 2 5" xfId="1406" xr:uid="{00000000-0005-0000-0000-000082460000}"/>
    <cellStyle name="Normal 99 2 5 2" xfId="4600" xr:uid="{00000000-0005-0000-0000-000083460000}"/>
    <cellStyle name="Normal 99 2 5 2 2" xfId="9114" xr:uid="{00000000-0005-0000-0000-000084460000}"/>
    <cellStyle name="Normal 99 2 5 2 2 2" xfId="18155" xr:uid="{00000000-0005-0000-0000-000085460000}"/>
    <cellStyle name="Normal 99 2 5 2 3" xfId="13642" xr:uid="{00000000-0005-0000-0000-000086460000}"/>
    <cellStyle name="Normal 99 2 5 3" xfId="5929" xr:uid="{00000000-0005-0000-0000-000087460000}"/>
    <cellStyle name="Normal 99 2 5 3 2" xfId="14970" xr:uid="{00000000-0005-0000-0000-000088460000}"/>
    <cellStyle name="Normal 99 2 5 4" xfId="10457" xr:uid="{00000000-0005-0000-0000-000089460000}"/>
    <cellStyle name="Normal 99 2 6" xfId="4589" xr:uid="{00000000-0005-0000-0000-00008A460000}"/>
    <cellStyle name="Normal 99 2 6 2" xfId="9103" xr:uid="{00000000-0005-0000-0000-00008B460000}"/>
    <cellStyle name="Normal 99 2 6 2 2" xfId="18144" xr:uid="{00000000-0005-0000-0000-00008C460000}"/>
    <cellStyle name="Normal 99 2 6 3" xfId="13631" xr:uid="{00000000-0005-0000-0000-00008D460000}"/>
    <cellStyle name="Normal 99 2 7" xfId="4801" xr:uid="{00000000-0005-0000-0000-00008E460000}"/>
    <cellStyle name="Normal 99 2 7 2" xfId="13842" xr:uid="{00000000-0005-0000-0000-00008F460000}"/>
    <cellStyle name="Normal 99 2 8" xfId="9329" xr:uid="{00000000-0005-0000-0000-000090460000}"/>
    <cellStyle name="Normal 99 3" xfId="330" xr:uid="{00000000-0005-0000-0000-000091460000}"/>
    <cellStyle name="Normal 99 3 2" xfId="894" xr:uid="{00000000-0005-0000-0000-000092460000}"/>
    <cellStyle name="Normal 99 3 2 2" xfId="2064" xr:uid="{00000000-0005-0000-0000-000093460000}"/>
    <cellStyle name="Normal 99 3 2 2 2" xfId="4603" xr:uid="{00000000-0005-0000-0000-000094460000}"/>
    <cellStyle name="Normal 99 3 2 2 2 2" xfId="9117" xr:uid="{00000000-0005-0000-0000-000095460000}"/>
    <cellStyle name="Normal 99 3 2 2 2 2 2" xfId="18158" xr:uid="{00000000-0005-0000-0000-000096460000}"/>
    <cellStyle name="Normal 99 3 2 2 2 3" xfId="13645" xr:uid="{00000000-0005-0000-0000-000097460000}"/>
    <cellStyle name="Normal 99 3 2 2 3" xfId="6587" xr:uid="{00000000-0005-0000-0000-000098460000}"/>
    <cellStyle name="Normal 99 3 2 2 3 2" xfId="15628" xr:uid="{00000000-0005-0000-0000-000099460000}"/>
    <cellStyle name="Normal 99 3 2 2 4" xfId="11115" xr:uid="{00000000-0005-0000-0000-00009A460000}"/>
    <cellStyle name="Normal 99 3 2 3" xfId="4602" xr:uid="{00000000-0005-0000-0000-00009B460000}"/>
    <cellStyle name="Normal 99 3 2 3 2" xfId="9116" xr:uid="{00000000-0005-0000-0000-00009C460000}"/>
    <cellStyle name="Normal 99 3 2 3 2 2" xfId="18157" xr:uid="{00000000-0005-0000-0000-00009D460000}"/>
    <cellStyle name="Normal 99 3 2 3 3" xfId="13644" xr:uid="{00000000-0005-0000-0000-00009E460000}"/>
    <cellStyle name="Normal 99 3 2 4" xfId="5459" xr:uid="{00000000-0005-0000-0000-00009F460000}"/>
    <cellStyle name="Normal 99 3 2 4 2" xfId="14500" xr:uid="{00000000-0005-0000-0000-0000A0460000}"/>
    <cellStyle name="Normal 99 3 2 5" xfId="9987" xr:uid="{00000000-0005-0000-0000-0000A1460000}"/>
    <cellStyle name="Normal 99 3 3" xfId="1500" xr:uid="{00000000-0005-0000-0000-0000A2460000}"/>
    <cellStyle name="Normal 99 3 3 2" xfId="4604" xr:uid="{00000000-0005-0000-0000-0000A3460000}"/>
    <cellStyle name="Normal 99 3 3 2 2" xfId="9118" xr:uid="{00000000-0005-0000-0000-0000A4460000}"/>
    <cellStyle name="Normal 99 3 3 2 2 2" xfId="18159" xr:uid="{00000000-0005-0000-0000-0000A5460000}"/>
    <cellStyle name="Normal 99 3 3 2 3" xfId="13646" xr:uid="{00000000-0005-0000-0000-0000A6460000}"/>
    <cellStyle name="Normal 99 3 3 3" xfId="6023" xr:uid="{00000000-0005-0000-0000-0000A7460000}"/>
    <cellStyle name="Normal 99 3 3 3 2" xfId="15064" xr:uid="{00000000-0005-0000-0000-0000A8460000}"/>
    <cellStyle name="Normal 99 3 3 4" xfId="10551" xr:uid="{00000000-0005-0000-0000-0000A9460000}"/>
    <cellStyle name="Normal 99 3 4" xfId="4601" xr:uid="{00000000-0005-0000-0000-0000AA460000}"/>
    <cellStyle name="Normal 99 3 4 2" xfId="9115" xr:uid="{00000000-0005-0000-0000-0000AB460000}"/>
    <cellStyle name="Normal 99 3 4 2 2" xfId="18156" xr:uid="{00000000-0005-0000-0000-0000AC460000}"/>
    <cellStyle name="Normal 99 3 4 3" xfId="13643" xr:uid="{00000000-0005-0000-0000-0000AD460000}"/>
    <cellStyle name="Normal 99 3 5" xfId="4895" xr:uid="{00000000-0005-0000-0000-0000AE460000}"/>
    <cellStyle name="Normal 99 3 5 2" xfId="13936" xr:uid="{00000000-0005-0000-0000-0000AF460000}"/>
    <cellStyle name="Normal 99 3 6" xfId="9423" xr:uid="{00000000-0005-0000-0000-0000B0460000}"/>
    <cellStyle name="Normal 99 4" xfId="518" xr:uid="{00000000-0005-0000-0000-0000B1460000}"/>
    <cellStyle name="Normal 99 4 2" xfId="1082" xr:uid="{00000000-0005-0000-0000-0000B2460000}"/>
    <cellStyle name="Normal 99 4 2 2" xfId="2252" xr:uid="{00000000-0005-0000-0000-0000B3460000}"/>
    <cellStyle name="Normal 99 4 2 2 2" xfId="4607" xr:uid="{00000000-0005-0000-0000-0000B4460000}"/>
    <cellStyle name="Normal 99 4 2 2 2 2" xfId="9121" xr:uid="{00000000-0005-0000-0000-0000B5460000}"/>
    <cellStyle name="Normal 99 4 2 2 2 2 2" xfId="18162" xr:uid="{00000000-0005-0000-0000-0000B6460000}"/>
    <cellStyle name="Normal 99 4 2 2 2 3" xfId="13649" xr:uid="{00000000-0005-0000-0000-0000B7460000}"/>
    <cellStyle name="Normal 99 4 2 2 3" xfId="6775" xr:uid="{00000000-0005-0000-0000-0000B8460000}"/>
    <cellStyle name="Normal 99 4 2 2 3 2" xfId="15816" xr:uid="{00000000-0005-0000-0000-0000B9460000}"/>
    <cellStyle name="Normal 99 4 2 2 4" xfId="11303" xr:uid="{00000000-0005-0000-0000-0000BA460000}"/>
    <cellStyle name="Normal 99 4 2 3" xfId="4606" xr:uid="{00000000-0005-0000-0000-0000BB460000}"/>
    <cellStyle name="Normal 99 4 2 3 2" xfId="9120" xr:uid="{00000000-0005-0000-0000-0000BC460000}"/>
    <cellStyle name="Normal 99 4 2 3 2 2" xfId="18161" xr:uid="{00000000-0005-0000-0000-0000BD460000}"/>
    <cellStyle name="Normal 99 4 2 3 3" xfId="13648" xr:uid="{00000000-0005-0000-0000-0000BE460000}"/>
    <cellStyle name="Normal 99 4 2 4" xfId="5647" xr:uid="{00000000-0005-0000-0000-0000BF460000}"/>
    <cellStyle name="Normal 99 4 2 4 2" xfId="14688" xr:uid="{00000000-0005-0000-0000-0000C0460000}"/>
    <cellStyle name="Normal 99 4 2 5" xfId="10175" xr:uid="{00000000-0005-0000-0000-0000C1460000}"/>
    <cellStyle name="Normal 99 4 3" xfId="1688" xr:uid="{00000000-0005-0000-0000-0000C2460000}"/>
    <cellStyle name="Normal 99 4 3 2" xfId="4608" xr:uid="{00000000-0005-0000-0000-0000C3460000}"/>
    <cellStyle name="Normal 99 4 3 2 2" xfId="9122" xr:uid="{00000000-0005-0000-0000-0000C4460000}"/>
    <cellStyle name="Normal 99 4 3 2 2 2" xfId="18163" xr:uid="{00000000-0005-0000-0000-0000C5460000}"/>
    <cellStyle name="Normal 99 4 3 2 3" xfId="13650" xr:uid="{00000000-0005-0000-0000-0000C6460000}"/>
    <cellStyle name="Normal 99 4 3 3" xfId="6211" xr:uid="{00000000-0005-0000-0000-0000C7460000}"/>
    <cellStyle name="Normal 99 4 3 3 2" xfId="15252" xr:uid="{00000000-0005-0000-0000-0000C8460000}"/>
    <cellStyle name="Normal 99 4 3 4" xfId="10739" xr:uid="{00000000-0005-0000-0000-0000C9460000}"/>
    <cellStyle name="Normal 99 4 4" xfId="4605" xr:uid="{00000000-0005-0000-0000-0000CA460000}"/>
    <cellStyle name="Normal 99 4 4 2" xfId="9119" xr:uid="{00000000-0005-0000-0000-0000CB460000}"/>
    <cellStyle name="Normal 99 4 4 2 2" xfId="18160" xr:uid="{00000000-0005-0000-0000-0000CC460000}"/>
    <cellStyle name="Normal 99 4 4 3" xfId="13647" xr:uid="{00000000-0005-0000-0000-0000CD460000}"/>
    <cellStyle name="Normal 99 4 5" xfId="5083" xr:uid="{00000000-0005-0000-0000-0000CE460000}"/>
    <cellStyle name="Normal 99 4 5 2" xfId="14124" xr:uid="{00000000-0005-0000-0000-0000CF460000}"/>
    <cellStyle name="Normal 99 4 6" xfId="9611" xr:uid="{00000000-0005-0000-0000-0000D0460000}"/>
    <cellStyle name="Normal 99 5" xfId="706" xr:uid="{00000000-0005-0000-0000-0000D1460000}"/>
    <cellStyle name="Normal 99 5 2" xfId="1876" xr:uid="{00000000-0005-0000-0000-0000D2460000}"/>
    <cellStyle name="Normal 99 5 2 2" xfId="4610" xr:uid="{00000000-0005-0000-0000-0000D3460000}"/>
    <cellStyle name="Normal 99 5 2 2 2" xfId="9124" xr:uid="{00000000-0005-0000-0000-0000D4460000}"/>
    <cellStyle name="Normal 99 5 2 2 2 2" xfId="18165" xr:uid="{00000000-0005-0000-0000-0000D5460000}"/>
    <cellStyle name="Normal 99 5 2 2 3" xfId="13652" xr:uid="{00000000-0005-0000-0000-0000D6460000}"/>
    <cellStyle name="Normal 99 5 2 3" xfId="6399" xr:uid="{00000000-0005-0000-0000-0000D7460000}"/>
    <cellStyle name="Normal 99 5 2 3 2" xfId="15440" xr:uid="{00000000-0005-0000-0000-0000D8460000}"/>
    <cellStyle name="Normal 99 5 2 4" xfId="10927" xr:uid="{00000000-0005-0000-0000-0000D9460000}"/>
    <cellStyle name="Normal 99 5 3" xfId="4609" xr:uid="{00000000-0005-0000-0000-0000DA460000}"/>
    <cellStyle name="Normal 99 5 3 2" xfId="9123" xr:uid="{00000000-0005-0000-0000-0000DB460000}"/>
    <cellStyle name="Normal 99 5 3 2 2" xfId="18164" xr:uid="{00000000-0005-0000-0000-0000DC460000}"/>
    <cellStyle name="Normal 99 5 3 3" xfId="13651" xr:uid="{00000000-0005-0000-0000-0000DD460000}"/>
    <cellStyle name="Normal 99 5 4" xfId="5271" xr:uid="{00000000-0005-0000-0000-0000DE460000}"/>
    <cellStyle name="Normal 99 5 4 2" xfId="14312" xr:uid="{00000000-0005-0000-0000-0000DF460000}"/>
    <cellStyle name="Normal 99 5 5" xfId="9799" xr:uid="{00000000-0005-0000-0000-0000E0460000}"/>
    <cellStyle name="Normal 99 6" xfId="1312" xr:uid="{00000000-0005-0000-0000-0000E1460000}"/>
    <cellStyle name="Normal 99 6 2" xfId="4611" xr:uid="{00000000-0005-0000-0000-0000E2460000}"/>
    <cellStyle name="Normal 99 6 2 2" xfId="9125" xr:uid="{00000000-0005-0000-0000-0000E3460000}"/>
    <cellStyle name="Normal 99 6 2 2 2" xfId="18166" xr:uid="{00000000-0005-0000-0000-0000E4460000}"/>
    <cellStyle name="Normal 99 6 2 3" xfId="13653" xr:uid="{00000000-0005-0000-0000-0000E5460000}"/>
    <cellStyle name="Normal 99 6 3" xfId="5835" xr:uid="{00000000-0005-0000-0000-0000E6460000}"/>
    <cellStyle name="Normal 99 6 3 2" xfId="14876" xr:uid="{00000000-0005-0000-0000-0000E7460000}"/>
    <cellStyle name="Normal 99 6 4" xfId="10363" xr:uid="{00000000-0005-0000-0000-0000E8460000}"/>
    <cellStyle name="Normal 99 7" xfId="4588" xr:uid="{00000000-0005-0000-0000-0000E9460000}"/>
    <cellStyle name="Normal 99 7 2" xfId="9102" xr:uid="{00000000-0005-0000-0000-0000EA460000}"/>
    <cellStyle name="Normal 99 7 2 2" xfId="18143" xr:uid="{00000000-0005-0000-0000-0000EB460000}"/>
    <cellStyle name="Normal 99 7 3" xfId="13630" xr:uid="{00000000-0005-0000-0000-0000EC460000}"/>
    <cellStyle name="Normal 99 8" xfId="4707" xr:uid="{00000000-0005-0000-0000-0000ED460000}"/>
    <cellStyle name="Normal 99 8 2" xfId="13748" xr:uid="{00000000-0005-0000-0000-0000EE460000}"/>
    <cellStyle name="Normal 99 9" xfId="9235" xr:uid="{00000000-0005-0000-0000-0000EF460000}"/>
    <cellStyle name="Normal_EAN comprehensive list for Light My Fire" xfId="1" xr:uid="{00000000-0005-0000-0000-0000F0460000}"/>
    <cellStyle name="Note 2" xfId="1213" xr:uid="{00000000-0005-0000-0000-0000F1460000}"/>
    <cellStyle name="Output 2" xfId="1214" xr:uid="{00000000-0005-0000-0000-0000F2460000}"/>
    <cellStyle name="Percent 2" xfId="4612" xr:uid="{00000000-0005-0000-0000-0000F3460000}"/>
    <cellStyle name="Procent 2" xfId="9134" xr:uid="{00000000-0005-0000-0000-0000F4460000}"/>
    <cellStyle name="Procent 2 2" xfId="18172" xr:uid="{00000000-0005-0000-0000-0000F5460000}"/>
    <cellStyle name="Rubrik" xfId="229" xr:uid="{00000000-0005-0000-0000-0000F6460000}"/>
    <cellStyle name="Rubrik 1" xfId="230" xr:uid="{00000000-0005-0000-0000-0000F7460000}"/>
    <cellStyle name="Rubrik 2" xfId="231" xr:uid="{00000000-0005-0000-0000-0000F8460000}"/>
    <cellStyle name="Rubrik 3" xfId="232" xr:uid="{00000000-0005-0000-0000-0000F9460000}"/>
    <cellStyle name="Rubrik 4" xfId="233" xr:uid="{00000000-0005-0000-0000-0000FA460000}"/>
    <cellStyle name="Summa" xfId="234" xr:uid="{00000000-0005-0000-0000-0000FB460000}"/>
    <cellStyle name="Title 2" xfId="1215" xr:uid="{00000000-0005-0000-0000-0000FC460000}"/>
    <cellStyle name="Total 2" xfId="1216" xr:uid="{00000000-0005-0000-0000-0000FD460000}"/>
    <cellStyle name="Utdata" xfId="235" xr:uid="{00000000-0005-0000-0000-0000FE460000}"/>
    <cellStyle name="Varningstext" xfId="236" xr:uid="{00000000-0005-0000-0000-0000FF460000}"/>
    <cellStyle name="Warning Text 2" xfId="1217" xr:uid="{00000000-0005-0000-0000-00000047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53976</xdr:colOff>
      <xdr:row>0</xdr:row>
      <xdr:rowOff>42333</xdr:rowOff>
    </xdr:from>
    <xdr:to>
      <xdr:col>2</xdr:col>
      <xdr:colOff>8427</xdr:colOff>
      <xdr:row>0</xdr:row>
      <xdr:rowOff>682413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76" y="42333"/>
          <a:ext cx="1326051"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47625</xdr:rowOff>
    </xdr:from>
    <xdr:to>
      <xdr:col>2</xdr:col>
      <xdr:colOff>552720</xdr:colOff>
      <xdr:row>0</xdr:row>
      <xdr:rowOff>687705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47625"/>
          <a:ext cx="2000520"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112567</xdr:colOff>
      <xdr:row>0</xdr:row>
      <xdr:rowOff>95249</xdr:rowOff>
    </xdr:from>
    <xdr:to>
      <xdr:col>4</xdr:col>
      <xdr:colOff>802315</xdr:colOff>
      <xdr:row>0</xdr:row>
      <xdr:rowOff>598169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567" y="95249"/>
          <a:ext cx="4043214" cy="5029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76201</xdr:colOff>
      <xdr:row>0</xdr:row>
      <xdr:rowOff>76200</xdr:rowOff>
    </xdr:from>
    <xdr:to>
      <xdr:col>2</xdr:col>
      <xdr:colOff>151274</xdr:colOff>
      <xdr:row>0</xdr:row>
      <xdr:rowOff>716280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76200"/>
          <a:ext cx="1008523" cy="640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23</xdr:col>
      <xdr:colOff>0</xdr:colOff>
      <xdr:row>17</xdr:row>
      <xdr:rowOff>0</xdr:rowOff>
    </xdr:from>
    <xdr:ext cx="9525" cy="38100"/>
    <xdr:pic>
      <xdr:nvPicPr>
        <xdr:cNvPr id="2" name="Picture 104" descr="spacer0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 name="Picture 170" descr="spacer0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 name="Picture 171" descr="spacer0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 name="Picture 172" descr="spacer0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 name="Picture 173" descr="spacer0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 name="Picture 174" descr="spacer0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8" name="Picture 175" descr="spacer01">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9" name="Picture 176" descr="spacer01">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0" name="Picture 177" descr="spacer01">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1" name="Picture 178" descr="spacer01">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2" name="Picture 179" descr="spacer0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3" name="Picture 180" descr="spacer01">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4" name="Picture 181" descr="spacer01">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5" name="Picture 182" descr="spacer01">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6" name="Picture 183" descr="spacer01">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7" name="Picture 184" descr="spacer01">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8" name="Picture 185" descr="spacer01">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9" name="Picture 186" descr="spacer01">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0" name="Picture 187" descr="spacer01">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1" name="Picture 188" descr="spacer01">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2" name="Picture 189" descr="spacer01">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3" name="Picture 190" descr="spacer01">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4" name="Picture 191" descr="spacer01">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5" name="Picture 192" descr="spacer01">
          <a:extLst>
            <a:ext uri="{FF2B5EF4-FFF2-40B4-BE49-F238E27FC236}">
              <a16:creationId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6" name="Picture 193" descr="spacer01">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7" name="Picture 194" descr="spacer01">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8" name="Picture 195" descr="spacer01">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9" name="Picture 196" descr="spacer01">
          <a:extLst>
            <a:ext uri="{FF2B5EF4-FFF2-40B4-BE49-F238E27FC236}">
              <a16:creationId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0" name="Picture 197" descr="spacer01">
          <a:extLst>
            <a:ext uri="{FF2B5EF4-FFF2-40B4-BE49-F238E27FC236}">
              <a16:creationId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1" name="Picture 198" descr="spacer01">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2" name="Picture 199" descr="spacer01">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3" name="Picture 200" descr="spacer01">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4" name="Picture 201" descr="spacer01">
          <a:extLst>
            <a:ext uri="{FF2B5EF4-FFF2-40B4-BE49-F238E27FC236}">
              <a16:creationId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5" name="Picture 202" descr="spacer01">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6" name="Picture 203" descr="spacer01">
          <a:extLst>
            <a:ext uri="{FF2B5EF4-FFF2-40B4-BE49-F238E27FC236}">
              <a16:creationId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7" name="Picture 204" descr="spacer01">
          <a:extLst>
            <a:ext uri="{FF2B5EF4-FFF2-40B4-BE49-F238E27FC236}">
              <a16:creationId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8" name="Picture 205" descr="spacer01">
          <a:extLst>
            <a:ext uri="{FF2B5EF4-FFF2-40B4-BE49-F238E27FC236}">
              <a16:creationId xmlns:a16="http://schemas.microsoft.com/office/drawing/2014/main" id="{00000000-0008-0000-06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9" name="Picture 206" descr="spacer01">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0" name="Picture 207" descr="spacer01">
          <a:extLst>
            <a:ext uri="{FF2B5EF4-FFF2-40B4-BE49-F238E27FC236}">
              <a16:creationId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1" name="Picture 208" descr="spacer01">
          <a:extLst>
            <a:ext uri="{FF2B5EF4-FFF2-40B4-BE49-F238E27FC236}">
              <a16:creationId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66675</xdr:colOff>
      <xdr:row>0</xdr:row>
      <xdr:rowOff>171478</xdr:rowOff>
    </xdr:from>
    <xdr:to>
      <xdr:col>3</xdr:col>
      <xdr:colOff>85725</xdr:colOff>
      <xdr:row>0</xdr:row>
      <xdr:rowOff>584804</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71478"/>
          <a:ext cx="2743200" cy="413326"/>
        </a:xfrm>
        <a:prstGeom prst="rect">
          <a:avLst/>
        </a:prstGeom>
      </xdr:spPr>
    </xdr:pic>
    <xdr:clientData/>
  </xdr:twoCellAnchor>
  <xdr:oneCellAnchor>
    <xdr:from>
      <xdr:col>23</xdr:col>
      <xdr:colOff>0</xdr:colOff>
      <xdr:row>17</xdr:row>
      <xdr:rowOff>0</xdr:rowOff>
    </xdr:from>
    <xdr:ext cx="9525" cy="38100"/>
    <xdr:pic>
      <xdr:nvPicPr>
        <xdr:cNvPr id="43" name="Picture 104" descr="spacer01">
          <a:extLst>
            <a:ext uri="{FF2B5EF4-FFF2-40B4-BE49-F238E27FC236}">
              <a16:creationId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4" name="Picture 170" descr="spacer01">
          <a:extLst>
            <a:ext uri="{FF2B5EF4-FFF2-40B4-BE49-F238E27FC236}">
              <a16:creationId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5" name="Picture 171" descr="spacer01">
          <a:extLst>
            <a:ext uri="{FF2B5EF4-FFF2-40B4-BE49-F238E27FC236}">
              <a16:creationId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6" name="Picture 172" descr="spacer01">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8" name="Picture 173" descr="spacer01">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9" name="Picture 174" descr="spacer01">
          <a:extLst>
            <a:ext uri="{FF2B5EF4-FFF2-40B4-BE49-F238E27FC236}">
              <a16:creationId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0" name="Picture 175" descr="spacer01">
          <a:extLst>
            <a:ext uri="{FF2B5EF4-FFF2-40B4-BE49-F238E27FC236}">
              <a16:creationId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1" name="Picture 176" descr="spacer01">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2" name="Picture 177" descr="spacer01">
          <a:extLst>
            <a:ext uri="{FF2B5EF4-FFF2-40B4-BE49-F238E27FC236}">
              <a16:creationId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3" name="Picture 178" descr="spacer01">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4" name="Picture 179" descr="spacer01">
          <a:extLst>
            <a:ext uri="{FF2B5EF4-FFF2-40B4-BE49-F238E27FC236}">
              <a16:creationId xmlns:a16="http://schemas.microsoft.com/office/drawing/2014/main" id="{00000000-0008-0000-06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5" name="Picture 180" descr="spacer01">
          <a:extLst>
            <a:ext uri="{FF2B5EF4-FFF2-40B4-BE49-F238E27FC236}">
              <a16:creationId xmlns:a16="http://schemas.microsoft.com/office/drawing/2014/main" id="{00000000-0008-0000-06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6" name="Picture 181" descr="spacer01">
          <a:extLst>
            <a:ext uri="{FF2B5EF4-FFF2-40B4-BE49-F238E27FC236}">
              <a16:creationId xmlns:a16="http://schemas.microsoft.com/office/drawing/2014/main" id="{00000000-0008-0000-06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7" name="Picture 182" descr="spacer01">
          <a:extLst>
            <a:ext uri="{FF2B5EF4-FFF2-40B4-BE49-F238E27FC236}">
              <a16:creationId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8" name="Picture 183" descr="spacer01">
          <a:extLst>
            <a:ext uri="{FF2B5EF4-FFF2-40B4-BE49-F238E27FC236}">
              <a16:creationId xmlns:a16="http://schemas.microsoft.com/office/drawing/2014/main" id="{00000000-0008-0000-06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9" name="Picture 184" descr="spacer01">
          <a:extLst>
            <a:ext uri="{FF2B5EF4-FFF2-40B4-BE49-F238E27FC236}">
              <a16:creationId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0" name="Picture 185" descr="spacer01">
          <a:extLst>
            <a:ext uri="{FF2B5EF4-FFF2-40B4-BE49-F238E27FC236}">
              <a16:creationId xmlns:a16="http://schemas.microsoft.com/office/drawing/2014/main" id="{00000000-0008-0000-06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1" name="Picture 186" descr="spacer01">
          <a:extLst>
            <a:ext uri="{FF2B5EF4-FFF2-40B4-BE49-F238E27FC236}">
              <a16:creationId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2" name="Picture 187" descr="spacer01">
          <a:extLst>
            <a:ext uri="{FF2B5EF4-FFF2-40B4-BE49-F238E27FC236}">
              <a16:creationId xmlns:a16="http://schemas.microsoft.com/office/drawing/2014/main" id="{00000000-0008-0000-06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3" name="Picture 188" descr="spacer01">
          <a:extLst>
            <a:ext uri="{FF2B5EF4-FFF2-40B4-BE49-F238E27FC236}">
              <a16:creationId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4" name="Picture 189" descr="spacer01">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5" name="Picture 190" descr="spacer01">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6" name="Picture 191" descr="spacer01">
          <a:extLst>
            <a:ext uri="{FF2B5EF4-FFF2-40B4-BE49-F238E27FC236}">
              <a16:creationId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7" name="Picture 192" descr="spacer01">
          <a:extLst>
            <a:ext uri="{FF2B5EF4-FFF2-40B4-BE49-F238E27FC236}">
              <a16:creationId xmlns:a16="http://schemas.microsoft.com/office/drawing/2014/main" id="{00000000-0008-0000-06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8" name="Picture 193" descr="spacer01">
          <a:extLst>
            <a:ext uri="{FF2B5EF4-FFF2-40B4-BE49-F238E27FC236}">
              <a16:creationId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9" name="Picture 194" descr="spacer01">
          <a:extLst>
            <a:ext uri="{FF2B5EF4-FFF2-40B4-BE49-F238E27FC236}">
              <a16:creationId xmlns:a16="http://schemas.microsoft.com/office/drawing/2014/main" id="{00000000-0008-0000-06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0" name="Picture 195" descr="spacer01">
          <a:extLst>
            <a:ext uri="{FF2B5EF4-FFF2-40B4-BE49-F238E27FC236}">
              <a16:creationId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1" name="Picture 196" descr="spacer01">
          <a:extLst>
            <a:ext uri="{FF2B5EF4-FFF2-40B4-BE49-F238E27FC236}">
              <a16:creationId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2" name="Picture 197" descr="spacer01">
          <a:extLst>
            <a:ext uri="{FF2B5EF4-FFF2-40B4-BE49-F238E27FC236}">
              <a16:creationId xmlns:a16="http://schemas.microsoft.com/office/drawing/2014/main" id="{00000000-0008-0000-06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3" name="Picture 198" descr="spacer01">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4" name="Picture 199" descr="spacer01">
          <a:extLst>
            <a:ext uri="{FF2B5EF4-FFF2-40B4-BE49-F238E27FC236}">
              <a16:creationId xmlns:a16="http://schemas.microsoft.com/office/drawing/2014/main" id="{00000000-0008-0000-06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5" name="Picture 200" descr="spacer01">
          <a:extLst>
            <a:ext uri="{FF2B5EF4-FFF2-40B4-BE49-F238E27FC236}">
              <a16:creationId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6" name="Picture 201" descr="spacer01">
          <a:extLst>
            <a:ext uri="{FF2B5EF4-FFF2-40B4-BE49-F238E27FC236}">
              <a16:creationId xmlns:a16="http://schemas.microsoft.com/office/drawing/2014/main" id="{00000000-0008-0000-06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7" name="Picture 202" descr="spacer01">
          <a:extLst>
            <a:ext uri="{FF2B5EF4-FFF2-40B4-BE49-F238E27FC236}">
              <a16:creationId xmlns:a16="http://schemas.microsoft.com/office/drawing/2014/main" id="{00000000-0008-0000-06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8" name="Picture 203" descr="spacer01">
          <a:extLst>
            <a:ext uri="{FF2B5EF4-FFF2-40B4-BE49-F238E27FC236}">
              <a16:creationId xmlns:a16="http://schemas.microsoft.com/office/drawing/2014/main" id="{00000000-0008-0000-06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9" name="Picture 204" descr="spacer01">
          <a:extLst>
            <a:ext uri="{FF2B5EF4-FFF2-40B4-BE49-F238E27FC236}">
              <a16:creationId xmlns:a16="http://schemas.microsoft.com/office/drawing/2014/main" id="{00000000-0008-0000-06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80" name="Picture 205" descr="spacer01">
          <a:extLst>
            <a:ext uri="{FF2B5EF4-FFF2-40B4-BE49-F238E27FC236}">
              <a16:creationId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81" name="Picture 206" descr="spacer01">
          <a:extLst>
            <a:ext uri="{FF2B5EF4-FFF2-40B4-BE49-F238E27FC236}">
              <a16:creationId xmlns:a16="http://schemas.microsoft.com/office/drawing/2014/main" id="{00000000-0008-0000-06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82" name="Picture 207" descr="spacer01">
          <a:extLst>
            <a:ext uri="{FF2B5EF4-FFF2-40B4-BE49-F238E27FC236}">
              <a16:creationId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83" name="Picture 208" descr="spacer01">
          <a:extLst>
            <a:ext uri="{FF2B5EF4-FFF2-40B4-BE49-F238E27FC236}">
              <a16:creationId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21</xdr:col>
      <xdr:colOff>0</xdr:colOff>
      <xdr:row>347</xdr:row>
      <xdr:rowOff>0</xdr:rowOff>
    </xdr:from>
    <xdr:ext cx="9525" cy="38100"/>
    <xdr:pic>
      <xdr:nvPicPr>
        <xdr:cNvPr id="2" name="Picture 104" descr="spacer0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 name="Picture 170" descr="spacer0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4" name="Picture 171" descr="spacer0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5" name="Picture 172" descr="spacer0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6" name="Picture 173" descr="spacer0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7" name="Picture 174" descr="spacer0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8" name="Picture 175" descr="spacer0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9" name="Picture 176" descr="spacer01">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0" name="Picture 177" descr="spacer0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1" name="Picture 178" descr="spacer01">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2" name="Picture 179" descr="spacer0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3" name="Picture 180" descr="spacer01">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4" name="Picture 181" descr="spacer01">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5" name="Picture 182" descr="spacer01">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6" name="Picture 183" descr="spacer01">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7" name="Picture 184" descr="spacer01">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8" name="Picture 185" descr="spacer01">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9" name="Picture 186" descr="spacer01">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0" name="Picture 187" descr="spacer01">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1" name="Picture 188" descr="spacer01">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2" name="Picture 189" descr="spacer0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3" name="Picture 190" descr="spacer01">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4" name="Picture 191" descr="spacer01">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5" name="Picture 192" descr="spacer01">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6" name="Picture 193" descr="spacer01">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7" name="Picture 194" descr="spacer01">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8" name="Picture 195" descr="spacer01">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9" name="Picture 196" descr="spacer01">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0" name="Picture 197" descr="spacer01">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1" name="Picture 198" descr="spacer01">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2" name="Picture 199" descr="spacer01">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3" name="Picture 200" descr="spacer01">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4" name="Picture 201" descr="spacer01">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5" name="Picture 202" descr="spacer01">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6" name="Picture 203" descr="spacer01">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7" name="Picture 204" descr="spacer01">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8" name="Picture 205" descr="spacer01">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9" name="Picture 206" descr="spacer01">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40" name="Picture 207" descr="spacer01">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41" name="Picture 208" descr="spacer01">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2" name="Picture 437" descr="spacer01">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3" name="Picture 438" descr="spacer01">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4" name="Picture 439" descr="spacer01">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5" name="Picture 440" descr="spacer01">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6" name="Picture 441" descr="spacer01">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7" name="Picture 442" descr="spacer01">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8" name="Picture 443" descr="spacer01">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9" name="Picture 444" descr="spacer01">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0" name="Picture 445" descr="spacer01">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1" name="Picture 446" descr="spacer01">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2" name="Picture 447" descr="spacer01">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3" name="Picture 448" descr="spacer01">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4" name="Picture 449" descr="spacer01">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5" name="Picture 450" descr="spacer01">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6" name="Picture 451" descr="spacer01">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7" name="Picture 452" descr="spacer01">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8" name="Picture 453" descr="spacer01">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9" name="Picture 454" descr="spacer01">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0" name="Picture 455" descr="spacer01">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1" name="Picture 456" descr="spacer01">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2" name="Picture 457" descr="spacer01">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3" name="Picture 458" descr="spacer01">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4" name="Picture 459" descr="spacer01">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5" name="Picture 460" descr="spacer01">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6" name="Picture 461" descr="spacer01">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7" name="Picture 462" descr="spacer01">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8" name="Picture 463" descr="spacer01">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9" name="Picture 464" descr="spacer01">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0" name="Picture 465" descr="spacer01">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1" name="Picture 466" descr="spacer01">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2" name="Picture 467" descr="spacer01">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3" name="Picture 468" descr="spacer01">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4" name="Picture 469" descr="spacer01">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5" name="Picture 470" descr="spacer01">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6" name="Picture 471" descr="spacer01">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7" name="Picture 472" descr="spacer01">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8" name="Picture 473" descr="spacer01">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9" name="Picture 474" descr="spacer01">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80" name="Picture 475" descr="spacer01">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81" name="Picture 476" descr="spacer01">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2" name="Picture 477" descr="spacer01">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3" name="Picture 478" descr="spacer01">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4" name="Picture 479" descr="spacer01">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5" name="Picture 480" descr="spacer01">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6" name="Picture 481" descr="spacer01">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7" name="Picture 482" descr="spacer01">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8" name="Picture 483" descr="spacer01">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9" name="Picture 484" descr="spacer01">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0" name="Picture 485" descr="spacer01">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1" name="Picture 486" descr="spacer01">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2" name="Picture 487" descr="spacer01">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3" name="Picture 488" descr="spacer01">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4" name="Picture 489" descr="spacer01">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5" name="Picture 490" descr="spacer01">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6" name="Picture 491" descr="spacer01">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7" name="Picture 492" descr="spacer01">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8" name="Picture 493" descr="spacer01">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9" name="Picture 494" descr="spacer01">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0" name="Picture 495" descr="spacer01">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1" name="Picture 496" descr="spacer01">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2" name="Picture 497" descr="spacer01">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3" name="Picture 498" descr="spacer01">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4" name="Picture 499" descr="spacer01">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5" name="Picture 500" descr="spacer01">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6" name="Picture 501" descr="spacer01">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7" name="Picture 502" descr="spacer01">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8" name="Picture 503" descr="spacer01">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9" name="Picture 504" descr="spacer01">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0" name="Picture 505" descr="spacer01">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1" name="Picture 506" descr="spacer01">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2" name="Picture 507" descr="spacer01">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3" name="Picture 508" descr="spacer01">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4" name="Picture 509" descr="spacer01">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5" name="Picture 510" descr="spacer01">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6" name="Picture 511" descr="spacer01">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7" name="Picture 512" descr="spacer01">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8" name="Picture 513" descr="spacer01">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9" name="Picture 514" descr="spacer01">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20" name="Picture 515" descr="spacer01">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21" name="Picture 516" descr="spacer01">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2" name="Picture 517" descr="spacer01">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3" name="Picture 518" descr="spacer01">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4" name="Picture 519" descr="spacer01">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5" name="Picture 520" descr="spacer01">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6" name="Picture 521" descr="spacer01">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7" name="Picture 522" descr="spacer01">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8" name="Picture 523" descr="spacer01">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9" name="Picture 524" descr="spacer01">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0" name="Picture 525" descr="spacer01">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1" name="Picture 526" descr="spacer01">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2" name="Picture 527" descr="spacer01">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3" name="Picture 528" descr="spacer01">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4" name="Picture 529" descr="spacer01">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5" name="Picture 530" descr="spacer01">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6" name="Picture 531" descr="spacer01">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7" name="Picture 532" descr="spacer01">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8" name="Picture 533" descr="spacer01">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9" name="Picture 534" descr="spacer01">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0" name="Picture 535" descr="spacer01">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1" name="Picture 536" descr="spacer01">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2" name="Picture 537" descr="spacer01">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3" name="Picture 538" descr="spacer01">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4" name="Picture 539" descr="spacer01">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5" name="Picture 540" descr="spacer01">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6" name="Picture 541" descr="spacer01">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7" name="Picture 542" descr="spacer01">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8" name="Picture 543" descr="spacer01">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9" name="Picture 544" descr="spacer01">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0" name="Picture 545" descr="spacer01">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1" name="Picture 546" descr="spacer01">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2" name="Picture 547" descr="spacer01">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3" name="Picture 548" descr="spacer01">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4" name="Picture 549" descr="spacer01">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5" name="Picture 550" descr="spacer01">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6" name="Picture 551" descr="spacer01">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7" name="Picture 552" descr="spacer01">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8" name="Picture 553" descr="spacer01">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9" name="Picture 554" descr="spacer01">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60" name="Picture 555" descr="spacer01">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61" name="Picture 556" descr="spacer01">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2" name="Picture 557" descr="spacer01">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3" name="Picture 558" descr="spacer01">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4" name="Picture 559" descr="spacer01">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5" name="Picture 560" descr="spacer01">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6" name="Picture 561" descr="spacer01">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7" name="Picture 562" descr="spacer01">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8" name="Picture 563" descr="spacer01">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9" name="Picture 564" descr="spacer01">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0" name="Picture 565" descr="spacer01">
          <a:extLst>
            <a:ext uri="{FF2B5EF4-FFF2-40B4-BE49-F238E27FC236}">
              <a16:creationId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1" name="Picture 566" descr="spacer01">
          <a:extLst>
            <a:ext uri="{FF2B5EF4-FFF2-40B4-BE49-F238E27FC236}">
              <a16:creationId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2" name="Picture 567" descr="spacer01">
          <a:extLst>
            <a:ext uri="{FF2B5EF4-FFF2-40B4-BE49-F238E27FC236}">
              <a16:creationId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3" name="Picture 568" descr="spacer01">
          <a:extLst>
            <a:ext uri="{FF2B5EF4-FFF2-40B4-BE49-F238E27FC236}">
              <a16:creationId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4" name="Picture 569" descr="spacer01">
          <a:extLst>
            <a:ext uri="{FF2B5EF4-FFF2-40B4-BE49-F238E27FC236}">
              <a16:creationId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5" name="Picture 570" descr="spacer01">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6" name="Picture 571" descr="spacer01">
          <a:extLst>
            <a:ext uri="{FF2B5EF4-FFF2-40B4-BE49-F238E27FC236}">
              <a16:creationId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7" name="Picture 572" descr="spacer01">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8" name="Picture 573" descr="spacer01">
          <a:extLst>
            <a:ext uri="{FF2B5EF4-FFF2-40B4-BE49-F238E27FC236}">
              <a16:creationId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9" name="Picture 574" descr="spacer01">
          <a:extLst>
            <a:ext uri="{FF2B5EF4-FFF2-40B4-BE49-F238E27FC236}">
              <a16:creationId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0" name="Picture 575" descr="spacer01">
          <a:extLst>
            <a:ext uri="{FF2B5EF4-FFF2-40B4-BE49-F238E27FC236}">
              <a16:creationId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1" name="Picture 576" descr="spacer01">
          <a:extLst>
            <a:ext uri="{FF2B5EF4-FFF2-40B4-BE49-F238E27FC236}">
              <a16:creationId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2" name="Picture 577" descr="spacer01">
          <a:extLst>
            <a:ext uri="{FF2B5EF4-FFF2-40B4-BE49-F238E27FC236}">
              <a16:creationId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3" name="Picture 578" descr="spacer01">
          <a:extLst>
            <a:ext uri="{FF2B5EF4-FFF2-40B4-BE49-F238E27FC236}">
              <a16:creationId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4" name="Picture 579" descr="spacer01">
          <a:extLst>
            <a:ext uri="{FF2B5EF4-FFF2-40B4-BE49-F238E27FC236}">
              <a16:creationId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5" name="Picture 580" descr="spacer01">
          <a:extLst>
            <a:ext uri="{FF2B5EF4-FFF2-40B4-BE49-F238E27FC236}">
              <a16:creationId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6" name="Picture 581" descr="spacer01">
          <a:extLst>
            <a:ext uri="{FF2B5EF4-FFF2-40B4-BE49-F238E27FC236}">
              <a16:creationId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7" name="Picture 582" descr="spacer01">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8" name="Picture 583" descr="spacer01">
          <a:extLst>
            <a:ext uri="{FF2B5EF4-FFF2-40B4-BE49-F238E27FC236}">
              <a16:creationId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9" name="Picture 584" descr="spacer01">
          <a:extLst>
            <a:ext uri="{FF2B5EF4-FFF2-40B4-BE49-F238E27FC236}">
              <a16:creationId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0" name="Picture 585" descr="spacer01">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1" name="Picture 586" descr="spacer01">
          <a:extLst>
            <a:ext uri="{FF2B5EF4-FFF2-40B4-BE49-F238E27FC236}">
              <a16:creationId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2" name="Picture 587" descr="spacer01">
          <a:extLst>
            <a:ext uri="{FF2B5EF4-FFF2-40B4-BE49-F238E27FC236}">
              <a16:creationId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3" name="Picture 588" descr="spacer01">
          <a:extLst>
            <a:ext uri="{FF2B5EF4-FFF2-40B4-BE49-F238E27FC236}">
              <a16:creationId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4" name="Picture 589" descr="spacer01">
          <a:extLst>
            <a:ext uri="{FF2B5EF4-FFF2-40B4-BE49-F238E27FC236}">
              <a16:creationId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5" name="Picture 590" descr="spacer01">
          <a:extLst>
            <a:ext uri="{FF2B5EF4-FFF2-40B4-BE49-F238E27FC236}">
              <a16:creationId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6" name="Picture 591" descr="spacer01">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7" name="Picture 592" descr="spacer01">
          <a:extLst>
            <a:ext uri="{FF2B5EF4-FFF2-40B4-BE49-F238E27FC236}">
              <a16:creationId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8" name="Picture 593" descr="spacer01">
          <a:extLst>
            <a:ext uri="{FF2B5EF4-FFF2-40B4-BE49-F238E27FC236}">
              <a16:creationId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9" name="Picture 594" descr="spacer01">
          <a:extLst>
            <a:ext uri="{FF2B5EF4-FFF2-40B4-BE49-F238E27FC236}">
              <a16:creationId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200" name="Picture 595" descr="spacer01">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201" name="Picture 596" descr="spacer01">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2" name="Picture 597" descr="spacer01">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3" name="Picture 598" descr="spacer01">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4" name="Picture 599" descr="spacer01">
          <a:extLst>
            <a:ext uri="{FF2B5EF4-FFF2-40B4-BE49-F238E27FC236}">
              <a16:creationId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5" name="Picture 600" descr="spacer01">
          <a:extLst>
            <a:ext uri="{FF2B5EF4-FFF2-40B4-BE49-F238E27FC236}">
              <a16:creationId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6" name="Picture 601" descr="spacer01">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7" name="Picture 602" descr="spacer01">
          <a:extLst>
            <a:ext uri="{FF2B5EF4-FFF2-40B4-BE49-F238E27FC236}">
              <a16:creationId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8" name="Picture 603" descr="spacer01">
          <a:extLst>
            <a:ext uri="{FF2B5EF4-FFF2-40B4-BE49-F238E27FC236}">
              <a16:creationId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9" name="Picture 604" descr="spacer01">
          <a:extLst>
            <a:ext uri="{FF2B5EF4-FFF2-40B4-BE49-F238E27FC236}">
              <a16:creationId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0" name="Picture 605" descr="spacer01">
          <a:extLst>
            <a:ext uri="{FF2B5EF4-FFF2-40B4-BE49-F238E27FC236}">
              <a16:creationId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1" name="Picture 606" descr="spacer01">
          <a:extLst>
            <a:ext uri="{FF2B5EF4-FFF2-40B4-BE49-F238E27FC236}">
              <a16:creationId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2" name="Picture 607" descr="spacer01">
          <a:extLst>
            <a:ext uri="{FF2B5EF4-FFF2-40B4-BE49-F238E27FC236}">
              <a16:creationId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3" name="Picture 608" descr="spacer01">
          <a:extLst>
            <a:ext uri="{FF2B5EF4-FFF2-40B4-BE49-F238E27FC236}">
              <a16:creationId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4" name="Picture 609" descr="spacer01">
          <a:extLst>
            <a:ext uri="{FF2B5EF4-FFF2-40B4-BE49-F238E27FC236}">
              <a16:creationId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5" name="Picture 610" descr="spacer01">
          <a:extLst>
            <a:ext uri="{FF2B5EF4-FFF2-40B4-BE49-F238E27FC236}">
              <a16:creationId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6" name="Picture 611" descr="spacer01">
          <a:extLst>
            <a:ext uri="{FF2B5EF4-FFF2-40B4-BE49-F238E27FC236}">
              <a16:creationId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7" name="Picture 612" descr="spacer01">
          <a:extLst>
            <a:ext uri="{FF2B5EF4-FFF2-40B4-BE49-F238E27FC236}">
              <a16:creationId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8" name="Picture 613" descr="spacer01">
          <a:extLst>
            <a:ext uri="{FF2B5EF4-FFF2-40B4-BE49-F238E27FC236}">
              <a16:creationId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9" name="Picture 614" descr="spacer01">
          <a:extLst>
            <a:ext uri="{FF2B5EF4-FFF2-40B4-BE49-F238E27FC236}">
              <a16:creationId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0" name="Picture 615" descr="spacer01">
          <a:extLst>
            <a:ext uri="{FF2B5EF4-FFF2-40B4-BE49-F238E27FC236}">
              <a16:creationId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1" name="Picture 616" descr="spacer01">
          <a:extLst>
            <a:ext uri="{FF2B5EF4-FFF2-40B4-BE49-F238E27FC236}">
              <a16:creationId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2" name="Picture 617" descr="spacer01">
          <a:extLst>
            <a:ext uri="{FF2B5EF4-FFF2-40B4-BE49-F238E27FC236}">
              <a16:creationId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3" name="Picture 618" descr="spacer01">
          <a:extLst>
            <a:ext uri="{FF2B5EF4-FFF2-40B4-BE49-F238E27FC236}">
              <a16:creationId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4" name="Picture 619" descr="spacer01">
          <a:extLst>
            <a:ext uri="{FF2B5EF4-FFF2-40B4-BE49-F238E27FC236}">
              <a16:creationId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5" name="Picture 620" descr="spacer01">
          <a:extLst>
            <a:ext uri="{FF2B5EF4-FFF2-40B4-BE49-F238E27FC236}">
              <a16:creationId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6" name="Picture 621" descr="spacer01">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7" name="Picture 622" descr="spacer01">
          <a:extLst>
            <a:ext uri="{FF2B5EF4-FFF2-40B4-BE49-F238E27FC236}">
              <a16:creationId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8" name="Picture 623" descr="spacer01">
          <a:extLst>
            <a:ext uri="{FF2B5EF4-FFF2-40B4-BE49-F238E27FC236}">
              <a16:creationId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9" name="Picture 624" descr="spacer01">
          <a:extLst>
            <a:ext uri="{FF2B5EF4-FFF2-40B4-BE49-F238E27FC236}">
              <a16:creationId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0" name="Picture 625" descr="spacer01">
          <a:extLst>
            <a:ext uri="{FF2B5EF4-FFF2-40B4-BE49-F238E27FC236}">
              <a16:creationId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1" name="Picture 626" descr="spacer01">
          <a:extLst>
            <a:ext uri="{FF2B5EF4-FFF2-40B4-BE49-F238E27FC236}">
              <a16:creationId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2" name="Picture 627" descr="spacer01">
          <a:extLst>
            <a:ext uri="{FF2B5EF4-FFF2-40B4-BE49-F238E27FC236}">
              <a16:creationId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3" name="Picture 628" descr="spacer01">
          <a:extLst>
            <a:ext uri="{FF2B5EF4-FFF2-40B4-BE49-F238E27FC236}">
              <a16:creationId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4" name="Picture 629" descr="spacer01">
          <a:extLst>
            <a:ext uri="{FF2B5EF4-FFF2-40B4-BE49-F238E27FC236}">
              <a16:creationId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5" name="Picture 630" descr="spacer01">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6" name="Picture 631" descr="spacer01">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7" name="Picture 632" descr="spacer01">
          <a:extLst>
            <a:ext uri="{FF2B5EF4-FFF2-40B4-BE49-F238E27FC236}">
              <a16:creationId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8" name="Picture 633" descr="spacer01">
          <a:extLst>
            <a:ext uri="{FF2B5EF4-FFF2-40B4-BE49-F238E27FC236}">
              <a16:creationId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9" name="Picture 634" descr="spacer01">
          <a:extLst>
            <a:ext uri="{FF2B5EF4-FFF2-40B4-BE49-F238E27FC236}">
              <a16:creationId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40" name="Picture 635" descr="spacer01">
          <a:extLst>
            <a:ext uri="{FF2B5EF4-FFF2-40B4-BE49-F238E27FC236}">
              <a16:creationId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41" name="Picture 636" descr="spacer01">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2" name="Picture 597" descr="spacer01">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3" name="Picture 598" descr="spacer01">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4" name="Picture 599" descr="spacer01">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5" name="Picture 600" descr="spacer01">
          <a:extLst>
            <a:ext uri="{FF2B5EF4-FFF2-40B4-BE49-F238E27FC236}">
              <a16:creationId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6" name="Picture 601" descr="spacer01">
          <a:extLst>
            <a:ext uri="{FF2B5EF4-FFF2-40B4-BE49-F238E27FC236}">
              <a16:creationId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7" name="Picture 602" descr="spacer01">
          <a:extLst>
            <a:ext uri="{FF2B5EF4-FFF2-40B4-BE49-F238E27FC236}">
              <a16:creationId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8" name="Picture 603" descr="spacer01">
          <a:extLst>
            <a:ext uri="{FF2B5EF4-FFF2-40B4-BE49-F238E27FC236}">
              <a16:creationId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9" name="Picture 604" descr="spacer01">
          <a:extLst>
            <a:ext uri="{FF2B5EF4-FFF2-40B4-BE49-F238E27FC236}">
              <a16:creationId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0" name="Picture 605" descr="spacer01">
          <a:extLst>
            <a:ext uri="{FF2B5EF4-FFF2-40B4-BE49-F238E27FC236}">
              <a16:creationId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1" name="Picture 606" descr="spacer01">
          <a:extLst>
            <a:ext uri="{FF2B5EF4-FFF2-40B4-BE49-F238E27FC236}">
              <a16:creationId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2" name="Picture 607" descr="spacer01">
          <a:extLst>
            <a:ext uri="{FF2B5EF4-FFF2-40B4-BE49-F238E27FC236}">
              <a16:creationId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3" name="Picture 608" descr="spacer01">
          <a:extLst>
            <a:ext uri="{FF2B5EF4-FFF2-40B4-BE49-F238E27FC236}">
              <a16:creationId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4" name="Picture 609" descr="spacer01">
          <a:extLst>
            <a:ext uri="{FF2B5EF4-FFF2-40B4-BE49-F238E27FC236}">
              <a16:creationId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5" name="Picture 610" descr="spacer01">
          <a:extLst>
            <a:ext uri="{FF2B5EF4-FFF2-40B4-BE49-F238E27FC236}">
              <a16:creationId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6" name="Picture 611" descr="spacer01">
          <a:extLst>
            <a:ext uri="{FF2B5EF4-FFF2-40B4-BE49-F238E27FC236}">
              <a16:creationId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7" name="Picture 612" descr="spacer01">
          <a:extLst>
            <a:ext uri="{FF2B5EF4-FFF2-40B4-BE49-F238E27FC236}">
              <a16:creationId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8" name="Picture 613" descr="spacer01">
          <a:extLst>
            <a:ext uri="{FF2B5EF4-FFF2-40B4-BE49-F238E27FC236}">
              <a16:creationId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9" name="Picture 614" descr="spacer01">
          <a:extLst>
            <a:ext uri="{FF2B5EF4-FFF2-40B4-BE49-F238E27FC236}">
              <a16:creationId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0" name="Picture 615" descr="spacer01">
          <a:extLst>
            <a:ext uri="{FF2B5EF4-FFF2-40B4-BE49-F238E27FC236}">
              <a16:creationId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1" name="Picture 616" descr="spacer01">
          <a:extLst>
            <a:ext uri="{FF2B5EF4-FFF2-40B4-BE49-F238E27FC236}">
              <a16:creationId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2" name="Picture 617" descr="spacer01">
          <a:extLst>
            <a:ext uri="{FF2B5EF4-FFF2-40B4-BE49-F238E27FC236}">
              <a16:creationId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3" name="Picture 618" descr="spacer01">
          <a:extLst>
            <a:ext uri="{FF2B5EF4-FFF2-40B4-BE49-F238E27FC236}">
              <a16:creationId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4" name="Picture 619" descr="spacer01">
          <a:extLst>
            <a:ext uri="{FF2B5EF4-FFF2-40B4-BE49-F238E27FC236}">
              <a16:creationId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5" name="Picture 620" descr="spacer01">
          <a:extLst>
            <a:ext uri="{FF2B5EF4-FFF2-40B4-BE49-F238E27FC236}">
              <a16:creationId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6" name="Picture 621" descr="spacer01">
          <a:extLst>
            <a:ext uri="{FF2B5EF4-FFF2-40B4-BE49-F238E27FC236}">
              <a16:creationId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7" name="Picture 622" descr="spacer01">
          <a:extLst>
            <a:ext uri="{FF2B5EF4-FFF2-40B4-BE49-F238E27FC236}">
              <a16:creationId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8" name="Picture 623" descr="spacer01">
          <a:extLst>
            <a:ext uri="{FF2B5EF4-FFF2-40B4-BE49-F238E27FC236}">
              <a16:creationId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9" name="Picture 624" descr="spacer01">
          <a:extLst>
            <a:ext uri="{FF2B5EF4-FFF2-40B4-BE49-F238E27FC236}">
              <a16:creationId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0" name="Picture 625" descr="spacer01">
          <a:extLst>
            <a:ext uri="{FF2B5EF4-FFF2-40B4-BE49-F238E27FC236}">
              <a16:creationId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1" name="Picture 626" descr="spacer01">
          <a:extLst>
            <a:ext uri="{FF2B5EF4-FFF2-40B4-BE49-F238E27FC236}">
              <a16:creationId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2" name="Picture 627" descr="spacer01">
          <a:extLst>
            <a:ext uri="{FF2B5EF4-FFF2-40B4-BE49-F238E27FC236}">
              <a16:creationId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3" name="Picture 628" descr="spacer01">
          <a:extLst>
            <a:ext uri="{FF2B5EF4-FFF2-40B4-BE49-F238E27FC236}">
              <a16:creationId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4" name="Picture 629" descr="spacer01">
          <a:extLst>
            <a:ext uri="{FF2B5EF4-FFF2-40B4-BE49-F238E27FC236}">
              <a16:creationId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5" name="Picture 630" descr="spacer01">
          <a:extLst>
            <a:ext uri="{FF2B5EF4-FFF2-40B4-BE49-F238E27FC236}">
              <a16:creationId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6" name="Picture 631" descr="spacer01">
          <a:extLst>
            <a:ext uri="{FF2B5EF4-FFF2-40B4-BE49-F238E27FC236}">
              <a16:creationId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7" name="Picture 632" descr="spacer01">
          <a:extLst>
            <a:ext uri="{FF2B5EF4-FFF2-40B4-BE49-F238E27FC236}">
              <a16:creationId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8" name="Picture 633" descr="spacer01">
          <a:extLst>
            <a:ext uri="{FF2B5EF4-FFF2-40B4-BE49-F238E27FC236}">
              <a16:creationId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9" name="Picture 634" descr="spacer01">
          <a:extLst>
            <a:ext uri="{FF2B5EF4-FFF2-40B4-BE49-F238E27FC236}">
              <a16:creationId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80" name="Picture 635" descr="spacer01">
          <a:extLst>
            <a:ext uri="{FF2B5EF4-FFF2-40B4-BE49-F238E27FC236}">
              <a16:creationId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81" name="Picture 636" descr="spacer01">
          <a:extLst>
            <a:ext uri="{FF2B5EF4-FFF2-40B4-BE49-F238E27FC236}">
              <a16:creationId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2" name="Picture 104" descr="spacer01">
          <a:extLst>
            <a:ext uri="{FF2B5EF4-FFF2-40B4-BE49-F238E27FC236}">
              <a16:creationId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3" name="Picture 170" descr="spacer01">
          <a:extLst>
            <a:ext uri="{FF2B5EF4-FFF2-40B4-BE49-F238E27FC236}">
              <a16:creationId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4" name="Picture 171" descr="spacer01">
          <a:extLst>
            <a:ext uri="{FF2B5EF4-FFF2-40B4-BE49-F238E27FC236}">
              <a16:creationId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5" name="Picture 172" descr="spacer01">
          <a:extLst>
            <a:ext uri="{FF2B5EF4-FFF2-40B4-BE49-F238E27FC236}">
              <a16:creationId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6" name="Picture 173" descr="spacer01">
          <a:extLst>
            <a:ext uri="{FF2B5EF4-FFF2-40B4-BE49-F238E27FC236}">
              <a16:creationId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7" name="Picture 174" descr="spacer01">
          <a:extLst>
            <a:ext uri="{FF2B5EF4-FFF2-40B4-BE49-F238E27FC236}">
              <a16:creationId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8" name="Picture 175" descr="spacer01">
          <a:extLst>
            <a:ext uri="{FF2B5EF4-FFF2-40B4-BE49-F238E27FC236}">
              <a16:creationId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9" name="Picture 176" descr="spacer01">
          <a:extLst>
            <a:ext uri="{FF2B5EF4-FFF2-40B4-BE49-F238E27FC236}">
              <a16:creationId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0" name="Picture 177" descr="spacer01">
          <a:extLst>
            <a:ext uri="{FF2B5EF4-FFF2-40B4-BE49-F238E27FC236}">
              <a16:creationId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1" name="Picture 178" descr="spacer01">
          <a:extLst>
            <a:ext uri="{FF2B5EF4-FFF2-40B4-BE49-F238E27FC236}">
              <a16:creationId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2" name="Picture 179" descr="spacer01">
          <a:extLst>
            <a:ext uri="{FF2B5EF4-FFF2-40B4-BE49-F238E27FC236}">
              <a16:creationId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3" name="Picture 180" descr="spacer01">
          <a:extLst>
            <a:ext uri="{FF2B5EF4-FFF2-40B4-BE49-F238E27FC236}">
              <a16:creationId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4" name="Picture 181" descr="spacer01">
          <a:extLst>
            <a:ext uri="{FF2B5EF4-FFF2-40B4-BE49-F238E27FC236}">
              <a16:creationId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5" name="Picture 182" descr="spacer01">
          <a:extLst>
            <a:ext uri="{FF2B5EF4-FFF2-40B4-BE49-F238E27FC236}">
              <a16:creationId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6" name="Picture 183" descr="spacer01">
          <a:extLst>
            <a:ext uri="{FF2B5EF4-FFF2-40B4-BE49-F238E27FC236}">
              <a16:creationId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7" name="Picture 184" descr="spacer01">
          <a:extLst>
            <a:ext uri="{FF2B5EF4-FFF2-40B4-BE49-F238E27FC236}">
              <a16:creationId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8" name="Picture 185" descr="spacer01">
          <a:extLst>
            <a:ext uri="{FF2B5EF4-FFF2-40B4-BE49-F238E27FC236}">
              <a16:creationId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9" name="Picture 186" descr="spacer01">
          <a:extLst>
            <a:ext uri="{FF2B5EF4-FFF2-40B4-BE49-F238E27FC236}">
              <a16:creationId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0" name="Picture 187" descr="spacer01">
          <a:extLst>
            <a:ext uri="{FF2B5EF4-FFF2-40B4-BE49-F238E27FC236}">
              <a16:creationId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1" name="Picture 188" descr="spacer01">
          <a:extLst>
            <a:ext uri="{FF2B5EF4-FFF2-40B4-BE49-F238E27FC236}">
              <a16:creationId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2" name="Picture 189" descr="spacer01">
          <a:extLst>
            <a:ext uri="{FF2B5EF4-FFF2-40B4-BE49-F238E27FC236}">
              <a16:creationId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3" name="Picture 190" descr="spacer01">
          <a:extLst>
            <a:ext uri="{FF2B5EF4-FFF2-40B4-BE49-F238E27FC236}">
              <a16:creationId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4" name="Picture 191" descr="spacer01">
          <a:extLst>
            <a:ext uri="{FF2B5EF4-FFF2-40B4-BE49-F238E27FC236}">
              <a16:creationId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5" name="Picture 192" descr="spacer01">
          <a:extLst>
            <a:ext uri="{FF2B5EF4-FFF2-40B4-BE49-F238E27FC236}">
              <a16:creationId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6" name="Picture 193" descr="spacer01">
          <a:extLst>
            <a:ext uri="{FF2B5EF4-FFF2-40B4-BE49-F238E27FC236}">
              <a16:creationId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7" name="Picture 194" descr="spacer01">
          <a:extLst>
            <a:ext uri="{FF2B5EF4-FFF2-40B4-BE49-F238E27FC236}">
              <a16:creationId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8" name="Picture 195" descr="spacer01">
          <a:extLst>
            <a:ext uri="{FF2B5EF4-FFF2-40B4-BE49-F238E27FC236}">
              <a16:creationId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9" name="Picture 196" descr="spacer01">
          <a:extLst>
            <a:ext uri="{FF2B5EF4-FFF2-40B4-BE49-F238E27FC236}">
              <a16:creationId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0" name="Picture 197" descr="spacer01">
          <a:extLst>
            <a:ext uri="{FF2B5EF4-FFF2-40B4-BE49-F238E27FC236}">
              <a16:creationId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1" name="Picture 198" descr="spacer01">
          <a:extLst>
            <a:ext uri="{FF2B5EF4-FFF2-40B4-BE49-F238E27FC236}">
              <a16:creationId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2" name="Picture 199" descr="spacer01">
          <a:extLst>
            <a:ext uri="{FF2B5EF4-FFF2-40B4-BE49-F238E27FC236}">
              <a16:creationId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3" name="Picture 200" descr="spacer01">
          <a:extLst>
            <a:ext uri="{FF2B5EF4-FFF2-40B4-BE49-F238E27FC236}">
              <a16:creationId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4" name="Picture 201" descr="spacer01">
          <a:extLst>
            <a:ext uri="{FF2B5EF4-FFF2-40B4-BE49-F238E27FC236}">
              <a16:creationId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5" name="Picture 202" descr="spacer01">
          <a:extLst>
            <a:ext uri="{FF2B5EF4-FFF2-40B4-BE49-F238E27FC236}">
              <a16:creationId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6" name="Picture 203" descr="spacer01">
          <a:extLst>
            <a:ext uri="{FF2B5EF4-FFF2-40B4-BE49-F238E27FC236}">
              <a16:creationId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7" name="Picture 204" descr="spacer01">
          <a:extLst>
            <a:ext uri="{FF2B5EF4-FFF2-40B4-BE49-F238E27FC236}">
              <a16:creationId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8" name="Picture 205" descr="spacer01">
          <a:extLst>
            <a:ext uri="{FF2B5EF4-FFF2-40B4-BE49-F238E27FC236}">
              <a16:creationId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9" name="Picture 206" descr="spacer01">
          <a:extLst>
            <a:ext uri="{FF2B5EF4-FFF2-40B4-BE49-F238E27FC236}">
              <a16:creationId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20" name="Picture 207" descr="spacer01">
          <a:extLst>
            <a:ext uri="{FF2B5EF4-FFF2-40B4-BE49-F238E27FC236}">
              <a16:creationId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21" name="Picture 208" descr="spacer01">
          <a:extLst>
            <a:ext uri="{FF2B5EF4-FFF2-40B4-BE49-F238E27FC236}">
              <a16:creationId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2" name="Picture 597" descr="spacer01">
          <a:extLst>
            <a:ext uri="{FF2B5EF4-FFF2-40B4-BE49-F238E27FC236}">
              <a16:creationId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3" name="Picture 598" descr="spacer01">
          <a:extLst>
            <a:ext uri="{FF2B5EF4-FFF2-40B4-BE49-F238E27FC236}">
              <a16:creationId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4" name="Picture 599" descr="spacer01">
          <a:extLst>
            <a:ext uri="{FF2B5EF4-FFF2-40B4-BE49-F238E27FC236}">
              <a16:creationId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5" name="Picture 600" descr="spacer01">
          <a:extLst>
            <a:ext uri="{FF2B5EF4-FFF2-40B4-BE49-F238E27FC236}">
              <a16:creationId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6" name="Picture 601" descr="spacer01">
          <a:extLst>
            <a:ext uri="{FF2B5EF4-FFF2-40B4-BE49-F238E27FC236}">
              <a16:creationId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7" name="Picture 602" descr="spacer01">
          <a:extLst>
            <a:ext uri="{FF2B5EF4-FFF2-40B4-BE49-F238E27FC236}">
              <a16:creationId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8" name="Picture 603" descr="spacer01">
          <a:extLst>
            <a:ext uri="{FF2B5EF4-FFF2-40B4-BE49-F238E27FC236}">
              <a16:creationId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9" name="Picture 604" descr="spacer01">
          <a:extLst>
            <a:ext uri="{FF2B5EF4-FFF2-40B4-BE49-F238E27FC236}">
              <a16:creationId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0" name="Picture 605" descr="spacer01">
          <a:extLst>
            <a:ext uri="{FF2B5EF4-FFF2-40B4-BE49-F238E27FC236}">
              <a16:creationId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1" name="Picture 606" descr="spacer01">
          <a:extLst>
            <a:ext uri="{FF2B5EF4-FFF2-40B4-BE49-F238E27FC236}">
              <a16:creationId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2" name="Picture 607" descr="spacer01">
          <a:extLst>
            <a:ext uri="{FF2B5EF4-FFF2-40B4-BE49-F238E27FC236}">
              <a16:creationId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3" name="Picture 608" descr="spacer01">
          <a:extLst>
            <a:ext uri="{FF2B5EF4-FFF2-40B4-BE49-F238E27FC236}">
              <a16:creationId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4" name="Picture 609" descr="spacer01">
          <a:extLst>
            <a:ext uri="{FF2B5EF4-FFF2-40B4-BE49-F238E27FC236}">
              <a16:creationId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5" name="Picture 610" descr="spacer01">
          <a:extLst>
            <a:ext uri="{FF2B5EF4-FFF2-40B4-BE49-F238E27FC236}">
              <a16:creationId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6" name="Picture 611" descr="spacer01">
          <a:extLst>
            <a:ext uri="{FF2B5EF4-FFF2-40B4-BE49-F238E27FC236}">
              <a16:creationId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7" name="Picture 612" descr="spacer01">
          <a:extLst>
            <a:ext uri="{FF2B5EF4-FFF2-40B4-BE49-F238E27FC236}">
              <a16:creationId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8" name="Picture 613" descr="spacer01">
          <a:extLst>
            <a:ext uri="{FF2B5EF4-FFF2-40B4-BE49-F238E27FC236}">
              <a16:creationId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9" name="Picture 614" descr="spacer01">
          <a:extLst>
            <a:ext uri="{FF2B5EF4-FFF2-40B4-BE49-F238E27FC236}">
              <a16:creationId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0" name="Picture 615" descr="spacer01">
          <a:extLst>
            <a:ext uri="{FF2B5EF4-FFF2-40B4-BE49-F238E27FC236}">
              <a16:creationId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1" name="Picture 616" descr="spacer01">
          <a:extLst>
            <a:ext uri="{FF2B5EF4-FFF2-40B4-BE49-F238E27FC236}">
              <a16:creationId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2" name="Picture 617" descr="spacer01">
          <a:extLst>
            <a:ext uri="{FF2B5EF4-FFF2-40B4-BE49-F238E27FC236}">
              <a16:creationId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3" name="Picture 618" descr="spacer01">
          <a:extLst>
            <a:ext uri="{FF2B5EF4-FFF2-40B4-BE49-F238E27FC236}">
              <a16:creationId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4" name="Picture 619" descr="spacer01">
          <a:extLst>
            <a:ext uri="{FF2B5EF4-FFF2-40B4-BE49-F238E27FC236}">
              <a16:creationId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5" name="Picture 620" descr="spacer01">
          <a:extLst>
            <a:ext uri="{FF2B5EF4-FFF2-40B4-BE49-F238E27FC236}">
              <a16:creationId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6" name="Picture 621" descr="spacer01">
          <a:extLst>
            <a:ext uri="{FF2B5EF4-FFF2-40B4-BE49-F238E27FC236}">
              <a16:creationId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7" name="Picture 622" descr="spacer01">
          <a:extLst>
            <a:ext uri="{FF2B5EF4-FFF2-40B4-BE49-F238E27FC236}">
              <a16:creationId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8" name="Picture 623" descr="spacer01">
          <a:extLst>
            <a:ext uri="{FF2B5EF4-FFF2-40B4-BE49-F238E27FC236}">
              <a16:creationId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9" name="Picture 624" descr="spacer01">
          <a:extLst>
            <a:ext uri="{FF2B5EF4-FFF2-40B4-BE49-F238E27FC236}">
              <a16:creationId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0" name="Picture 625" descr="spacer01">
          <a:extLst>
            <a:ext uri="{FF2B5EF4-FFF2-40B4-BE49-F238E27FC236}">
              <a16:creationId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1" name="Picture 626" descr="spacer01">
          <a:extLst>
            <a:ext uri="{FF2B5EF4-FFF2-40B4-BE49-F238E27FC236}">
              <a16:creationId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2" name="Picture 627" descr="spacer01">
          <a:extLst>
            <a:ext uri="{FF2B5EF4-FFF2-40B4-BE49-F238E27FC236}">
              <a16:creationId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3" name="Picture 628" descr="spacer01">
          <a:extLst>
            <a:ext uri="{FF2B5EF4-FFF2-40B4-BE49-F238E27FC236}">
              <a16:creationId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4" name="Picture 629" descr="spacer01">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5" name="Picture 630" descr="spacer01">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6" name="Picture 631" descr="spacer01">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7" name="Picture 632" descr="spacer01">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8" name="Picture 633" descr="spacer01">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9" name="Picture 634" descr="spacer01">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60" name="Picture 635" descr="spacer01">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61" name="Picture 636" descr="spacer0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2" name="Picture 104" descr="spacer01">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3" name="Picture 170" descr="spacer01">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4" name="Picture 171" descr="spacer01">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5" name="Picture 172" descr="spacer01">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6" name="Picture 173" descr="spacer01">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7" name="Picture 174" descr="spacer01">
          <a:extLst>
            <a:ext uri="{FF2B5EF4-FFF2-40B4-BE49-F238E27FC236}">
              <a16:creationId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8" name="Picture 175" descr="spacer01">
          <a:extLst>
            <a:ext uri="{FF2B5EF4-FFF2-40B4-BE49-F238E27FC236}">
              <a16:creationId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9" name="Picture 176" descr="spacer01">
          <a:extLst>
            <a:ext uri="{FF2B5EF4-FFF2-40B4-BE49-F238E27FC236}">
              <a16:creationId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0" name="Picture 177" descr="spacer01">
          <a:extLst>
            <a:ext uri="{FF2B5EF4-FFF2-40B4-BE49-F238E27FC236}">
              <a16:creationId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1" name="Picture 178" descr="spacer01">
          <a:extLst>
            <a:ext uri="{FF2B5EF4-FFF2-40B4-BE49-F238E27FC236}">
              <a16:creationId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2" name="Picture 179" descr="spacer01">
          <a:extLst>
            <a:ext uri="{FF2B5EF4-FFF2-40B4-BE49-F238E27FC236}">
              <a16:creationId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3" name="Picture 180" descr="spacer01">
          <a:extLst>
            <a:ext uri="{FF2B5EF4-FFF2-40B4-BE49-F238E27FC236}">
              <a16:creationId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4" name="Picture 181" descr="spacer01">
          <a:extLst>
            <a:ext uri="{FF2B5EF4-FFF2-40B4-BE49-F238E27FC236}">
              <a16:creationId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5" name="Picture 182" descr="spacer01">
          <a:extLst>
            <a:ext uri="{FF2B5EF4-FFF2-40B4-BE49-F238E27FC236}">
              <a16:creationId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6" name="Picture 183" descr="spacer01">
          <a:extLst>
            <a:ext uri="{FF2B5EF4-FFF2-40B4-BE49-F238E27FC236}">
              <a16:creationId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7" name="Picture 184" descr="spacer01">
          <a:extLst>
            <a:ext uri="{FF2B5EF4-FFF2-40B4-BE49-F238E27FC236}">
              <a16:creationId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8" name="Picture 185" descr="spacer01">
          <a:extLst>
            <a:ext uri="{FF2B5EF4-FFF2-40B4-BE49-F238E27FC236}">
              <a16:creationId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9" name="Picture 186" descr="spacer01">
          <a:extLst>
            <a:ext uri="{FF2B5EF4-FFF2-40B4-BE49-F238E27FC236}">
              <a16:creationId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0" name="Picture 187" descr="spacer01">
          <a:extLst>
            <a:ext uri="{FF2B5EF4-FFF2-40B4-BE49-F238E27FC236}">
              <a16:creationId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1" name="Picture 188" descr="spacer01">
          <a:extLst>
            <a:ext uri="{FF2B5EF4-FFF2-40B4-BE49-F238E27FC236}">
              <a16:creationId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2" name="Picture 189" descr="spacer01">
          <a:extLst>
            <a:ext uri="{FF2B5EF4-FFF2-40B4-BE49-F238E27FC236}">
              <a16:creationId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3" name="Picture 190" descr="spacer01">
          <a:extLst>
            <a:ext uri="{FF2B5EF4-FFF2-40B4-BE49-F238E27FC236}">
              <a16:creationId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4" name="Picture 191" descr="spacer01">
          <a:extLst>
            <a:ext uri="{FF2B5EF4-FFF2-40B4-BE49-F238E27FC236}">
              <a16:creationId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5" name="Picture 192" descr="spacer01">
          <a:extLst>
            <a:ext uri="{FF2B5EF4-FFF2-40B4-BE49-F238E27FC236}">
              <a16:creationId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6" name="Picture 193" descr="spacer01">
          <a:extLst>
            <a:ext uri="{FF2B5EF4-FFF2-40B4-BE49-F238E27FC236}">
              <a16:creationId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7" name="Picture 194" descr="spacer01">
          <a:extLst>
            <a:ext uri="{FF2B5EF4-FFF2-40B4-BE49-F238E27FC236}">
              <a16:creationId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8" name="Picture 195" descr="spacer01">
          <a:extLst>
            <a:ext uri="{FF2B5EF4-FFF2-40B4-BE49-F238E27FC236}">
              <a16:creationId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9" name="Picture 196" descr="spacer01">
          <a:extLst>
            <a:ext uri="{FF2B5EF4-FFF2-40B4-BE49-F238E27FC236}">
              <a16:creationId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0" name="Picture 197" descr="spacer01">
          <a:extLst>
            <a:ext uri="{FF2B5EF4-FFF2-40B4-BE49-F238E27FC236}">
              <a16:creationId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1" name="Picture 198" descr="spacer01">
          <a:extLst>
            <a:ext uri="{FF2B5EF4-FFF2-40B4-BE49-F238E27FC236}">
              <a16:creationId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2" name="Picture 199" descr="spacer01">
          <a:extLst>
            <a:ext uri="{FF2B5EF4-FFF2-40B4-BE49-F238E27FC236}">
              <a16:creationId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3" name="Picture 200" descr="spacer01">
          <a:extLst>
            <a:ext uri="{FF2B5EF4-FFF2-40B4-BE49-F238E27FC236}">
              <a16:creationId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4" name="Picture 201" descr="spacer01">
          <a:extLst>
            <a:ext uri="{FF2B5EF4-FFF2-40B4-BE49-F238E27FC236}">
              <a16:creationId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5" name="Picture 202" descr="spacer01">
          <a:extLst>
            <a:ext uri="{FF2B5EF4-FFF2-40B4-BE49-F238E27FC236}">
              <a16:creationId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6" name="Picture 203" descr="spacer01">
          <a:extLst>
            <a:ext uri="{FF2B5EF4-FFF2-40B4-BE49-F238E27FC236}">
              <a16:creationId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7" name="Picture 204" descr="spacer01">
          <a:extLst>
            <a:ext uri="{FF2B5EF4-FFF2-40B4-BE49-F238E27FC236}">
              <a16:creationId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8" name="Picture 205" descr="spacer01">
          <a:extLst>
            <a:ext uri="{FF2B5EF4-FFF2-40B4-BE49-F238E27FC236}">
              <a16:creationId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9" name="Picture 206" descr="spacer01">
          <a:extLst>
            <a:ext uri="{FF2B5EF4-FFF2-40B4-BE49-F238E27FC236}">
              <a16:creationId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400" name="Picture 207" descr="spacer01">
          <a:extLst>
            <a:ext uri="{FF2B5EF4-FFF2-40B4-BE49-F238E27FC236}">
              <a16:creationId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401" name="Picture 208" descr="spacer01">
          <a:extLst>
            <a:ext uri="{FF2B5EF4-FFF2-40B4-BE49-F238E27FC236}">
              <a16:creationId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2" name="Picture 104" descr="spacer01">
          <a:extLst>
            <a:ext uri="{FF2B5EF4-FFF2-40B4-BE49-F238E27FC236}">
              <a16:creationId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3" name="Picture 170" descr="spacer01">
          <a:extLst>
            <a:ext uri="{FF2B5EF4-FFF2-40B4-BE49-F238E27FC236}">
              <a16:creationId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4" name="Picture 171" descr="spacer01">
          <a:extLst>
            <a:ext uri="{FF2B5EF4-FFF2-40B4-BE49-F238E27FC236}">
              <a16:creationId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5" name="Picture 172" descr="spacer01">
          <a:extLst>
            <a:ext uri="{FF2B5EF4-FFF2-40B4-BE49-F238E27FC236}">
              <a16:creationId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6" name="Picture 173" descr="spacer01">
          <a:extLst>
            <a:ext uri="{FF2B5EF4-FFF2-40B4-BE49-F238E27FC236}">
              <a16:creationId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7" name="Picture 174" descr="spacer01">
          <a:extLst>
            <a:ext uri="{FF2B5EF4-FFF2-40B4-BE49-F238E27FC236}">
              <a16:creationId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8" name="Picture 175" descr="spacer01">
          <a:extLst>
            <a:ext uri="{FF2B5EF4-FFF2-40B4-BE49-F238E27FC236}">
              <a16:creationId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9" name="Picture 176" descr="spacer01">
          <a:extLst>
            <a:ext uri="{FF2B5EF4-FFF2-40B4-BE49-F238E27FC236}">
              <a16:creationId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0" name="Picture 177" descr="spacer01">
          <a:extLst>
            <a:ext uri="{FF2B5EF4-FFF2-40B4-BE49-F238E27FC236}">
              <a16:creationId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1" name="Picture 178" descr="spacer01">
          <a:extLst>
            <a:ext uri="{FF2B5EF4-FFF2-40B4-BE49-F238E27FC236}">
              <a16:creationId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2" name="Picture 179" descr="spacer01">
          <a:extLst>
            <a:ext uri="{FF2B5EF4-FFF2-40B4-BE49-F238E27FC236}">
              <a16:creationId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3" name="Picture 180" descr="spacer01">
          <a:extLst>
            <a:ext uri="{FF2B5EF4-FFF2-40B4-BE49-F238E27FC236}">
              <a16:creationId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4" name="Picture 181" descr="spacer01">
          <a:extLst>
            <a:ext uri="{FF2B5EF4-FFF2-40B4-BE49-F238E27FC236}">
              <a16:creationId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5" name="Picture 182" descr="spacer01">
          <a:extLst>
            <a:ext uri="{FF2B5EF4-FFF2-40B4-BE49-F238E27FC236}">
              <a16:creationId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6" name="Picture 183" descr="spacer01">
          <a:extLst>
            <a:ext uri="{FF2B5EF4-FFF2-40B4-BE49-F238E27FC236}">
              <a16:creationId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7" name="Picture 184" descr="spacer01">
          <a:extLst>
            <a:ext uri="{FF2B5EF4-FFF2-40B4-BE49-F238E27FC236}">
              <a16:creationId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8" name="Picture 185" descr="spacer01">
          <a:extLst>
            <a:ext uri="{FF2B5EF4-FFF2-40B4-BE49-F238E27FC236}">
              <a16:creationId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9" name="Picture 186" descr="spacer01">
          <a:extLst>
            <a:ext uri="{FF2B5EF4-FFF2-40B4-BE49-F238E27FC236}">
              <a16:creationId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0" name="Picture 187" descr="spacer01">
          <a:extLst>
            <a:ext uri="{FF2B5EF4-FFF2-40B4-BE49-F238E27FC236}">
              <a16:creationId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1" name="Picture 188" descr="spacer01">
          <a:extLst>
            <a:ext uri="{FF2B5EF4-FFF2-40B4-BE49-F238E27FC236}">
              <a16:creationId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2" name="Picture 189" descr="spacer01">
          <a:extLst>
            <a:ext uri="{FF2B5EF4-FFF2-40B4-BE49-F238E27FC236}">
              <a16:creationId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3" name="Picture 190" descr="spacer01">
          <a:extLst>
            <a:ext uri="{FF2B5EF4-FFF2-40B4-BE49-F238E27FC236}">
              <a16:creationId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4" name="Picture 191" descr="spacer01">
          <a:extLst>
            <a:ext uri="{FF2B5EF4-FFF2-40B4-BE49-F238E27FC236}">
              <a16:creationId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5" name="Picture 192" descr="spacer01">
          <a:extLst>
            <a:ext uri="{FF2B5EF4-FFF2-40B4-BE49-F238E27FC236}">
              <a16:creationId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6" name="Picture 193" descr="spacer01">
          <a:extLst>
            <a:ext uri="{FF2B5EF4-FFF2-40B4-BE49-F238E27FC236}">
              <a16:creationId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7" name="Picture 194" descr="spacer01">
          <a:extLst>
            <a:ext uri="{FF2B5EF4-FFF2-40B4-BE49-F238E27FC236}">
              <a16:creationId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8" name="Picture 195" descr="spacer01">
          <a:extLst>
            <a:ext uri="{FF2B5EF4-FFF2-40B4-BE49-F238E27FC236}">
              <a16:creationId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9" name="Picture 196" descr="spacer01">
          <a:extLst>
            <a:ext uri="{FF2B5EF4-FFF2-40B4-BE49-F238E27FC236}">
              <a16:creationId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0" name="Picture 197" descr="spacer01">
          <a:extLst>
            <a:ext uri="{FF2B5EF4-FFF2-40B4-BE49-F238E27FC236}">
              <a16:creationId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1" name="Picture 198" descr="spacer01">
          <a:extLst>
            <a:ext uri="{FF2B5EF4-FFF2-40B4-BE49-F238E27FC236}">
              <a16:creationId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2" name="Picture 199" descr="spacer01">
          <a:extLst>
            <a:ext uri="{FF2B5EF4-FFF2-40B4-BE49-F238E27FC236}">
              <a16:creationId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3" name="Picture 200" descr="spacer01">
          <a:extLst>
            <a:ext uri="{FF2B5EF4-FFF2-40B4-BE49-F238E27FC236}">
              <a16:creationId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4" name="Picture 201" descr="spacer01">
          <a:extLst>
            <a:ext uri="{FF2B5EF4-FFF2-40B4-BE49-F238E27FC236}">
              <a16:creationId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5" name="Picture 202" descr="spacer01">
          <a:extLst>
            <a:ext uri="{FF2B5EF4-FFF2-40B4-BE49-F238E27FC236}">
              <a16:creationId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6" name="Picture 203" descr="spacer01">
          <a:extLst>
            <a:ext uri="{FF2B5EF4-FFF2-40B4-BE49-F238E27FC236}">
              <a16:creationId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7" name="Picture 204" descr="spacer01">
          <a:extLst>
            <a:ext uri="{FF2B5EF4-FFF2-40B4-BE49-F238E27FC236}">
              <a16:creationId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8" name="Picture 205" descr="spacer01">
          <a:extLst>
            <a:ext uri="{FF2B5EF4-FFF2-40B4-BE49-F238E27FC236}">
              <a16:creationId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9" name="Picture 206" descr="spacer01">
          <a:extLst>
            <a:ext uri="{FF2B5EF4-FFF2-40B4-BE49-F238E27FC236}">
              <a16:creationId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40" name="Picture 207" descr="spacer01">
          <a:extLst>
            <a:ext uri="{FF2B5EF4-FFF2-40B4-BE49-F238E27FC236}">
              <a16:creationId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41" name="Picture 208" descr="spacer01">
          <a:extLst>
            <a:ext uri="{FF2B5EF4-FFF2-40B4-BE49-F238E27FC236}">
              <a16:creationId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E329"/>
  <sheetViews>
    <sheetView tabSelected="1" zoomScaleNormal="100" workbookViewId="0">
      <pane xSplit="6" ySplit="2" topLeftCell="G153" activePane="bottomRight" state="frozen"/>
      <selection pane="topRight" activeCell="G1" sqref="G1"/>
      <selection pane="bottomLeft" activeCell="A4" sqref="A4"/>
      <selection pane="bottomRight" activeCell="M1" sqref="M1:M1048576"/>
    </sheetView>
  </sheetViews>
  <sheetFormatPr defaultColWidth="9.28515625" defaultRowHeight="12.75" x14ac:dyDescent="0.2"/>
  <cols>
    <col min="1" max="1" width="10.42578125" style="668" customWidth="1"/>
    <col min="2" max="2" width="10.28515625" style="668" customWidth="1"/>
    <col min="3" max="3" width="18.5703125" style="668" bestFit="1" customWidth="1"/>
    <col min="4" max="4" width="13.7109375" style="668" customWidth="1"/>
    <col min="5" max="5" width="56.140625" style="668" bestFit="1" customWidth="1"/>
    <col min="6" max="6" width="14.42578125" style="668" customWidth="1"/>
    <col min="7" max="7" width="19.7109375" style="668" bestFit="1" customWidth="1"/>
    <col min="8" max="8" width="14.5703125" style="668" customWidth="1"/>
    <col min="9" max="9" width="17" style="668" customWidth="1"/>
    <col min="10" max="10" width="17.5703125" style="668" customWidth="1"/>
    <col min="11" max="11" width="13.28515625" style="668" customWidth="1"/>
    <col min="12" max="12" width="8.28515625" style="669" customWidth="1"/>
    <col min="13" max="13" width="10.42578125" style="670" customWidth="1"/>
    <col min="14" max="14" width="9.5703125" style="670" customWidth="1"/>
    <col min="15" max="15" width="6.28515625" style="668" bestFit="1" customWidth="1"/>
    <col min="16" max="16" width="6.5703125" style="837" bestFit="1" customWidth="1"/>
    <col min="17" max="17" width="12.5703125" style="865" customWidth="1"/>
    <col min="18" max="18" width="14" style="866" customWidth="1"/>
    <col min="19" max="19" width="14.28515625" style="866" customWidth="1"/>
    <col min="20" max="20" width="12.5703125" style="865" customWidth="1"/>
    <col min="21" max="21" width="9.7109375" style="837" bestFit="1" customWidth="1"/>
    <col min="22" max="22" width="10.28515625" style="668" bestFit="1" customWidth="1"/>
    <col min="23" max="23" width="9.7109375" style="668" bestFit="1" customWidth="1"/>
    <col min="24" max="24" width="9.7109375" style="837" bestFit="1" customWidth="1"/>
    <col min="25" max="25" width="8.7109375" style="837" customWidth="1"/>
    <col min="26" max="27" width="8.7109375" style="668" customWidth="1"/>
    <col min="28" max="29" width="8.7109375" style="837" customWidth="1"/>
    <col min="30" max="31" width="8.7109375" style="668" customWidth="1"/>
    <col min="32" max="32" width="8.7109375" style="837" customWidth="1"/>
    <col min="33" max="33" width="9.28515625" style="837" customWidth="1"/>
    <col min="34" max="44" width="15.7109375" style="668" customWidth="1"/>
    <col min="45" max="16384" width="9.28515625" style="668"/>
  </cols>
  <sheetData>
    <row r="1" spans="1:44" ht="57" customHeight="1" thickBot="1" x14ac:dyDescent="0.25">
      <c r="P1" s="671"/>
      <c r="Q1" s="672"/>
      <c r="R1" s="672"/>
      <c r="S1" s="672"/>
      <c r="T1" s="672"/>
      <c r="U1" s="671"/>
      <c r="V1" s="671"/>
      <c r="W1" s="671"/>
      <c r="X1" s="671"/>
      <c r="Y1" s="671"/>
      <c r="Z1" s="671"/>
      <c r="AA1" s="671"/>
      <c r="AB1" s="671"/>
      <c r="AC1" s="671"/>
      <c r="AD1" s="671"/>
      <c r="AE1" s="671"/>
      <c r="AF1" s="671"/>
      <c r="AG1" s="671"/>
    </row>
    <row r="2" spans="1:44" s="690" customFormat="1" ht="57" thickBot="1" x14ac:dyDescent="0.25">
      <c r="A2" s="673" t="s">
        <v>131</v>
      </c>
      <c r="B2" s="674" t="s">
        <v>2475</v>
      </c>
      <c r="C2" s="675" t="s">
        <v>138</v>
      </c>
      <c r="D2" s="675" t="s">
        <v>98</v>
      </c>
      <c r="E2" s="676" t="s">
        <v>99</v>
      </c>
      <c r="F2" s="676" t="s">
        <v>100</v>
      </c>
      <c r="G2" s="676" t="s">
        <v>2519</v>
      </c>
      <c r="H2" s="677" t="s">
        <v>501</v>
      </c>
      <c r="I2" s="677" t="s">
        <v>2544</v>
      </c>
      <c r="J2" s="677" t="s">
        <v>2543</v>
      </c>
      <c r="K2" s="677" t="s">
        <v>260</v>
      </c>
      <c r="L2" s="678" t="s">
        <v>974</v>
      </c>
      <c r="M2" s="679" t="s">
        <v>5442</v>
      </c>
      <c r="N2" s="679" t="s">
        <v>132</v>
      </c>
      <c r="O2" s="680" t="s">
        <v>77</v>
      </c>
      <c r="P2" s="681" t="s">
        <v>78</v>
      </c>
      <c r="Q2" s="682" t="s">
        <v>2515</v>
      </c>
      <c r="R2" s="683" t="s">
        <v>2794</v>
      </c>
      <c r="S2" s="683" t="s">
        <v>2516</v>
      </c>
      <c r="T2" s="684" t="s">
        <v>2737</v>
      </c>
      <c r="U2" s="685" t="s">
        <v>2463</v>
      </c>
      <c r="V2" s="675" t="s">
        <v>2795</v>
      </c>
      <c r="W2" s="675" t="s">
        <v>2464</v>
      </c>
      <c r="X2" s="686" t="s">
        <v>2466</v>
      </c>
      <c r="Y2" s="685" t="s">
        <v>2467</v>
      </c>
      <c r="Z2" s="675" t="s">
        <v>2796</v>
      </c>
      <c r="AA2" s="675" t="s">
        <v>2468</v>
      </c>
      <c r="AB2" s="686" t="s">
        <v>2470</v>
      </c>
      <c r="AC2" s="685" t="s">
        <v>2471</v>
      </c>
      <c r="AD2" s="675" t="s">
        <v>2797</v>
      </c>
      <c r="AE2" s="675" t="s">
        <v>2472</v>
      </c>
      <c r="AF2" s="686" t="s">
        <v>2474</v>
      </c>
      <c r="AG2" s="685" t="s">
        <v>2484</v>
      </c>
      <c r="AH2" s="687" t="s">
        <v>133</v>
      </c>
      <c r="AI2" s="687" t="s">
        <v>134</v>
      </c>
      <c r="AJ2" s="687" t="s">
        <v>135</v>
      </c>
      <c r="AK2" s="687" t="s">
        <v>136</v>
      </c>
      <c r="AL2" s="687" t="s">
        <v>137</v>
      </c>
      <c r="AM2" s="687" t="s">
        <v>2104</v>
      </c>
      <c r="AN2" s="687" t="s">
        <v>2105</v>
      </c>
      <c r="AO2" s="687" t="s">
        <v>2106</v>
      </c>
      <c r="AP2" s="688" t="s">
        <v>144</v>
      </c>
      <c r="AQ2" s="688" t="s">
        <v>145</v>
      </c>
      <c r="AR2" s="689" t="s">
        <v>146</v>
      </c>
    </row>
    <row r="3" spans="1:44" s="693" customFormat="1" ht="15.75" x14ac:dyDescent="0.25">
      <c r="A3" s="891" t="s">
        <v>1096</v>
      </c>
      <c r="B3" s="891"/>
      <c r="C3" s="891"/>
      <c r="D3" s="691"/>
      <c r="E3" s="692"/>
      <c r="H3" s="694"/>
      <c r="I3" s="694"/>
      <c r="J3" s="694"/>
      <c r="K3" s="694"/>
      <c r="L3" s="695"/>
      <c r="M3" s="696"/>
      <c r="N3" s="696"/>
      <c r="O3" s="697"/>
      <c r="P3" s="698"/>
      <c r="Q3" s="699"/>
      <c r="R3" s="700"/>
      <c r="S3" s="700"/>
      <c r="T3" s="701"/>
      <c r="U3" s="702"/>
      <c r="V3" s="703"/>
      <c r="W3" s="703"/>
      <c r="X3" s="704"/>
      <c r="Y3" s="702"/>
      <c r="Z3" s="703"/>
      <c r="AA3" s="703"/>
      <c r="AB3" s="704"/>
      <c r="AC3" s="702"/>
      <c r="AD3" s="703"/>
      <c r="AE3" s="703"/>
      <c r="AF3" s="704"/>
      <c r="AG3" s="705"/>
      <c r="AH3" s="668"/>
      <c r="AI3" s="668"/>
      <c r="AJ3" s="668"/>
      <c r="AK3" s="668"/>
      <c r="AL3" s="668"/>
      <c r="AM3" s="668"/>
      <c r="AO3" s="706"/>
    </row>
    <row r="4" spans="1:44" s="693" customFormat="1" x14ac:dyDescent="0.2">
      <c r="A4" s="893" t="s">
        <v>504</v>
      </c>
      <c r="B4" s="893"/>
      <c r="C4" s="894"/>
      <c r="D4" s="703"/>
      <c r="E4" s="707"/>
      <c r="G4" s="708"/>
      <c r="H4" s="709"/>
      <c r="I4" s="709"/>
      <c r="J4" s="709"/>
      <c r="K4" s="709"/>
      <c r="L4" s="710"/>
      <c r="M4" s="696"/>
      <c r="N4" s="696" t="s">
        <v>529</v>
      </c>
      <c r="O4" s="697"/>
      <c r="P4" s="698"/>
      <c r="Q4" s="711"/>
      <c r="R4" s="712"/>
      <c r="S4" s="712"/>
      <c r="T4" s="701"/>
      <c r="U4" s="705"/>
      <c r="V4" s="713"/>
      <c r="W4" s="713"/>
      <c r="X4" s="714"/>
      <c r="Y4" s="705"/>
      <c r="Z4" s="713"/>
      <c r="AA4" s="713"/>
      <c r="AB4" s="714"/>
      <c r="AC4" s="705"/>
      <c r="AD4" s="713"/>
      <c r="AE4" s="713"/>
      <c r="AF4" s="714"/>
      <c r="AG4" s="705"/>
      <c r="AH4" s="715"/>
      <c r="AI4" s="715"/>
      <c r="AJ4" s="715"/>
      <c r="AK4" s="715"/>
      <c r="AL4" s="715"/>
      <c r="AM4" s="715"/>
      <c r="AN4" s="715"/>
      <c r="AO4" s="715"/>
      <c r="AP4" s="715"/>
      <c r="AQ4" s="715"/>
      <c r="AR4" s="715"/>
    </row>
    <row r="5" spans="1:44" s="693" customFormat="1" x14ac:dyDescent="0.2">
      <c r="A5" s="693" t="s">
        <v>594</v>
      </c>
      <c r="B5" s="716"/>
      <c r="C5" s="691" t="s">
        <v>542</v>
      </c>
      <c r="D5" s="708"/>
      <c r="E5" s="692" t="s">
        <v>2344</v>
      </c>
      <c r="F5" s="693" t="s">
        <v>118</v>
      </c>
      <c r="G5" s="708" t="s">
        <v>2547</v>
      </c>
      <c r="H5" s="717" t="s">
        <v>610</v>
      </c>
      <c r="I5" s="718"/>
      <c r="J5" s="718"/>
      <c r="K5" s="717" t="s">
        <v>1039</v>
      </c>
      <c r="L5" s="719" t="s">
        <v>976</v>
      </c>
      <c r="M5" s="696"/>
      <c r="N5" s="696">
        <v>14.99</v>
      </c>
      <c r="O5" s="697">
        <v>1</v>
      </c>
      <c r="P5" s="698">
        <v>50</v>
      </c>
      <c r="Q5" s="711">
        <f>CONVERT(99,"g","lbm")</f>
        <v>0.21825763956302879</v>
      </c>
      <c r="R5" s="712">
        <v>2.25</v>
      </c>
      <c r="S5" s="712">
        <v>2.25</v>
      </c>
      <c r="T5" s="720">
        <v>4</v>
      </c>
      <c r="U5" s="705">
        <v>0.3</v>
      </c>
      <c r="V5" s="713">
        <v>6.5</v>
      </c>
      <c r="W5" s="713">
        <v>2.5</v>
      </c>
      <c r="X5" s="714">
        <v>6.875</v>
      </c>
      <c r="Y5" s="705" t="s">
        <v>259</v>
      </c>
      <c r="Z5" s="713" t="s">
        <v>259</v>
      </c>
      <c r="AA5" s="713" t="s">
        <v>259</v>
      </c>
      <c r="AB5" s="714" t="s">
        <v>259</v>
      </c>
      <c r="AC5" s="705">
        <v>15.85</v>
      </c>
      <c r="AD5" s="713">
        <v>20.125</v>
      </c>
      <c r="AE5" s="713">
        <v>20.125</v>
      </c>
      <c r="AF5" s="714">
        <v>10.5</v>
      </c>
      <c r="AG5" s="705">
        <f>AD5*AE5*AF5/(12^3)</f>
        <v>2.4610324435763888</v>
      </c>
      <c r="AH5" s="721" t="s">
        <v>2123</v>
      </c>
      <c r="AI5" s="722" t="s">
        <v>2124</v>
      </c>
      <c r="AJ5" s="722" t="s">
        <v>158</v>
      </c>
      <c r="AK5" s="723" t="s">
        <v>2640</v>
      </c>
      <c r="AL5" s="715"/>
      <c r="AM5" s="722"/>
      <c r="AN5" s="722"/>
      <c r="AO5" s="722"/>
      <c r="AP5" s="722" t="s">
        <v>2125</v>
      </c>
      <c r="AQ5" s="715" t="s">
        <v>456</v>
      </c>
      <c r="AR5" s="722" t="s">
        <v>2255</v>
      </c>
    </row>
    <row r="6" spans="1:44" s="693" customFormat="1" x14ac:dyDescent="0.2">
      <c r="A6" s="693" t="s">
        <v>594</v>
      </c>
      <c r="B6" s="716"/>
      <c r="C6" s="691" t="s">
        <v>1880</v>
      </c>
      <c r="D6" s="693" t="s">
        <v>369</v>
      </c>
      <c r="E6" s="692" t="s">
        <v>2344</v>
      </c>
      <c r="F6" s="693" t="s">
        <v>222</v>
      </c>
      <c r="G6" s="708" t="s">
        <v>2547</v>
      </c>
      <c r="H6" s="717" t="s">
        <v>611</v>
      </c>
      <c r="I6" s="718"/>
      <c r="J6" s="718"/>
      <c r="K6" s="717" t="s">
        <v>1039</v>
      </c>
      <c r="L6" s="719" t="s">
        <v>976</v>
      </c>
      <c r="M6" s="696"/>
      <c r="N6" s="696">
        <v>14.99</v>
      </c>
      <c r="O6" s="697">
        <v>1</v>
      </c>
      <c r="P6" s="698">
        <v>50</v>
      </c>
      <c r="Q6" s="711">
        <f>CONVERT(99,"g","lbm")</f>
        <v>0.21825763956302879</v>
      </c>
      <c r="R6" s="712">
        <v>2.25</v>
      </c>
      <c r="S6" s="712">
        <v>2.25</v>
      </c>
      <c r="T6" s="720">
        <v>4</v>
      </c>
      <c r="U6" s="705">
        <v>0.3</v>
      </c>
      <c r="V6" s="713">
        <v>6.5</v>
      </c>
      <c r="W6" s="713">
        <v>2.5</v>
      </c>
      <c r="X6" s="714">
        <v>6.875</v>
      </c>
      <c r="Y6" s="705" t="s">
        <v>259</v>
      </c>
      <c r="Z6" s="713" t="s">
        <v>259</v>
      </c>
      <c r="AA6" s="713" t="s">
        <v>259</v>
      </c>
      <c r="AB6" s="714" t="s">
        <v>259</v>
      </c>
      <c r="AC6" s="705">
        <v>15.85</v>
      </c>
      <c r="AD6" s="713">
        <v>20.125</v>
      </c>
      <c r="AE6" s="713">
        <v>20.125</v>
      </c>
      <c r="AF6" s="714">
        <v>10.5</v>
      </c>
      <c r="AG6" s="705">
        <f>AD6*AE6*AF6/(12^3)</f>
        <v>2.4610324435763888</v>
      </c>
      <c r="AH6" s="721" t="s">
        <v>2123</v>
      </c>
      <c r="AI6" s="722" t="s">
        <v>2124</v>
      </c>
      <c r="AJ6" s="722" t="s">
        <v>158</v>
      </c>
      <c r="AK6" s="723" t="s">
        <v>2640</v>
      </c>
      <c r="AL6" s="715"/>
      <c r="AM6" s="722"/>
      <c r="AN6" s="722"/>
      <c r="AO6" s="722"/>
      <c r="AP6" s="722" t="s">
        <v>2125</v>
      </c>
      <c r="AQ6" s="715" t="s">
        <v>456</v>
      </c>
      <c r="AR6" s="722" t="s">
        <v>2255</v>
      </c>
    </row>
    <row r="7" spans="1:44" s="693" customFormat="1" x14ac:dyDescent="0.2">
      <c r="A7" s="693" t="s">
        <v>594</v>
      </c>
      <c r="B7" s="716"/>
      <c r="C7" s="691" t="s">
        <v>1880</v>
      </c>
      <c r="D7" s="693" t="s">
        <v>371</v>
      </c>
      <c r="E7" s="692" t="s">
        <v>2344</v>
      </c>
      <c r="F7" s="693" t="s">
        <v>218</v>
      </c>
      <c r="G7" s="708" t="s">
        <v>2547</v>
      </c>
      <c r="H7" s="717" t="s">
        <v>612</v>
      </c>
      <c r="I7" s="718"/>
      <c r="J7" s="718"/>
      <c r="K7" s="717" t="s">
        <v>1039</v>
      </c>
      <c r="L7" s="719" t="s">
        <v>976</v>
      </c>
      <c r="M7" s="696"/>
      <c r="N7" s="696">
        <v>14.99</v>
      </c>
      <c r="O7" s="697">
        <v>1</v>
      </c>
      <c r="P7" s="698">
        <v>50</v>
      </c>
      <c r="Q7" s="711">
        <f>CONVERT(99,"g","lbm")</f>
        <v>0.21825763956302879</v>
      </c>
      <c r="R7" s="712">
        <v>2.25</v>
      </c>
      <c r="S7" s="712">
        <v>2.25</v>
      </c>
      <c r="T7" s="720">
        <v>4</v>
      </c>
      <c r="U7" s="705">
        <v>0.3</v>
      </c>
      <c r="V7" s="713">
        <v>6.5</v>
      </c>
      <c r="W7" s="713">
        <v>2.5</v>
      </c>
      <c r="X7" s="714">
        <v>6.875</v>
      </c>
      <c r="Y7" s="705" t="s">
        <v>259</v>
      </c>
      <c r="Z7" s="713" t="s">
        <v>259</v>
      </c>
      <c r="AA7" s="713" t="s">
        <v>259</v>
      </c>
      <c r="AB7" s="714" t="s">
        <v>259</v>
      </c>
      <c r="AC7" s="705">
        <v>15.85</v>
      </c>
      <c r="AD7" s="713">
        <v>20.125</v>
      </c>
      <c r="AE7" s="713">
        <v>20.125</v>
      </c>
      <c r="AF7" s="714">
        <v>10.5</v>
      </c>
      <c r="AG7" s="705">
        <f>AD7*AE7*AF7/(12^3)</f>
        <v>2.4610324435763888</v>
      </c>
      <c r="AH7" s="721" t="s">
        <v>2123</v>
      </c>
      <c r="AI7" s="722" t="s">
        <v>2124</v>
      </c>
      <c r="AJ7" s="722" t="s">
        <v>158</v>
      </c>
      <c r="AK7" s="723" t="s">
        <v>2640</v>
      </c>
      <c r="AL7" s="715"/>
      <c r="AM7" s="722"/>
      <c r="AN7" s="722"/>
      <c r="AO7" s="722"/>
      <c r="AP7" s="722" t="s">
        <v>2125</v>
      </c>
      <c r="AQ7" s="715" t="s">
        <v>456</v>
      </c>
      <c r="AR7" s="722" t="s">
        <v>2255</v>
      </c>
    </row>
    <row r="8" spans="1:44" s="693" customFormat="1" x14ac:dyDescent="0.2">
      <c r="A8" s="693" t="s">
        <v>594</v>
      </c>
      <c r="B8" s="716"/>
      <c r="C8" s="691" t="s">
        <v>1880</v>
      </c>
      <c r="D8" s="693" t="s">
        <v>372</v>
      </c>
      <c r="E8" s="692" t="s">
        <v>2344</v>
      </c>
      <c r="F8" s="693" t="s">
        <v>483</v>
      </c>
      <c r="G8" s="708" t="s">
        <v>2547</v>
      </c>
      <c r="H8" s="717" t="s">
        <v>615</v>
      </c>
      <c r="I8" s="718"/>
      <c r="J8" s="718"/>
      <c r="K8" s="717" t="s">
        <v>1039</v>
      </c>
      <c r="L8" s="719" t="s">
        <v>976</v>
      </c>
      <c r="M8" s="696"/>
      <c r="N8" s="696">
        <v>14.99</v>
      </c>
      <c r="O8" s="697">
        <v>1</v>
      </c>
      <c r="P8" s="698">
        <v>50</v>
      </c>
      <c r="Q8" s="711">
        <f>CONVERT(99,"g","lbm")</f>
        <v>0.21825763956302879</v>
      </c>
      <c r="R8" s="712">
        <v>2.25</v>
      </c>
      <c r="S8" s="712">
        <v>2.25</v>
      </c>
      <c r="T8" s="720">
        <v>4</v>
      </c>
      <c r="U8" s="705">
        <v>0.3</v>
      </c>
      <c r="V8" s="713">
        <v>6.5</v>
      </c>
      <c r="W8" s="713">
        <v>2.5</v>
      </c>
      <c r="X8" s="714">
        <v>6.875</v>
      </c>
      <c r="Y8" s="705" t="s">
        <v>259</v>
      </c>
      <c r="Z8" s="713" t="s">
        <v>259</v>
      </c>
      <c r="AA8" s="713" t="s">
        <v>259</v>
      </c>
      <c r="AB8" s="714" t="s">
        <v>259</v>
      </c>
      <c r="AC8" s="705">
        <v>15.85</v>
      </c>
      <c r="AD8" s="713">
        <v>20.125</v>
      </c>
      <c r="AE8" s="713">
        <v>20.125</v>
      </c>
      <c r="AF8" s="714">
        <v>10.5</v>
      </c>
      <c r="AG8" s="705">
        <f>AD8*AE8*AF8/(12^3)</f>
        <v>2.4610324435763888</v>
      </c>
      <c r="AH8" s="721" t="s">
        <v>2123</v>
      </c>
      <c r="AI8" s="722" t="s">
        <v>2124</v>
      </c>
      <c r="AJ8" s="722" t="s">
        <v>158</v>
      </c>
      <c r="AK8" s="723" t="s">
        <v>2640</v>
      </c>
      <c r="AL8" s="715"/>
      <c r="AM8" s="722"/>
      <c r="AN8" s="722"/>
      <c r="AO8" s="722"/>
      <c r="AP8" s="722" t="s">
        <v>2125</v>
      </c>
      <c r="AQ8" s="715" t="s">
        <v>456</v>
      </c>
      <c r="AR8" s="722" t="s">
        <v>2255</v>
      </c>
    </row>
    <row r="9" spans="1:44" s="708" customFormat="1" x14ac:dyDescent="0.2">
      <c r="A9" s="708" t="s">
        <v>594</v>
      </c>
      <c r="B9" s="724"/>
      <c r="C9" s="692" t="s">
        <v>1945</v>
      </c>
      <c r="D9" s="708" t="s">
        <v>371</v>
      </c>
      <c r="E9" s="692" t="s">
        <v>2344</v>
      </c>
      <c r="F9" s="693" t="s">
        <v>2102</v>
      </c>
      <c r="G9" s="708" t="s">
        <v>2547</v>
      </c>
      <c r="H9" s="725" t="s">
        <v>1946</v>
      </c>
      <c r="I9" s="718"/>
      <c r="J9" s="718"/>
      <c r="K9" s="725" t="s">
        <v>1039</v>
      </c>
      <c r="L9" s="726" t="s">
        <v>975</v>
      </c>
      <c r="M9" s="696"/>
      <c r="N9" s="696">
        <v>12.99</v>
      </c>
      <c r="O9" s="697">
        <v>6</v>
      </c>
      <c r="P9" s="727">
        <v>36</v>
      </c>
      <c r="Q9" s="711">
        <f>CONVERT(99,"g","lbm")</f>
        <v>0.21825763956302879</v>
      </c>
      <c r="R9" s="712">
        <v>2.25</v>
      </c>
      <c r="S9" s="712">
        <v>2.25</v>
      </c>
      <c r="T9" s="720">
        <v>4</v>
      </c>
      <c r="U9" s="705">
        <v>0.3</v>
      </c>
      <c r="V9" s="713">
        <v>6.5</v>
      </c>
      <c r="W9" s="713">
        <v>2.5</v>
      </c>
      <c r="X9" s="714">
        <v>6.875</v>
      </c>
      <c r="Y9" s="705">
        <v>1.95</v>
      </c>
      <c r="Z9" s="713">
        <v>10</v>
      </c>
      <c r="AA9" s="713">
        <v>8.25</v>
      </c>
      <c r="AB9" s="714">
        <v>7.25</v>
      </c>
      <c r="AC9" s="705">
        <v>13.23</v>
      </c>
      <c r="AD9" s="713">
        <v>25.59</v>
      </c>
      <c r="AE9" s="713">
        <v>10.55</v>
      </c>
      <c r="AF9" s="714">
        <v>15.28</v>
      </c>
      <c r="AG9" s="705">
        <f>AD9*AE9*AF9/(12^3)</f>
        <v>2.3872745138888889</v>
      </c>
      <c r="AH9" s="721" t="s">
        <v>2123</v>
      </c>
      <c r="AI9" s="722" t="s">
        <v>2124</v>
      </c>
      <c r="AJ9" s="721" t="s">
        <v>158</v>
      </c>
      <c r="AK9" s="723" t="s">
        <v>2640</v>
      </c>
      <c r="AL9" s="728"/>
      <c r="AM9" s="721"/>
      <c r="AN9" s="721"/>
      <c r="AO9" s="721"/>
      <c r="AP9" s="722" t="s">
        <v>2125</v>
      </c>
      <c r="AQ9" s="722" t="s">
        <v>2255</v>
      </c>
      <c r="AR9" s="729"/>
    </row>
    <row r="10" spans="1:44" s="693" customFormat="1" x14ac:dyDescent="0.2">
      <c r="A10" s="895" t="s">
        <v>2636</v>
      </c>
      <c r="B10" s="895"/>
      <c r="C10" s="895"/>
      <c r="E10" s="692"/>
      <c r="G10" s="708"/>
      <c r="H10" s="717"/>
      <c r="I10" s="717"/>
      <c r="J10" s="717"/>
      <c r="K10" s="717"/>
      <c r="L10" s="719"/>
      <c r="M10" s="696"/>
      <c r="N10" s="696"/>
      <c r="O10" s="697"/>
      <c r="P10" s="698"/>
      <c r="Q10" s="711"/>
      <c r="R10" s="712"/>
      <c r="S10" s="712"/>
      <c r="T10" s="701"/>
      <c r="U10" s="702"/>
      <c r="V10" s="703"/>
      <c r="W10" s="703"/>
      <c r="X10" s="704"/>
      <c r="Y10" s="702"/>
      <c r="Z10" s="703"/>
      <c r="AA10" s="703"/>
      <c r="AB10" s="704"/>
      <c r="AC10" s="702"/>
      <c r="AD10" s="703"/>
      <c r="AE10" s="703"/>
      <c r="AF10" s="704"/>
      <c r="AG10" s="705"/>
      <c r="AH10" s="722"/>
      <c r="AI10" s="722"/>
      <c r="AJ10" s="722"/>
      <c r="AK10" s="722"/>
      <c r="AL10" s="722"/>
      <c r="AM10" s="722"/>
      <c r="AN10" s="715"/>
      <c r="AO10" s="730"/>
      <c r="AP10" s="715"/>
      <c r="AQ10" s="715"/>
      <c r="AR10" s="715"/>
    </row>
    <row r="11" spans="1:44" x14ac:dyDescent="0.2">
      <c r="A11" s="708" t="s">
        <v>594</v>
      </c>
      <c r="B11" s="731"/>
      <c r="C11" s="732" t="s">
        <v>2505</v>
      </c>
      <c r="D11" s="668" t="s">
        <v>371</v>
      </c>
      <c r="E11" s="692" t="s">
        <v>2506</v>
      </c>
      <c r="F11" s="668" t="s">
        <v>2102</v>
      </c>
      <c r="G11" s="733" t="s">
        <v>2558</v>
      </c>
      <c r="H11" s="725" t="s">
        <v>2731</v>
      </c>
      <c r="I11" s="725" t="s">
        <v>3333</v>
      </c>
      <c r="J11" s="725" t="s">
        <v>3334</v>
      </c>
      <c r="K11" s="734" t="s">
        <v>1039</v>
      </c>
      <c r="L11" s="735" t="s">
        <v>975</v>
      </c>
      <c r="M11" s="696"/>
      <c r="N11" s="736">
        <v>14.99</v>
      </c>
      <c r="O11" s="733">
        <v>6</v>
      </c>
      <c r="P11" s="737">
        <v>36</v>
      </c>
      <c r="Q11" s="711">
        <f>CONVERT(160,"g","lbm")</f>
        <v>0.35273961949580412</v>
      </c>
      <c r="R11" s="712" t="s">
        <v>259</v>
      </c>
      <c r="S11" s="712" t="s">
        <v>259</v>
      </c>
      <c r="T11" s="738" t="s">
        <v>259</v>
      </c>
      <c r="U11" s="739">
        <v>0.4</v>
      </c>
      <c r="V11" s="733">
        <v>3</v>
      </c>
      <c r="W11" s="733">
        <v>3.25</v>
      </c>
      <c r="X11" s="737">
        <v>5.75</v>
      </c>
      <c r="Y11" s="739">
        <v>2.7</v>
      </c>
      <c r="Z11" s="733">
        <v>10.5</v>
      </c>
      <c r="AA11" s="733">
        <v>10</v>
      </c>
      <c r="AB11" s="737">
        <v>3.5</v>
      </c>
      <c r="AC11" s="739">
        <v>17.25</v>
      </c>
      <c r="AD11" s="733">
        <v>20.5</v>
      </c>
      <c r="AE11" s="733">
        <v>11</v>
      </c>
      <c r="AF11" s="737">
        <v>11.5</v>
      </c>
      <c r="AG11" s="705">
        <f>AD11*AE11*AF11/(12^3)</f>
        <v>1.5007233796296295</v>
      </c>
      <c r="AH11" s="722" t="s">
        <v>2637</v>
      </c>
      <c r="AI11" s="721" t="s">
        <v>2123</v>
      </c>
      <c r="AJ11" s="722" t="s">
        <v>2124</v>
      </c>
      <c r="AK11" s="722" t="s">
        <v>2639</v>
      </c>
      <c r="AL11" s="721" t="s">
        <v>158</v>
      </c>
      <c r="AM11" s="723" t="s">
        <v>2638</v>
      </c>
      <c r="AO11" s="733"/>
      <c r="AP11" s="733" t="s">
        <v>3316</v>
      </c>
      <c r="AQ11" s="722" t="s">
        <v>2255</v>
      </c>
    </row>
    <row r="12" spans="1:44" s="693" customFormat="1" x14ac:dyDescent="0.2">
      <c r="A12" s="893" t="s">
        <v>2097</v>
      </c>
      <c r="B12" s="893"/>
      <c r="C12" s="894"/>
      <c r="D12" s="713"/>
      <c r="E12" s="707"/>
      <c r="G12" s="708"/>
      <c r="H12" s="709"/>
      <c r="I12" s="709"/>
      <c r="J12" s="709"/>
      <c r="K12" s="709"/>
      <c r="L12" s="710"/>
      <c r="M12" s="696"/>
      <c r="N12" s="696"/>
      <c r="O12" s="697"/>
      <c r="P12" s="698"/>
      <c r="Q12" s="711"/>
      <c r="R12" s="712"/>
      <c r="S12" s="712"/>
      <c r="T12" s="701"/>
      <c r="U12" s="702"/>
      <c r="V12" s="703"/>
      <c r="W12" s="703"/>
      <c r="X12" s="704"/>
      <c r="Y12" s="702"/>
      <c r="Z12" s="703"/>
      <c r="AA12" s="703"/>
      <c r="AB12" s="704"/>
      <c r="AC12" s="702"/>
      <c r="AD12" s="703"/>
      <c r="AE12" s="703"/>
      <c r="AF12" s="704"/>
      <c r="AG12" s="705"/>
      <c r="AH12" s="715"/>
      <c r="AI12" s="715"/>
      <c r="AJ12" s="715"/>
      <c r="AK12" s="715"/>
      <c r="AM12" s="715"/>
      <c r="AO12" s="715"/>
      <c r="AP12" s="715"/>
      <c r="AQ12" s="715"/>
      <c r="AR12" s="715"/>
    </row>
    <row r="13" spans="1:44" s="693" customFormat="1" x14ac:dyDescent="0.2">
      <c r="A13" s="693" t="s">
        <v>594</v>
      </c>
      <c r="B13" s="716"/>
      <c r="C13" s="691" t="s">
        <v>540</v>
      </c>
      <c r="D13" s="708"/>
      <c r="E13" s="692" t="s">
        <v>2345</v>
      </c>
      <c r="F13" s="693" t="s">
        <v>118</v>
      </c>
      <c r="G13" s="708" t="s">
        <v>2547</v>
      </c>
      <c r="H13" s="717" t="s">
        <v>595</v>
      </c>
      <c r="I13" s="718"/>
      <c r="J13" s="718"/>
      <c r="K13" s="717" t="s">
        <v>1039</v>
      </c>
      <c r="L13" s="719" t="s">
        <v>976</v>
      </c>
      <c r="M13" s="696"/>
      <c r="N13" s="696">
        <v>19.989999999999998</v>
      </c>
      <c r="O13" s="697">
        <v>1</v>
      </c>
      <c r="P13" s="698">
        <v>30</v>
      </c>
      <c r="Q13" s="711">
        <f>CONVERT(181,"g","lbm")</f>
        <v>0.39903669455462842</v>
      </c>
      <c r="R13" s="712">
        <v>2</v>
      </c>
      <c r="S13" s="712">
        <v>2</v>
      </c>
      <c r="T13" s="740" t="s">
        <v>2684</v>
      </c>
      <c r="U13" s="741">
        <v>0.5</v>
      </c>
      <c r="V13" s="742">
        <v>7.125</v>
      </c>
      <c r="W13" s="713">
        <v>2.5</v>
      </c>
      <c r="X13" s="714">
        <v>8</v>
      </c>
      <c r="Y13" s="705" t="s">
        <v>259</v>
      </c>
      <c r="Z13" s="713" t="s">
        <v>259</v>
      </c>
      <c r="AA13" s="713" t="s">
        <v>259</v>
      </c>
      <c r="AB13" s="714" t="s">
        <v>259</v>
      </c>
      <c r="AC13" s="743">
        <v>17</v>
      </c>
      <c r="AD13" s="744">
        <v>20</v>
      </c>
      <c r="AE13" s="744">
        <v>15</v>
      </c>
      <c r="AF13" s="745">
        <v>9</v>
      </c>
      <c r="AG13" s="705">
        <f t="shared" ref="AG13:AG23" si="0">AD13*AE13*AF13/(12^3)</f>
        <v>1.5625</v>
      </c>
      <c r="AH13" s="722" t="s">
        <v>2107</v>
      </c>
      <c r="AI13" s="722" t="s">
        <v>2108</v>
      </c>
      <c r="AJ13" s="722" t="s">
        <v>2109</v>
      </c>
      <c r="AK13" s="722" t="s">
        <v>2110</v>
      </c>
      <c r="AL13" s="722" t="s">
        <v>2111</v>
      </c>
      <c r="AM13" s="722" t="s">
        <v>2112</v>
      </c>
      <c r="AN13" s="722" t="s">
        <v>2339</v>
      </c>
      <c r="AO13" s="722"/>
      <c r="AP13" s="722" t="s">
        <v>2113</v>
      </c>
      <c r="AQ13" s="715" t="s">
        <v>456</v>
      </c>
      <c r="AR13" s="722" t="s">
        <v>2255</v>
      </c>
    </row>
    <row r="14" spans="1:44" s="693" customFormat="1" x14ac:dyDescent="0.2">
      <c r="A14" s="693" t="s">
        <v>594</v>
      </c>
      <c r="B14" s="716"/>
      <c r="C14" s="691" t="s">
        <v>541</v>
      </c>
      <c r="E14" s="692" t="s">
        <v>2345</v>
      </c>
      <c r="F14" s="693" t="s">
        <v>119</v>
      </c>
      <c r="G14" s="708" t="s">
        <v>2547</v>
      </c>
      <c r="H14" s="717" t="s">
        <v>601</v>
      </c>
      <c r="I14" s="718"/>
      <c r="J14" s="718"/>
      <c r="K14" s="717" t="s">
        <v>1039</v>
      </c>
      <c r="L14" s="719" t="s">
        <v>976</v>
      </c>
      <c r="M14" s="696"/>
      <c r="N14" s="696">
        <v>32.99</v>
      </c>
      <c r="O14" s="697">
        <v>1</v>
      </c>
      <c r="P14" s="698">
        <v>30</v>
      </c>
      <c r="Q14" s="711">
        <f>CONVERT(249,"g","lbm")</f>
        <v>0.54895103284034519</v>
      </c>
      <c r="R14" s="712">
        <v>2</v>
      </c>
      <c r="S14" s="712">
        <v>2</v>
      </c>
      <c r="T14" s="740" t="s">
        <v>2684</v>
      </c>
      <c r="U14" s="741">
        <v>0.65</v>
      </c>
      <c r="V14" s="742">
        <v>7.125</v>
      </c>
      <c r="W14" s="713">
        <v>2.5</v>
      </c>
      <c r="X14" s="714">
        <v>8</v>
      </c>
      <c r="Y14" s="705" t="s">
        <v>259</v>
      </c>
      <c r="Z14" s="713" t="s">
        <v>259</v>
      </c>
      <c r="AA14" s="713" t="s">
        <v>259</v>
      </c>
      <c r="AB14" s="714" t="s">
        <v>259</v>
      </c>
      <c r="AC14" s="743">
        <v>21</v>
      </c>
      <c r="AD14" s="744">
        <v>20</v>
      </c>
      <c r="AE14" s="744">
        <v>15</v>
      </c>
      <c r="AF14" s="745">
        <v>9</v>
      </c>
      <c r="AG14" s="705">
        <f t="shared" si="0"/>
        <v>1.5625</v>
      </c>
      <c r="AH14" s="722" t="s">
        <v>2107</v>
      </c>
      <c r="AI14" s="722" t="s">
        <v>2115</v>
      </c>
      <c r="AJ14" s="722" t="s">
        <v>2109</v>
      </c>
      <c r="AK14" s="722" t="s">
        <v>2110</v>
      </c>
      <c r="AL14" s="722" t="s">
        <v>2111</v>
      </c>
      <c r="AM14" s="722" t="s">
        <v>2112</v>
      </c>
      <c r="AN14" s="722" t="s">
        <v>2340</v>
      </c>
      <c r="AO14" s="722"/>
      <c r="AP14" s="722" t="s">
        <v>2113</v>
      </c>
      <c r="AQ14" s="715" t="s">
        <v>456</v>
      </c>
      <c r="AR14" s="722" t="s">
        <v>2255</v>
      </c>
    </row>
    <row r="15" spans="1:44" s="693" customFormat="1" x14ac:dyDescent="0.2">
      <c r="A15" s="693" t="s">
        <v>594</v>
      </c>
      <c r="B15" s="716"/>
      <c r="C15" s="691" t="s">
        <v>1568</v>
      </c>
      <c r="D15" s="693" t="s">
        <v>369</v>
      </c>
      <c r="E15" s="692" t="s">
        <v>2345</v>
      </c>
      <c r="F15" s="693" t="s">
        <v>222</v>
      </c>
      <c r="G15" s="708" t="s">
        <v>2547</v>
      </c>
      <c r="H15" s="717" t="s">
        <v>596</v>
      </c>
      <c r="I15" s="718"/>
      <c r="J15" s="718"/>
      <c r="K15" s="717" t="s">
        <v>1039</v>
      </c>
      <c r="L15" s="719" t="s">
        <v>976</v>
      </c>
      <c r="M15" s="696"/>
      <c r="N15" s="696">
        <v>24.99</v>
      </c>
      <c r="O15" s="697">
        <v>1</v>
      </c>
      <c r="P15" s="698">
        <v>30</v>
      </c>
      <c r="Q15" s="711">
        <f t="shared" ref="Q15:Q23" si="1">CONVERT(181,"g","lbm")</f>
        <v>0.39903669455462842</v>
      </c>
      <c r="R15" s="712">
        <v>2</v>
      </c>
      <c r="S15" s="712">
        <v>2</v>
      </c>
      <c r="T15" s="740" t="s">
        <v>2684</v>
      </c>
      <c r="U15" s="741">
        <v>0.5</v>
      </c>
      <c r="V15" s="742">
        <v>7.125</v>
      </c>
      <c r="W15" s="713">
        <v>2.5</v>
      </c>
      <c r="X15" s="714">
        <v>8</v>
      </c>
      <c r="Y15" s="705" t="s">
        <v>259</v>
      </c>
      <c r="Z15" s="713" t="s">
        <v>259</v>
      </c>
      <c r="AA15" s="713" t="s">
        <v>259</v>
      </c>
      <c r="AB15" s="714" t="s">
        <v>259</v>
      </c>
      <c r="AC15" s="743">
        <v>17</v>
      </c>
      <c r="AD15" s="744">
        <v>20</v>
      </c>
      <c r="AE15" s="744">
        <v>15</v>
      </c>
      <c r="AF15" s="745">
        <v>9</v>
      </c>
      <c r="AG15" s="705">
        <f t="shared" si="0"/>
        <v>1.5625</v>
      </c>
      <c r="AH15" s="722" t="s">
        <v>2107</v>
      </c>
      <c r="AI15" s="722" t="s">
        <v>2108</v>
      </c>
      <c r="AJ15" s="722" t="s">
        <v>2109</v>
      </c>
      <c r="AK15" s="722" t="s">
        <v>2110</v>
      </c>
      <c r="AL15" s="722" t="s">
        <v>2111</v>
      </c>
      <c r="AM15" s="722" t="s">
        <v>2112</v>
      </c>
      <c r="AN15" s="722" t="s">
        <v>2339</v>
      </c>
      <c r="AO15" s="722"/>
      <c r="AP15" s="722" t="s">
        <v>2113</v>
      </c>
      <c r="AQ15" s="715" t="s">
        <v>456</v>
      </c>
      <c r="AR15" s="722" t="s">
        <v>2255</v>
      </c>
    </row>
    <row r="16" spans="1:44" s="693" customFormat="1" x14ac:dyDescent="0.2">
      <c r="A16" s="693" t="s">
        <v>594</v>
      </c>
      <c r="B16" s="716"/>
      <c r="C16" s="691" t="s">
        <v>1568</v>
      </c>
      <c r="D16" s="693" t="s">
        <v>371</v>
      </c>
      <c r="E16" s="692" t="s">
        <v>2345</v>
      </c>
      <c r="F16" s="693" t="s">
        <v>218</v>
      </c>
      <c r="G16" s="708" t="s">
        <v>2547</v>
      </c>
      <c r="H16" s="717" t="s">
        <v>597</v>
      </c>
      <c r="I16" s="718"/>
      <c r="J16" s="718"/>
      <c r="K16" s="717" t="s">
        <v>1039</v>
      </c>
      <c r="L16" s="719" t="s">
        <v>976</v>
      </c>
      <c r="M16" s="696"/>
      <c r="N16" s="696">
        <v>24.99</v>
      </c>
      <c r="O16" s="697">
        <v>1</v>
      </c>
      <c r="P16" s="698">
        <v>30</v>
      </c>
      <c r="Q16" s="711">
        <f t="shared" si="1"/>
        <v>0.39903669455462842</v>
      </c>
      <c r="R16" s="712">
        <v>2</v>
      </c>
      <c r="S16" s="712">
        <v>2</v>
      </c>
      <c r="T16" s="740" t="s">
        <v>2684</v>
      </c>
      <c r="U16" s="741">
        <v>0.5</v>
      </c>
      <c r="V16" s="742">
        <v>7.125</v>
      </c>
      <c r="W16" s="713">
        <v>2.5</v>
      </c>
      <c r="X16" s="714">
        <v>8</v>
      </c>
      <c r="Y16" s="705" t="s">
        <v>259</v>
      </c>
      <c r="Z16" s="713" t="s">
        <v>259</v>
      </c>
      <c r="AA16" s="713" t="s">
        <v>259</v>
      </c>
      <c r="AB16" s="714" t="s">
        <v>259</v>
      </c>
      <c r="AC16" s="743">
        <v>17</v>
      </c>
      <c r="AD16" s="744">
        <v>20</v>
      </c>
      <c r="AE16" s="744">
        <v>15</v>
      </c>
      <c r="AF16" s="745">
        <v>9</v>
      </c>
      <c r="AG16" s="705">
        <f t="shared" si="0"/>
        <v>1.5625</v>
      </c>
      <c r="AH16" s="722" t="s">
        <v>2107</v>
      </c>
      <c r="AI16" s="722" t="s">
        <v>2108</v>
      </c>
      <c r="AJ16" s="722" t="s">
        <v>2109</v>
      </c>
      <c r="AK16" s="722" t="s">
        <v>2110</v>
      </c>
      <c r="AL16" s="722" t="s">
        <v>2111</v>
      </c>
      <c r="AM16" s="722" t="s">
        <v>2112</v>
      </c>
      <c r="AN16" s="722" t="s">
        <v>2339</v>
      </c>
      <c r="AO16" s="722"/>
      <c r="AP16" s="722" t="s">
        <v>2113</v>
      </c>
      <c r="AQ16" s="715" t="s">
        <v>456</v>
      </c>
      <c r="AR16" s="722" t="s">
        <v>2255</v>
      </c>
    </row>
    <row r="17" spans="1:44" s="693" customFormat="1" x14ac:dyDescent="0.2">
      <c r="A17" s="693" t="s">
        <v>594</v>
      </c>
      <c r="B17" s="716"/>
      <c r="C17" s="692" t="s">
        <v>1568</v>
      </c>
      <c r="D17" s="708" t="s">
        <v>370</v>
      </c>
      <c r="E17" s="692" t="s">
        <v>2345</v>
      </c>
      <c r="F17" s="693" t="s">
        <v>217</v>
      </c>
      <c r="G17" s="708" t="s">
        <v>2547</v>
      </c>
      <c r="H17" s="717" t="s">
        <v>598</v>
      </c>
      <c r="I17" s="718"/>
      <c r="J17" s="718"/>
      <c r="K17" s="717" t="s">
        <v>1039</v>
      </c>
      <c r="L17" s="719" t="s">
        <v>976</v>
      </c>
      <c r="M17" s="696"/>
      <c r="N17" s="696">
        <v>24.99</v>
      </c>
      <c r="O17" s="697">
        <v>1</v>
      </c>
      <c r="P17" s="698">
        <v>30</v>
      </c>
      <c r="Q17" s="711">
        <f t="shared" si="1"/>
        <v>0.39903669455462842</v>
      </c>
      <c r="R17" s="712">
        <v>2</v>
      </c>
      <c r="S17" s="712">
        <v>2</v>
      </c>
      <c r="T17" s="740" t="s">
        <v>2684</v>
      </c>
      <c r="U17" s="741">
        <v>0.5</v>
      </c>
      <c r="V17" s="742">
        <v>7.125</v>
      </c>
      <c r="W17" s="713">
        <v>2.5</v>
      </c>
      <c r="X17" s="714">
        <v>8</v>
      </c>
      <c r="Y17" s="705" t="s">
        <v>259</v>
      </c>
      <c r="Z17" s="713" t="s">
        <v>259</v>
      </c>
      <c r="AA17" s="713" t="s">
        <v>259</v>
      </c>
      <c r="AB17" s="714" t="s">
        <v>259</v>
      </c>
      <c r="AC17" s="743">
        <v>17</v>
      </c>
      <c r="AD17" s="744">
        <v>20</v>
      </c>
      <c r="AE17" s="744">
        <v>15</v>
      </c>
      <c r="AF17" s="745">
        <v>9</v>
      </c>
      <c r="AG17" s="705">
        <f t="shared" si="0"/>
        <v>1.5625</v>
      </c>
      <c r="AH17" s="722" t="s">
        <v>2107</v>
      </c>
      <c r="AI17" s="722" t="s">
        <v>2108</v>
      </c>
      <c r="AJ17" s="722" t="s">
        <v>2109</v>
      </c>
      <c r="AK17" s="722" t="s">
        <v>2110</v>
      </c>
      <c r="AL17" s="722" t="s">
        <v>2111</v>
      </c>
      <c r="AM17" s="722" t="s">
        <v>2112</v>
      </c>
      <c r="AN17" s="722" t="s">
        <v>2339</v>
      </c>
      <c r="AO17" s="722"/>
      <c r="AP17" s="722" t="s">
        <v>2113</v>
      </c>
      <c r="AQ17" s="715" t="s">
        <v>456</v>
      </c>
      <c r="AR17" s="722" t="s">
        <v>2255</v>
      </c>
    </row>
    <row r="18" spans="1:44" s="693" customFormat="1" x14ac:dyDescent="0.2">
      <c r="A18" s="693" t="s">
        <v>594</v>
      </c>
      <c r="B18" s="716"/>
      <c r="C18" s="692" t="s">
        <v>1568</v>
      </c>
      <c r="D18" s="708" t="s">
        <v>383</v>
      </c>
      <c r="E18" s="692" t="s">
        <v>2345</v>
      </c>
      <c r="F18" s="693" t="s">
        <v>484</v>
      </c>
      <c r="G18" s="708" t="s">
        <v>2547</v>
      </c>
      <c r="H18" s="717" t="s">
        <v>599</v>
      </c>
      <c r="I18" s="718"/>
      <c r="J18" s="718"/>
      <c r="K18" s="717" t="s">
        <v>1039</v>
      </c>
      <c r="L18" s="719" t="s">
        <v>976</v>
      </c>
      <c r="M18" s="696"/>
      <c r="N18" s="696">
        <v>24.99</v>
      </c>
      <c r="O18" s="697">
        <v>1</v>
      </c>
      <c r="P18" s="698">
        <v>30</v>
      </c>
      <c r="Q18" s="711">
        <f t="shared" si="1"/>
        <v>0.39903669455462842</v>
      </c>
      <c r="R18" s="712">
        <v>2</v>
      </c>
      <c r="S18" s="712">
        <v>2</v>
      </c>
      <c r="T18" s="740" t="s">
        <v>2684</v>
      </c>
      <c r="U18" s="741">
        <v>0.5</v>
      </c>
      <c r="V18" s="742">
        <v>7.125</v>
      </c>
      <c r="W18" s="713">
        <v>2.5</v>
      </c>
      <c r="X18" s="714">
        <v>8</v>
      </c>
      <c r="Y18" s="705" t="s">
        <v>259</v>
      </c>
      <c r="Z18" s="713" t="s">
        <v>259</v>
      </c>
      <c r="AA18" s="713" t="s">
        <v>259</v>
      </c>
      <c r="AB18" s="714" t="s">
        <v>259</v>
      </c>
      <c r="AC18" s="743">
        <v>17</v>
      </c>
      <c r="AD18" s="744">
        <v>20</v>
      </c>
      <c r="AE18" s="744">
        <v>15</v>
      </c>
      <c r="AF18" s="745">
        <v>9</v>
      </c>
      <c r="AG18" s="705">
        <f t="shared" si="0"/>
        <v>1.5625</v>
      </c>
      <c r="AH18" s="722" t="s">
        <v>2107</v>
      </c>
      <c r="AI18" s="722" t="s">
        <v>2108</v>
      </c>
      <c r="AJ18" s="722" t="s">
        <v>2109</v>
      </c>
      <c r="AK18" s="722" t="s">
        <v>2110</v>
      </c>
      <c r="AL18" s="722" t="s">
        <v>2111</v>
      </c>
      <c r="AM18" s="722" t="s">
        <v>2112</v>
      </c>
      <c r="AN18" s="722" t="s">
        <v>2339</v>
      </c>
      <c r="AO18" s="722"/>
      <c r="AP18" s="722" t="s">
        <v>2113</v>
      </c>
      <c r="AQ18" s="715" t="s">
        <v>456</v>
      </c>
      <c r="AR18" s="722" t="s">
        <v>2255</v>
      </c>
    </row>
    <row r="19" spans="1:44" s="693" customFormat="1" x14ac:dyDescent="0.2">
      <c r="A19" s="693" t="s">
        <v>594</v>
      </c>
      <c r="B19" s="716"/>
      <c r="C19" s="691" t="s">
        <v>1568</v>
      </c>
      <c r="D19" s="693" t="s">
        <v>372</v>
      </c>
      <c r="E19" s="692" t="s">
        <v>2345</v>
      </c>
      <c r="F19" s="693" t="s">
        <v>483</v>
      </c>
      <c r="G19" s="708" t="s">
        <v>2547</v>
      </c>
      <c r="H19" s="717" t="s">
        <v>600</v>
      </c>
      <c r="I19" s="718"/>
      <c r="J19" s="718"/>
      <c r="K19" s="717" t="s">
        <v>1039</v>
      </c>
      <c r="L19" s="719" t="s">
        <v>976</v>
      </c>
      <c r="M19" s="696"/>
      <c r="N19" s="696">
        <v>24.99</v>
      </c>
      <c r="O19" s="697">
        <v>1</v>
      </c>
      <c r="P19" s="698">
        <v>30</v>
      </c>
      <c r="Q19" s="711">
        <f t="shared" si="1"/>
        <v>0.39903669455462842</v>
      </c>
      <c r="R19" s="712">
        <v>2</v>
      </c>
      <c r="S19" s="712">
        <v>2</v>
      </c>
      <c r="T19" s="740" t="s">
        <v>2684</v>
      </c>
      <c r="U19" s="741">
        <v>0.5</v>
      </c>
      <c r="V19" s="742">
        <v>7.125</v>
      </c>
      <c r="W19" s="713">
        <v>2.5</v>
      </c>
      <c r="X19" s="714">
        <v>8</v>
      </c>
      <c r="Y19" s="705" t="s">
        <v>259</v>
      </c>
      <c r="Z19" s="713" t="s">
        <v>259</v>
      </c>
      <c r="AA19" s="713" t="s">
        <v>259</v>
      </c>
      <c r="AB19" s="714" t="s">
        <v>259</v>
      </c>
      <c r="AC19" s="743">
        <v>17</v>
      </c>
      <c r="AD19" s="744">
        <v>20</v>
      </c>
      <c r="AE19" s="744">
        <v>15</v>
      </c>
      <c r="AF19" s="745">
        <v>9</v>
      </c>
      <c r="AG19" s="705">
        <f t="shared" si="0"/>
        <v>1.5625</v>
      </c>
      <c r="AH19" s="722" t="s">
        <v>2107</v>
      </c>
      <c r="AI19" s="722" t="s">
        <v>2108</v>
      </c>
      <c r="AJ19" s="722" t="s">
        <v>2109</v>
      </c>
      <c r="AK19" s="722" t="s">
        <v>2110</v>
      </c>
      <c r="AL19" s="722" t="s">
        <v>2111</v>
      </c>
      <c r="AM19" s="722" t="s">
        <v>2112</v>
      </c>
      <c r="AN19" s="722" t="s">
        <v>2339</v>
      </c>
      <c r="AO19" s="722"/>
      <c r="AP19" s="722" t="s">
        <v>2113</v>
      </c>
      <c r="AQ19" s="715" t="s">
        <v>456</v>
      </c>
      <c r="AR19" s="722" t="s">
        <v>2255</v>
      </c>
    </row>
    <row r="20" spans="1:44" s="693" customFormat="1" x14ac:dyDescent="0.2">
      <c r="A20" s="693" t="s">
        <v>594</v>
      </c>
      <c r="B20" s="716"/>
      <c r="C20" s="691" t="s">
        <v>1569</v>
      </c>
      <c r="D20" s="708" t="s">
        <v>369</v>
      </c>
      <c r="E20" s="692" t="s">
        <v>2345</v>
      </c>
      <c r="F20" s="693" t="s">
        <v>2101</v>
      </c>
      <c r="G20" s="708" t="s">
        <v>2547</v>
      </c>
      <c r="H20" s="717" t="s">
        <v>880</v>
      </c>
      <c r="I20" s="725" t="s">
        <v>3725</v>
      </c>
      <c r="J20" s="725" t="s">
        <v>3726</v>
      </c>
      <c r="K20" s="717" t="s">
        <v>1039</v>
      </c>
      <c r="L20" s="710" t="s">
        <v>975</v>
      </c>
      <c r="M20" s="696"/>
      <c r="N20" s="696">
        <v>19.989999999999998</v>
      </c>
      <c r="O20" s="697">
        <v>6</v>
      </c>
      <c r="P20" s="698">
        <v>24</v>
      </c>
      <c r="Q20" s="711">
        <f t="shared" si="1"/>
        <v>0.39903669455462842</v>
      </c>
      <c r="R20" s="712">
        <v>2</v>
      </c>
      <c r="S20" s="712">
        <v>2</v>
      </c>
      <c r="T20" s="740" t="s">
        <v>2684</v>
      </c>
      <c r="U20" s="743">
        <v>0.5</v>
      </c>
      <c r="V20" s="744">
        <v>7.125</v>
      </c>
      <c r="W20" s="744">
        <v>2.5</v>
      </c>
      <c r="X20" s="745">
        <v>8</v>
      </c>
      <c r="Y20" s="743">
        <v>3.2</v>
      </c>
      <c r="Z20" s="744">
        <v>8</v>
      </c>
      <c r="AA20" s="744">
        <v>8.5</v>
      </c>
      <c r="AB20" s="745">
        <v>8.5</v>
      </c>
      <c r="AC20" s="743">
        <v>13.05</v>
      </c>
      <c r="AD20" s="744">
        <v>14.1</v>
      </c>
      <c r="AE20" s="744">
        <v>11.1</v>
      </c>
      <c r="AF20" s="745">
        <v>5.9</v>
      </c>
      <c r="AG20" s="705">
        <f t="shared" si="0"/>
        <v>0.53438020833333333</v>
      </c>
      <c r="AH20" s="722" t="s">
        <v>2107</v>
      </c>
      <c r="AI20" s="722" t="s">
        <v>2108</v>
      </c>
      <c r="AJ20" s="722" t="s">
        <v>2109</v>
      </c>
      <c r="AK20" s="722" t="s">
        <v>2110</v>
      </c>
      <c r="AL20" s="722" t="s">
        <v>2111</v>
      </c>
      <c r="AM20" s="722" t="s">
        <v>2112</v>
      </c>
      <c r="AN20" s="722" t="s">
        <v>2339</v>
      </c>
      <c r="AO20" s="722"/>
      <c r="AP20" s="722" t="s">
        <v>2113</v>
      </c>
      <c r="AQ20" s="722" t="s">
        <v>2255</v>
      </c>
      <c r="AR20" s="730"/>
    </row>
    <row r="21" spans="1:44" s="693" customFormat="1" x14ac:dyDescent="0.2">
      <c r="A21" s="693" t="s">
        <v>594</v>
      </c>
      <c r="B21" s="716"/>
      <c r="C21" s="691" t="s">
        <v>1569</v>
      </c>
      <c r="D21" s="708" t="s">
        <v>371</v>
      </c>
      <c r="E21" s="692" t="s">
        <v>2345</v>
      </c>
      <c r="F21" s="693" t="s">
        <v>2102</v>
      </c>
      <c r="G21" s="708" t="s">
        <v>2547</v>
      </c>
      <c r="H21" s="717" t="s">
        <v>881</v>
      </c>
      <c r="I21" s="725" t="s">
        <v>3723</v>
      </c>
      <c r="J21" s="725" t="s">
        <v>3724</v>
      </c>
      <c r="K21" s="717" t="s">
        <v>1039</v>
      </c>
      <c r="L21" s="710" t="s">
        <v>975</v>
      </c>
      <c r="M21" s="696"/>
      <c r="N21" s="696">
        <v>19.989999999999998</v>
      </c>
      <c r="O21" s="697">
        <v>6</v>
      </c>
      <c r="P21" s="698">
        <v>24</v>
      </c>
      <c r="Q21" s="711">
        <f t="shared" si="1"/>
        <v>0.39903669455462842</v>
      </c>
      <c r="R21" s="712">
        <v>2</v>
      </c>
      <c r="S21" s="712">
        <v>2</v>
      </c>
      <c r="T21" s="740" t="s">
        <v>2684</v>
      </c>
      <c r="U21" s="743">
        <v>0.5</v>
      </c>
      <c r="V21" s="744">
        <v>7.125</v>
      </c>
      <c r="W21" s="744">
        <v>2.5</v>
      </c>
      <c r="X21" s="745">
        <v>8</v>
      </c>
      <c r="Y21" s="743">
        <v>3.2</v>
      </c>
      <c r="Z21" s="744">
        <v>8</v>
      </c>
      <c r="AA21" s="744">
        <v>8.5</v>
      </c>
      <c r="AB21" s="745">
        <v>8.5</v>
      </c>
      <c r="AC21" s="743">
        <v>13.05</v>
      </c>
      <c r="AD21" s="744">
        <v>14.1</v>
      </c>
      <c r="AE21" s="744">
        <v>11.1</v>
      </c>
      <c r="AF21" s="745">
        <v>5.9</v>
      </c>
      <c r="AG21" s="705">
        <f t="shared" si="0"/>
        <v>0.53438020833333333</v>
      </c>
      <c r="AH21" s="722" t="s">
        <v>2107</v>
      </c>
      <c r="AI21" s="722" t="s">
        <v>2108</v>
      </c>
      <c r="AJ21" s="722" t="s">
        <v>2109</v>
      </c>
      <c r="AK21" s="722" t="s">
        <v>2110</v>
      </c>
      <c r="AL21" s="722" t="s">
        <v>2111</v>
      </c>
      <c r="AM21" s="722" t="s">
        <v>2112</v>
      </c>
      <c r="AN21" s="722" t="s">
        <v>2339</v>
      </c>
      <c r="AO21" s="722"/>
      <c r="AP21" s="722" t="s">
        <v>2113</v>
      </c>
      <c r="AQ21" s="722" t="s">
        <v>2255</v>
      </c>
      <c r="AR21" s="730"/>
    </row>
    <row r="22" spans="1:44" s="693" customFormat="1" x14ac:dyDescent="0.2">
      <c r="A22" s="693" t="s">
        <v>594</v>
      </c>
      <c r="B22" s="716"/>
      <c r="C22" s="691" t="s">
        <v>1569</v>
      </c>
      <c r="D22" s="708" t="s">
        <v>383</v>
      </c>
      <c r="E22" s="692" t="s">
        <v>2345</v>
      </c>
      <c r="F22" s="693" t="s">
        <v>2103</v>
      </c>
      <c r="G22" s="708" t="s">
        <v>2547</v>
      </c>
      <c r="H22" s="717" t="s">
        <v>944</v>
      </c>
      <c r="I22" s="725" t="s">
        <v>3721</v>
      </c>
      <c r="J22" s="725" t="s">
        <v>3722</v>
      </c>
      <c r="K22" s="717" t="s">
        <v>1039</v>
      </c>
      <c r="L22" s="710" t="s">
        <v>975</v>
      </c>
      <c r="M22" s="696"/>
      <c r="N22" s="696">
        <v>19.989999999999998</v>
      </c>
      <c r="O22" s="697">
        <v>6</v>
      </c>
      <c r="P22" s="698">
        <v>24</v>
      </c>
      <c r="Q22" s="711">
        <f t="shared" si="1"/>
        <v>0.39903669455462842</v>
      </c>
      <c r="R22" s="712">
        <v>2</v>
      </c>
      <c r="S22" s="712">
        <v>2</v>
      </c>
      <c r="T22" s="740" t="s">
        <v>2684</v>
      </c>
      <c r="U22" s="743">
        <v>0.5</v>
      </c>
      <c r="V22" s="744">
        <v>7.125</v>
      </c>
      <c r="W22" s="744">
        <v>2.5</v>
      </c>
      <c r="X22" s="745">
        <v>8</v>
      </c>
      <c r="Y22" s="743">
        <v>3.2</v>
      </c>
      <c r="Z22" s="744">
        <v>8</v>
      </c>
      <c r="AA22" s="744">
        <v>8.5</v>
      </c>
      <c r="AB22" s="745">
        <v>8.5</v>
      </c>
      <c r="AC22" s="743">
        <v>13.05</v>
      </c>
      <c r="AD22" s="744">
        <v>14.1</v>
      </c>
      <c r="AE22" s="744">
        <v>11.1</v>
      </c>
      <c r="AF22" s="745">
        <v>5.9</v>
      </c>
      <c r="AG22" s="705">
        <f t="shared" si="0"/>
        <v>0.53438020833333333</v>
      </c>
      <c r="AH22" s="722" t="s">
        <v>2107</v>
      </c>
      <c r="AI22" s="722" t="s">
        <v>2108</v>
      </c>
      <c r="AJ22" s="722" t="s">
        <v>2109</v>
      </c>
      <c r="AK22" s="722" t="s">
        <v>2110</v>
      </c>
      <c r="AL22" s="722" t="s">
        <v>2111</v>
      </c>
      <c r="AM22" s="722" t="s">
        <v>2112</v>
      </c>
      <c r="AN22" s="722" t="s">
        <v>2339</v>
      </c>
      <c r="AO22" s="722"/>
      <c r="AP22" s="722" t="s">
        <v>2113</v>
      </c>
      <c r="AQ22" s="722" t="s">
        <v>2255</v>
      </c>
      <c r="AR22" s="730"/>
    </row>
    <row r="23" spans="1:44" x14ac:dyDescent="0.2">
      <c r="A23" s="708" t="s">
        <v>594</v>
      </c>
      <c r="B23" s="731"/>
      <c r="C23" s="732" t="s">
        <v>2503</v>
      </c>
      <c r="E23" s="692" t="s">
        <v>2504</v>
      </c>
      <c r="F23" s="668" t="s">
        <v>2242</v>
      </c>
      <c r="G23" s="708" t="s">
        <v>2558</v>
      </c>
      <c r="H23" s="725" t="s">
        <v>2599</v>
      </c>
      <c r="I23" s="725" t="s">
        <v>2600</v>
      </c>
      <c r="J23" s="725" t="s">
        <v>2601</v>
      </c>
      <c r="K23" s="717" t="s">
        <v>1039</v>
      </c>
      <c r="L23" s="735" t="s">
        <v>975</v>
      </c>
      <c r="M23" s="696"/>
      <c r="N23" s="696">
        <v>29.99</v>
      </c>
      <c r="O23" s="733">
        <v>6</v>
      </c>
      <c r="P23" s="737">
        <v>24</v>
      </c>
      <c r="Q23" s="711">
        <f t="shared" si="1"/>
        <v>0.39903669455462842</v>
      </c>
      <c r="R23" s="712">
        <v>2</v>
      </c>
      <c r="S23" s="712">
        <v>2</v>
      </c>
      <c r="T23" s="740" t="s">
        <v>2684</v>
      </c>
      <c r="U23" s="746">
        <v>0.5</v>
      </c>
      <c r="V23" s="747">
        <v>2.1</v>
      </c>
      <c r="W23" s="733">
        <v>2.1</v>
      </c>
      <c r="X23" s="737">
        <v>6.2</v>
      </c>
      <c r="Y23" s="746"/>
      <c r="Z23" s="747"/>
      <c r="AA23" s="747"/>
      <c r="AB23" s="748"/>
      <c r="AC23" s="746"/>
      <c r="AD23" s="747"/>
      <c r="AE23" s="747"/>
      <c r="AF23" s="748"/>
      <c r="AG23" s="705">
        <f t="shared" si="0"/>
        <v>0</v>
      </c>
      <c r="AH23" s="722" t="s">
        <v>2107</v>
      </c>
      <c r="AI23" s="722" t="s">
        <v>2108</v>
      </c>
      <c r="AJ23" s="722" t="s">
        <v>2109</v>
      </c>
      <c r="AK23" s="722" t="s">
        <v>2110</v>
      </c>
      <c r="AL23" s="722" t="s">
        <v>2111</v>
      </c>
      <c r="AM23" s="722" t="s">
        <v>2112</v>
      </c>
      <c r="AN23" s="722" t="s">
        <v>2339</v>
      </c>
      <c r="AO23" s="722"/>
      <c r="AP23" s="722" t="s">
        <v>2113</v>
      </c>
      <c r="AQ23" s="722" t="s">
        <v>2255</v>
      </c>
    </row>
    <row r="24" spans="1:44" s="693" customFormat="1" x14ac:dyDescent="0.2">
      <c r="A24" s="893" t="s">
        <v>2234</v>
      </c>
      <c r="B24" s="893"/>
      <c r="C24" s="894"/>
      <c r="D24" s="703"/>
      <c r="E24" s="707"/>
      <c r="G24" s="708"/>
      <c r="H24" s="709"/>
      <c r="I24" s="709"/>
      <c r="J24" s="709"/>
      <c r="K24" s="709"/>
      <c r="L24" s="710"/>
      <c r="M24" s="696"/>
      <c r="N24" s="696"/>
      <c r="O24" s="697"/>
      <c r="P24" s="698"/>
      <c r="Q24" s="711"/>
      <c r="R24" s="712"/>
      <c r="S24" s="712"/>
      <c r="T24" s="701"/>
      <c r="U24" s="702"/>
      <c r="V24" s="703"/>
      <c r="W24" s="703"/>
      <c r="X24" s="704"/>
      <c r="Y24" s="702"/>
      <c r="Z24" s="703"/>
      <c r="AA24" s="703"/>
      <c r="AB24" s="704"/>
      <c r="AC24" s="702"/>
      <c r="AD24" s="703"/>
      <c r="AE24" s="703"/>
      <c r="AF24" s="704"/>
      <c r="AG24" s="705"/>
      <c r="AH24" s="715"/>
      <c r="AI24" s="715"/>
      <c r="AJ24" s="715"/>
      <c r="AK24" s="715"/>
      <c r="AL24" s="715"/>
      <c r="AM24" s="715"/>
      <c r="AN24" s="715"/>
      <c r="AO24" s="715"/>
      <c r="AP24" s="715"/>
      <c r="AQ24" s="715"/>
      <c r="AR24" s="715"/>
    </row>
    <row r="25" spans="1:44" s="693" customFormat="1" x14ac:dyDescent="0.2">
      <c r="A25" s="693" t="s">
        <v>594</v>
      </c>
      <c r="B25" s="724"/>
      <c r="C25" s="692" t="s">
        <v>2235</v>
      </c>
      <c r="E25" s="692" t="s">
        <v>2346</v>
      </c>
      <c r="G25" s="708" t="s">
        <v>2523</v>
      </c>
      <c r="H25" s="717" t="s">
        <v>2236</v>
      </c>
      <c r="I25" s="725" t="s">
        <v>259</v>
      </c>
      <c r="J25" s="725" t="s">
        <v>259</v>
      </c>
      <c r="K25" s="717" t="s">
        <v>1039</v>
      </c>
      <c r="L25" s="719" t="s">
        <v>976</v>
      </c>
      <c r="M25" s="696"/>
      <c r="N25" s="696">
        <v>49.99</v>
      </c>
      <c r="O25" s="697">
        <v>6</v>
      </c>
      <c r="P25" s="698">
        <v>12</v>
      </c>
      <c r="Q25" s="711">
        <f>6.8/16</f>
        <v>0.42499999999999999</v>
      </c>
      <c r="R25" s="712">
        <v>2</v>
      </c>
      <c r="S25" s="712">
        <v>2</v>
      </c>
      <c r="T25" s="740" t="s">
        <v>2684</v>
      </c>
      <c r="U25" s="705">
        <v>0.7</v>
      </c>
      <c r="V25" s="713">
        <v>4.25</v>
      </c>
      <c r="W25" s="713">
        <v>3.25</v>
      </c>
      <c r="X25" s="714">
        <v>5.625</v>
      </c>
      <c r="Y25" s="705" t="s">
        <v>259</v>
      </c>
      <c r="Z25" s="713" t="s">
        <v>259</v>
      </c>
      <c r="AA25" s="713" t="s">
        <v>259</v>
      </c>
      <c r="AB25" s="714" t="s">
        <v>259</v>
      </c>
      <c r="AC25" s="705" t="s">
        <v>259</v>
      </c>
      <c r="AD25" s="713" t="s">
        <v>259</v>
      </c>
      <c r="AE25" s="713" t="s">
        <v>259</v>
      </c>
      <c r="AF25" s="714" t="s">
        <v>259</v>
      </c>
      <c r="AG25" s="705"/>
      <c r="AH25" s="708" t="s">
        <v>2341</v>
      </c>
      <c r="AI25" s="721" t="s">
        <v>2107</v>
      </c>
      <c r="AJ25" s="721" t="s">
        <v>2490</v>
      </c>
      <c r="AK25" s="721" t="s">
        <v>2491</v>
      </c>
      <c r="AL25" s="721" t="s">
        <v>2110</v>
      </c>
      <c r="AM25" s="721" t="s">
        <v>2111</v>
      </c>
      <c r="AN25" s="721" t="s">
        <v>2112</v>
      </c>
      <c r="AO25" s="721" t="s">
        <v>2730</v>
      </c>
      <c r="AP25" s="721" t="s">
        <v>2492</v>
      </c>
      <c r="AQ25" s="715" t="s">
        <v>456</v>
      </c>
      <c r="AR25" s="722" t="s">
        <v>2255</v>
      </c>
    </row>
    <row r="26" spans="1:44" s="693" customFormat="1" x14ac:dyDescent="0.2">
      <c r="A26" s="895" t="s">
        <v>2099</v>
      </c>
      <c r="B26" s="895"/>
      <c r="C26" s="895"/>
      <c r="E26" s="692"/>
      <c r="G26" s="708"/>
      <c r="H26" s="717"/>
      <c r="I26" s="717"/>
      <c r="J26" s="717"/>
      <c r="K26" s="717"/>
      <c r="L26" s="719"/>
      <c r="M26" s="696"/>
      <c r="N26" s="696"/>
      <c r="O26" s="697"/>
      <c r="P26" s="698"/>
      <c r="Q26" s="711"/>
      <c r="R26" s="712"/>
      <c r="S26" s="712"/>
      <c r="T26" s="701"/>
      <c r="U26" s="702"/>
      <c r="V26" s="703"/>
      <c r="W26" s="703"/>
      <c r="X26" s="704"/>
      <c r="Y26" s="702"/>
      <c r="Z26" s="703"/>
      <c r="AA26" s="703"/>
      <c r="AB26" s="704"/>
      <c r="AC26" s="702"/>
      <c r="AD26" s="703"/>
      <c r="AE26" s="703"/>
      <c r="AF26" s="704"/>
      <c r="AG26" s="705"/>
      <c r="AH26" s="722"/>
      <c r="AI26" s="722"/>
      <c r="AJ26" s="722"/>
      <c r="AK26" s="722"/>
      <c r="AL26" s="722"/>
      <c r="AM26" s="722"/>
      <c r="AN26" s="715"/>
      <c r="AO26" s="730"/>
      <c r="AP26" s="715"/>
      <c r="AQ26" s="715"/>
      <c r="AR26" s="715"/>
    </row>
    <row r="27" spans="1:44" s="693" customFormat="1" x14ac:dyDescent="0.2">
      <c r="A27" s="693" t="s">
        <v>594</v>
      </c>
      <c r="B27" s="716"/>
      <c r="C27" s="691" t="s">
        <v>1567</v>
      </c>
      <c r="D27" s="708" t="s">
        <v>369</v>
      </c>
      <c r="E27" s="692" t="s">
        <v>2347</v>
      </c>
      <c r="F27" s="693" t="s">
        <v>2101</v>
      </c>
      <c r="G27" s="708" t="s">
        <v>2558</v>
      </c>
      <c r="H27" s="717" t="s">
        <v>959</v>
      </c>
      <c r="I27" s="725" t="s">
        <v>3335</v>
      </c>
      <c r="J27" s="725" t="s">
        <v>3336</v>
      </c>
      <c r="K27" s="717" t="s">
        <v>1039</v>
      </c>
      <c r="L27" s="710" t="s">
        <v>975</v>
      </c>
      <c r="M27" s="696"/>
      <c r="N27" s="696">
        <v>26.99</v>
      </c>
      <c r="O27" s="697">
        <v>6</v>
      </c>
      <c r="P27" s="698">
        <v>24</v>
      </c>
      <c r="Q27" s="711">
        <f>CONVERT(240,"g","lbm")</f>
        <v>0.52910942924370619</v>
      </c>
      <c r="R27" s="712" t="s">
        <v>259</v>
      </c>
      <c r="S27" s="712" t="s">
        <v>259</v>
      </c>
      <c r="T27" s="720" t="s">
        <v>259</v>
      </c>
      <c r="U27" s="741">
        <f>CONVERT(265,"g","lbm")</f>
        <v>0.58422499478992562</v>
      </c>
      <c r="V27" s="744">
        <v>4.75</v>
      </c>
      <c r="W27" s="744">
        <v>2</v>
      </c>
      <c r="X27" s="745">
        <v>7.5</v>
      </c>
      <c r="Y27" s="743">
        <v>4.25</v>
      </c>
      <c r="Z27" s="744">
        <v>13.25</v>
      </c>
      <c r="AA27" s="744">
        <v>5</v>
      </c>
      <c r="AB27" s="745">
        <v>8</v>
      </c>
      <c r="AC27" s="743">
        <v>18</v>
      </c>
      <c r="AD27" s="744">
        <v>13.75</v>
      </c>
      <c r="AE27" s="744">
        <v>21</v>
      </c>
      <c r="AF27" s="745">
        <v>8.75</v>
      </c>
      <c r="AG27" s="705">
        <f>AD27*AE27*AF27/(12^3)</f>
        <v>1.4621310763888888</v>
      </c>
      <c r="AH27" s="722" t="s">
        <v>2120</v>
      </c>
      <c r="AI27" s="722" t="s">
        <v>2121</v>
      </c>
      <c r="AJ27" s="722" t="s">
        <v>2107</v>
      </c>
      <c r="AK27" s="722" t="s">
        <v>2108</v>
      </c>
      <c r="AL27" s="722" t="s">
        <v>2109</v>
      </c>
      <c r="AM27" s="722" t="s">
        <v>2110</v>
      </c>
      <c r="AN27" s="722" t="s">
        <v>2111</v>
      </c>
      <c r="AO27" s="722" t="s">
        <v>2112</v>
      </c>
      <c r="AP27" s="722" t="s">
        <v>2122</v>
      </c>
      <c r="AQ27" s="722" t="s">
        <v>2255</v>
      </c>
      <c r="AR27" s="730"/>
    </row>
    <row r="28" spans="1:44" s="693" customFormat="1" x14ac:dyDescent="0.2">
      <c r="A28" s="693" t="s">
        <v>594</v>
      </c>
      <c r="B28" s="716"/>
      <c r="C28" s="691" t="s">
        <v>1567</v>
      </c>
      <c r="D28" s="708" t="s">
        <v>371</v>
      </c>
      <c r="E28" s="692" t="s">
        <v>2347</v>
      </c>
      <c r="F28" s="693" t="s">
        <v>2102</v>
      </c>
      <c r="G28" s="708" t="s">
        <v>2558</v>
      </c>
      <c r="H28" s="717" t="s">
        <v>958</v>
      </c>
      <c r="I28" s="725" t="s">
        <v>3337</v>
      </c>
      <c r="J28" s="725" t="s">
        <v>3338</v>
      </c>
      <c r="K28" s="717" t="s">
        <v>1039</v>
      </c>
      <c r="L28" s="710" t="s">
        <v>975</v>
      </c>
      <c r="M28" s="696"/>
      <c r="N28" s="696">
        <v>26.99</v>
      </c>
      <c r="O28" s="697">
        <v>6</v>
      </c>
      <c r="P28" s="698">
        <v>24</v>
      </c>
      <c r="Q28" s="711">
        <f>CONVERT(240,"g","lbm")</f>
        <v>0.52910942924370619</v>
      </c>
      <c r="R28" s="712" t="s">
        <v>259</v>
      </c>
      <c r="S28" s="712" t="s">
        <v>259</v>
      </c>
      <c r="T28" s="720" t="s">
        <v>259</v>
      </c>
      <c r="U28" s="741">
        <f>CONVERT(265,"g","lbm")</f>
        <v>0.58422499478992562</v>
      </c>
      <c r="V28" s="744">
        <v>4.75</v>
      </c>
      <c r="W28" s="744">
        <v>2</v>
      </c>
      <c r="X28" s="745">
        <v>7.5</v>
      </c>
      <c r="Y28" s="743">
        <v>4.25</v>
      </c>
      <c r="Z28" s="744">
        <v>13.25</v>
      </c>
      <c r="AA28" s="744">
        <v>5</v>
      </c>
      <c r="AB28" s="745">
        <v>8</v>
      </c>
      <c r="AC28" s="743">
        <v>18</v>
      </c>
      <c r="AD28" s="744">
        <v>13.75</v>
      </c>
      <c r="AE28" s="744">
        <v>21</v>
      </c>
      <c r="AF28" s="745">
        <v>8.75</v>
      </c>
      <c r="AG28" s="705">
        <f>AD28*AE28*AF28/(12^3)</f>
        <v>1.4621310763888888</v>
      </c>
      <c r="AH28" s="722" t="s">
        <v>2120</v>
      </c>
      <c r="AI28" s="722" t="s">
        <v>2121</v>
      </c>
      <c r="AJ28" s="722" t="s">
        <v>2107</v>
      </c>
      <c r="AK28" s="722" t="s">
        <v>2108</v>
      </c>
      <c r="AL28" s="722" t="s">
        <v>2109</v>
      </c>
      <c r="AM28" s="722" t="s">
        <v>2110</v>
      </c>
      <c r="AN28" s="722" t="s">
        <v>2111</v>
      </c>
      <c r="AO28" s="722" t="s">
        <v>2112</v>
      </c>
      <c r="AP28" s="722" t="s">
        <v>2122</v>
      </c>
      <c r="AQ28" s="722" t="s">
        <v>2255</v>
      </c>
      <c r="AR28" s="730"/>
    </row>
    <row r="29" spans="1:44" s="693" customFormat="1" x14ac:dyDescent="0.2">
      <c r="A29" s="693" t="s">
        <v>594</v>
      </c>
      <c r="B29" s="716"/>
      <c r="C29" s="691" t="s">
        <v>1567</v>
      </c>
      <c r="D29" s="708" t="s">
        <v>383</v>
      </c>
      <c r="E29" s="692" t="s">
        <v>2347</v>
      </c>
      <c r="F29" s="693" t="s">
        <v>2103</v>
      </c>
      <c r="G29" s="708" t="s">
        <v>2558</v>
      </c>
      <c r="H29" s="717" t="s">
        <v>957</v>
      </c>
      <c r="I29" s="725" t="s">
        <v>3339</v>
      </c>
      <c r="J29" s="725" t="s">
        <v>3340</v>
      </c>
      <c r="K29" s="717" t="s">
        <v>1039</v>
      </c>
      <c r="L29" s="710" t="s">
        <v>975</v>
      </c>
      <c r="M29" s="696"/>
      <c r="N29" s="696">
        <v>26.99</v>
      </c>
      <c r="O29" s="697">
        <v>6</v>
      </c>
      <c r="P29" s="698">
        <v>24</v>
      </c>
      <c r="Q29" s="711">
        <f>CONVERT(240,"g","lbm")</f>
        <v>0.52910942924370619</v>
      </c>
      <c r="R29" s="712" t="s">
        <v>259</v>
      </c>
      <c r="S29" s="712" t="s">
        <v>259</v>
      </c>
      <c r="T29" s="720" t="s">
        <v>259</v>
      </c>
      <c r="U29" s="741">
        <f>CONVERT(265,"g","lbm")</f>
        <v>0.58422499478992562</v>
      </c>
      <c r="V29" s="744">
        <v>4.75</v>
      </c>
      <c r="W29" s="744">
        <v>2</v>
      </c>
      <c r="X29" s="745">
        <v>7.5</v>
      </c>
      <c r="Y29" s="743">
        <v>4.25</v>
      </c>
      <c r="Z29" s="744">
        <v>13.25</v>
      </c>
      <c r="AA29" s="744">
        <v>5</v>
      </c>
      <c r="AB29" s="745">
        <v>8</v>
      </c>
      <c r="AC29" s="743">
        <v>18</v>
      </c>
      <c r="AD29" s="744">
        <v>13.75</v>
      </c>
      <c r="AE29" s="744">
        <v>21</v>
      </c>
      <c r="AF29" s="745">
        <v>8.75</v>
      </c>
      <c r="AG29" s="705">
        <f>AD29*AE29*AF29/(12^3)</f>
        <v>1.4621310763888888</v>
      </c>
      <c r="AH29" s="722" t="s">
        <v>2120</v>
      </c>
      <c r="AI29" s="722" t="s">
        <v>2121</v>
      </c>
      <c r="AJ29" s="722" t="s">
        <v>2107</v>
      </c>
      <c r="AK29" s="722" t="s">
        <v>2108</v>
      </c>
      <c r="AL29" s="722" t="s">
        <v>2109</v>
      </c>
      <c r="AM29" s="722" t="s">
        <v>2110</v>
      </c>
      <c r="AN29" s="722" t="s">
        <v>2111</v>
      </c>
      <c r="AO29" s="722" t="s">
        <v>2112</v>
      </c>
      <c r="AP29" s="722" t="s">
        <v>2122</v>
      </c>
      <c r="AQ29" s="722" t="s">
        <v>2255</v>
      </c>
      <c r="AR29" s="730"/>
    </row>
    <row r="30" spans="1:44" s="693" customFormat="1" x14ac:dyDescent="0.2">
      <c r="A30" s="895" t="s">
        <v>2098</v>
      </c>
      <c r="B30" s="895"/>
      <c r="C30" s="895"/>
      <c r="D30" s="703"/>
      <c r="E30" s="707"/>
      <c r="G30" s="708"/>
      <c r="H30" s="709"/>
      <c r="I30" s="709"/>
      <c r="J30" s="709"/>
      <c r="K30" s="709"/>
      <c r="L30" s="710"/>
      <c r="M30" s="696"/>
      <c r="N30" s="696"/>
      <c r="O30" s="697"/>
      <c r="P30" s="698"/>
      <c r="Q30" s="711"/>
      <c r="R30" s="712"/>
      <c r="S30" s="712"/>
      <c r="T30" s="701"/>
      <c r="U30" s="702"/>
      <c r="V30" s="703"/>
      <c r="W30" s="703"/>
      <c r="X30" s="704"/>
      <c r="Y30" s="702"/>
      <c r="Z30" s="703"/>
      <c r="AA30" s="703"/>
      <c r="AB30" s="704"/>
      <c r="AC30" s="702"/>
      <c r="AD30" s="703"/>
      <c r="AE30" s="703"/>
      <c r="AF30" s="704"/>
      <c r="AG30" s="705"/>
      <c r="AH30" s="715"/>
      <c r="AI30" s="715"/>
      <c r="AJ30" s="715"/>
      <c r="AK30" s="715"/>
      <c r="AL30" s="715"/>
      <c r="AM30" s="715"/>
      <c r="AN30" s="715"/>
      <c r="AO30" s="715"/>
      <c r="AP30" s="715"/>
      <c r="AQ30" s="715"/>
      <c r="AR30" s="715"/>
    </row>
    <row r="31" spans="1:44" s="693" customFormat="1" x14ac:dyDescent="0.2">
      <c r="A31" s="693" t="s">
        <v>594</v>
      </c>
      <c r="B31" s="716"/>
      <c r="C31" s="691" t="s">
        <v>2116</v>
      </c>
      <c r="D31" s="708"/>
      <c r="E31" s="692" t="s">
        <v>2342</v>
      </c>
      <c r="F31" s="693" t="s">
        <v>118</v>
      </c>
      <c r="G31" s="708" t="s">
        <v>2567</v>
      </c>
      <c r="H31" s="717" t="s">
        <v>603</v>
      </c>
      <c r="I31" s="725" t="s">
        <v>259</v>
      </c>
      <c r="J31" s="725" t="s">
        <v>259</v>
      </c>
      <c r="K31" s="717" t="s">
        <v>1039</v>
      </c>
      <c r="L31" s="719" t="s">
        <v>976</v>
      </c>
      <c r="M31" s="696"/>
      <c r="N31" s="696">
        <v>29.99</v>
      </c>
      <c r="O31" s="697">
        <v>1</v>
      </c>
      <c r="P31" s="727" t="s">
        <v>259</v>
      </c>
      <c r="Q31" s="711">
        <f>12.3/16</f>
        <v>0.76875000000000004</v>
      </c>
      <c r="R31" s="712" t="s">
        <v>259</v>
      </c>
      <c r="S31" s="712" t="s">
        <v>259</v>
      </c>
      <c r="T31" s="720" t="s">
        <v>259</v>
      </c>
      <c r="U31" s="705">
        <v>0.85</v>
      </c>
      <c r="V31" s="713">
        <v>6</v>
      </c>
      <c r="W31" s="713">
        <v>3.75</v>
      </c>
      <c r="X31" s="714">
        <v>7</v>
      </c>
      <c r="Y31" s="705" t="s">
        <v>259</v>
      </c>
      <c r="Z31" s="713" t="s">
        <v>259</v>
      </c>
      <c r="AA31" s="713" t="s">
        <v>259</v>
      </c>
      <c r="AB31" s="714" t="s">
        <v>259</v>
      </c>
      <c r="AC31" s="705" t="s">
        <v>259</v>
      </c>
      <c r="AD31" s="713" t="s">
        <v>259</v>
      </c>
      <c r="AE31" s="713" t="s">
        <v>259</v>
      </c>
      <c r="AF31" s="714" t="s">
        <v>259</v>
      </c>
      <c r="AG31" s="705"/>
      <c r="AH31" s="722" t="s">
        <v>2107</v>
      </c>
      <c r="AI31" s="722" t="s">
        <v>2108</v>
      </c>
      <c r="AJ31" s="722" t="s">
        <v>2109</v>
      </c>
      <c r="AK31" s="722" t="s">
        <v>2110</v>
      </c>
      <c r="AL31" s="722" t="s">
        <v>2111</v>
      </c>
      <c r="AM31" s="722" t="s">
        <v>2112</v>
      </c>
      <c r="AN31" s="722" t="s">
        <v>2118</v>
      </c>
      <c r="AO31" s="722" t="s">
        <v>2364</v>
      </c>
      <c r="AP31" s="722" t="s">
        <v>2119</v>
      </c>
      <c r="AQ31" s="715" t="s">
        <v>456</v>
      </c>
      <c r="AR31" s="722" t="s">
        <v>2255</v>
      </c>
    </row>
    <row r="32" spans="1:44" s="693" customFormat="1" x14ac:dyDescent="0.2">
      <c r="A32" s="693" t="s">
        <v>594</v>
      </c>
      <c r="B32" s="716"/>
      <c r="C32" s="691" t="s">
        <v>2117</v>
      </c>
      <c r="D32" s="708"/>
      <c r="E32" s="692" t="s">
        <v>2342</v>
      </c>
      <c r="F32" s="693" t="s">
        <v>119</v>
      </c>
      <c r="G32" s="708" t="s">
        <v>2567</v>
      </c>
      <c r="H32" s="717" t="s">
        <v>609</v>
      </c>
      <c r="I32" s="725" t="s">
        <v>259</v>
      </c>
      <c r="J32" s="725" t="s">
        <v>259</v>
      </c>
      <c r="K32" s="717" t="s">
        <v>1039</v>
      </c>
      <c r="L32" s="719" t="s">
        <v>976</v>
      </c>
      <c r="M32" s="696"/>
      <c r="N32" s="696">
        <v>36.99</v>
      </c>
      <c r="O32" s="697">
        <v>1</v>
      </c>
      <c r="P32" s="727" t="s">
        <v>259</v>
      </c>
      <c r="Q32" s="711">
        <f>14.9/16</f>
        <v>0.93125000000000002</v>
      </c>
      <c r="R32" s="712" t="s">
        <v>259</v>
      </c>
      <c r="S32" s="712" t="s">
        <v>259</v>
      </c>
      <c r="T32" s="720" t="s">
        <v>259</v>
      </c>
      <c r="U32" s="705">
        <v>0.95</v>
      </c>
      <c r="V32" s="713">
        <v>6</v>
      </c>
      <c r="W32" s="713">
        <v>3.75</v>
      </c>
      <c r="X32" s="714">
        <v>7</v>
      </c>
      <c r="Y32" s="705" t="s">
        <v>259</v>
      </c>
      <c r="Z32" s="713" t="s">
        <v>259</v>
      </c>
      <c r="AA32" s="713" t="s">
        <v>259</v>
      </c>
      <c r="AB32" s="714" t="s">
        <v>259</v>
      </c>
      <c r="AC32" s="705" t="s">
        <v>259</v>
      </c>
      <c r="AD32" s="713" t="s">
        <v>259</v>
      </c>
      <c r="AE32" s="713" t="s">
        <v>259</v>
      </c>
      <c r="AF32" s="714" t="s">
        <v>259</v>
      </c>
      <c r="AG32" s="705"/>
      <c r="AH32" s="722" t="s">
        <v>2107</v>
      </c>
      <c r="AI32" s="722" t="s">
        <v>2115</v>
      </c>
      <c r="AJ32" s="722" t="s">
        <v>2109</v>
      </c>
      <c r="AK32" s="722" t="s">
        <v>2110</v>
      </c>
      <c r="AL32" s="722" t="s">
        <v>2111</v>
      </c>
      <c r="AM32" s="722" t="s">
        <v>2112</v>
      </c>
      <c r="AN32" s="722" t="s">
        <v>2118</v>
      </c>
      <c r="AO32" s="722" t="s">
        <v>2365</v>
      </c>
      <c r="AP32" s="722" t="s">
        <v>2119</v>
      </c>
      <c r="AQ32" s="715" t="s">
        <v>456</v>
      </c>
      <c r="AR32" s="722" t="s">
        <v>2255</v>
      </c>
    </row>
    <row r="33" spans="1:44" s="693" customFormat="1" x14ac:dyDescent="0.2">
      <c r="A33" s="693" t="s">
        <v>594</v>
      </c>
      <c r="B33" s="716"/>
      <c r="C33" s="691" t="s">
        <v>2083</v>
      </c>
      <c r="D33" s="693" t="s">
        <v>369</v>
      </c>
      <c r="E33" s="692" t="s">
        <v>2342</v>
      </c>
      <c r="F33" s="693" t="s">
        <v>222</v>
      </c>
      <c r="G33" s="708" t="s">
        <v>2567</v>
      </c>
      <c r="H33" s="717" t="s">
        <v>604</v>
      </c>
      <c r="I33" s="725" t="s">
        <v>259</v>
      </c>
      <c r="J33" s="725" t="s">
        <v>259</v>
      </c>
      <c r="K33" s="717" t="s">
        <v>1039</v>
      </c>
      <c r="L33" s="719" t="s">
        <v>976</v>
      </c>
      <c r="M33" s="696"/>
      <c r="N33" s="696">
        <v>29.99</v>
      </c>
      <c r="O33" s="697">
        <v>1</v>
      </c>
      <c r="P33" s="727" t="s">
        <v>259</v>
      </c>
      <c r="Q33" s="711">
        <f>12.6/16</f>
        <v>0.78749999999999998</v>
      </c>
      <c r="R33" s="712" t="s">
        <v>259</v>
      </c>
      <c r="S33" s="712" t="s">
        <v>259</v>
      </c>
      <c r="T33" s="720" t="s">
        <v>259</v>
      </c>
      <c r="U33" s="705">
        <v>0.85</v>
      </c>
      <c r="V33" s="713">
        <v>6</v>
      </c>
      <c r="W33" s="713">
        <v>3.75</v>
      </c>
      <c r="X33" s="714">
        <v>7</v>
      </c>
      <c r="Y33" s="705" t="s">
        <v>259</v>
      </c>
      <c r="Z33" s="713" t="s">
        <v>259</v>
      </c>
      <c r="AA33" s="713" t="s">
        <v>259</v>
      </c>
      <c r="AB33" s="714" t="s">
        <v>259</v>
      </c>
      <c r="AC33" s="705" t="s">
        <v>259</v>
      </c>
      <c r="AD33" s="713" t="s">
        <v>259</v>
      </c>
      <c r="AE33" s="713" t="s">
        <v>259</v>
      </c>
      <c r="AF33" s="714" t="s">
        <v>259</v>
      </c>
      <c r="AG33" s="705"/>
      <c r="AH33" s="722" t="s">
        <v>2107</v>
      </c>
      <c r="AI33" s="722" t="s">
        <v>2108</v>
      </c>
      <c r="AJ33" s="722" t="s">
        <v>2109</v>
      </c>
      <c r="AK33" s="722" t="s">
        <v>2110</v>
      </c>
      <c r="AL33" s="722" t="s">
        <v>2111</v>
      </c>
      <c r="AM33" s="722" t="s">
        <v>2112</v>
      </c>
      <c r="AN33" s="722" t="s">
        <v>2118</v>
      </c>
      <c r="AO33" s="722" t="s">
        <v>2364</v>
      </c>
      <c r="AP33" s="722" t="s">
        <v>2119</v>
      </c>
      <c r="AQ33" s="715" t="s">
        <v>456</v>
      </c>
      <c r="AR33" s="722" t="s">
        <v>2255</v>
      </c>
    </row>
    <row r="34" spans="1:44" s="693" customFormat="1" x14ac:dyDescent="0.2">
      <c r="A34" s="693" t="s">
        <v>594</v>
      </c>
      <c r="B34" s="716"/>
      <c r="C34" s="691" t="s">
        <v>2083</v>
      </c>
      <c r="D34" s="693" t="s">
        <v>371</v>
      </c>
      <c r="E34" s="692" t="s">
        <v>2342</v>
      </c>
      <c r="F34" s="693" t="s">
        <v>218</v>
      </c>
      <c r="G34" s="708" t="s">
        <v>2567</v>
      </c>
      <c r="H34" s="717" t="s">
        <v>605</v>
      </c>
      <c r="I34" s="725" t="s">
        <v>259</v>
      </c>
      <c r="J34" s="725" t="s">
        <v>259</v>
      </c>
      <c r="K34" s="717" t="s">
        <v>1039</v>
      </c>
      <c r="L34" s="719" t="s">
        <v>976</v>
      </c>
      <c r="M34" s="696"/>
      <c r="N34" s="696">
        <v>29.99</v>
      </c>
      <c r="O34" s="697">
        <v>1</v>
      </c>
      <c r="P34" s="727" t="s">
        <v>259</v>
      </c>
      <c r="Q34" s="711">
        <f>12.6/16</f>
        <v>0.78749999999999998</v>
      </c>
      <c r="R34" s="712" t="s">
        <v>259</v>
      </c>
      <c r="S34" s="712" t="s">
        <v>259</v>
      </c>
      <c r="T34" s="720" t="s">
        <v>259</v>
      </c>
      <c r="U34" s="705">
        <v>0.85</v>
      </c>
      <c r="V34" s="713">
        <v>6</v>
      </c>
      <c r="W34" s="713">
        <v>3.75</v>
      </c>
      <c r="X34" s="714">
        <v>7</v>
      </c>
      <c r="Y34" s="705" t="s">
        <v>259</v>
      </c>
      <c r="Z34" s="713" t="s">
        <v>259</v>
      </c>
      <c r="AA34" s="713" t="s">
        <v>259</v>
      </c>
      <c r="AB34" s="714" t="s">
        <v>259</v>
      </c>
      <c r="AC34" s="705" t="s">
        <v>259</v>
      </c>
      <c r="AD34" s="713" t="s">
        <v>259</v>
      </c>
      <c r="AE34" s="713" t="s">
        <v>259</v>
      </c>
      <c r="AF34" s="714" t="s">
        <v>259</v>
      </c>
      <c r="AG34" s="705"/>
      <c r="AH34" s="722" t="s">
        <v>2107</v>
      </c>
      <c r="AI34" s="722" t="s">
        <v>2108</v>
      </c>
      <c r="AJ34" s="722" t="s">
        <v>2109</v>
      </c>
      <c r="AK34" s="722" t="s">
        <v>2110</v>
      </c>
      <c r="AL34" s="722" t="s">
        <v>2111</v>
      </c>
      <c r="AM34" s="722" t="s">
        <v>2112</v>
      </c>
      <c r="AN34" s="722" t="s">
        <v>2118</v>
      </c>
      <c r="AO34" s="722" t="s">
        <v>2364</v>
      </c>
      <c r="AP34" s="722" t="s">
        <v>2119</v>
      </c>
      <c r="AQ34" s="715" t="s">
        <v>456</v>
      </c>
      <c r="AR34" s="722" t="s">
        <v>2255</v>
      </c>
    </row>
    <row r="35" spans="1:44" s="693" customFormat="1" x14ac:dyDescent="0.2">
      <c r="A35" s="693" t="s">
        <v>594</v>
      </c>
      <c r="B35" s="716"/>
      <c r="C35" s="691" t="s">
        <v>2083</v>
      </c>
      <c r="D35" s="693" t="s">
        <v>370</v>
      </c>
      <c r="E35" s="692" t="s">
        <v>2342</v>
      </c>
      <c r="F35" s="693" t="s">
        <v>217</v>
      </c>
      <c r="G35" s="708" t="s">
        <v>2567</v>
      </c>
      <c r="H35" s="717" t="s">
        <v>606</v>
      </c>
      <c r="I35" s="725" t="s">
        <v>259</v>
      </c>
      <c r="J35" s="725" t="s">
        <v>259</v>
      </c>
      <c r="K35" s="717" t="s">
        <v>1039</v>
      </c>
      <c r="L35" s="719" t="s">
        <v>976</v>
      </c>
      <c r="M35" s="696"/>
      <c r="N35" s="696">
        <v>29.99</v>
      </c>
      <c r="O35" s="697">
        <v>1</v>
      </c>
      <c r="P35" s="727" t="s">
        <v>259</v>
      </c>
      <c r="Q35" s="711">
        <f>12.6/16</f>
        <v>0.78749999999999998</v>
      </c>
      <c r="R35" s="712" t="s">
        <v>259</v>
      </c>
      <c r="S35" s="712" t="s">
        <v>259</v>
      </c>
      <c r="T35" s="720" t="s">
        <v>259</v>
      </c>
      <c r="U35" s="705">
        <v>0.85</v>
      </c>
      <c r="V35" s="713">
        <v>6</v>
      </c>
      <c r="W35" s="713">
        <v>3.75</v>
      </c>
      <c r="X35" s="714">
        <v>7</v>
      </c>
      <c r="Y35" s="705" t="s">
        <v>259</v>
      </c>
      <c r="Z35" s="713" t="s">
        <v>259</v>
      </c>
      <c r="AA35" s="713" t="s">
        <v>259</v>
      </c>
      <c r="AB35" s="714" t="s">
        <v>259</v>
      </c>
      <c r="AC35" s="705" t="s">
        <v>259</v>
      </c>
      <c r="AD35" s="713" t="s">
        <v>259</v>
      </c>
      <c r="AE35" s="713" t="s">
        <v>259</v>
      </c>
      <c r="AF35" s="714" t="s">
        <v>259</v>
      </c>
      <c r="AG35" s="705"/>
      <c r="AH35" s="722" t="s">
        <v>2107</v>
      </c>
      <c r="AI35" s="722" t="s">
        <v>2108</v>
      </c>
      <c r="AJ35" s="722" t="s">
        <v>2109</v>
      </c>
      <c r="AK35" s="722" t="s">
        <v>2110</v>
      </c>
      <c r="AL35" s="722" t="s">
        <v>2111</v>
      </c>
      <c r="AM35" s="722" t="s">
        <v>2112</v>
      </c>
      <c r="AN35" s="722" t="s">
        <v>2118</v>
      </c>
      <c r="AO35" s="722" t="s">
        <v>2364</v>
      </c>
      <c r="AP35" s="722" t="s">
        <v>2119</v>
      </c>
      <c r="AQ35" s="715" t="s">
        <v>456</v>
      </c>
      <c r="AR35" s="722" t="s">
        <v>2255</v>
      </c>
    </row>
    <row r="36" spans="1:44" s="693" customFormat="1" x14ac:dyDescent="0.2">
      <c r="A36" s="693" t="s">
        <v>594</v>
      </c>
      <c r="B36" s="716"/>
      <c r="C36" s="691" t="s">
        <v>2083</v>
      </c>
      <c r="D36" s="693" t="s">
        <v>383</v>
      </c>
      <c r="E36" s="692" t="s">
        <v>2342</v>
      </c>
      <c r="F36" s="693" t="s">
        <v>484</v>
      </c>
      <c r="G36" s="708" t="s">
        <v>2567</v>
      </c>
      <c r="H36" s="717" t="s">
        <v>607</v>
      </c>
      <c r="I36" s="725" t="s">
        <v>259</v>
      </c>
      <c r="J36" s="725" t="s">
        <v>259</v>
      </c>
      <c r="K36" s="717" t="s">
        <v>1039</v>
      </c>
      <c r="L36" s="719" t="s">
        <v>976</v>
      </c>
      <c r="M36" s="696"/>
      <c r="N36" s="696">
        <v>29.99</v>
      </c>
      <c r="O36" s="697">
        <v>1</v>
      </c>
      <c r="P36" s="727" t="s">
        <v>259</v>
      </c>
      <c r="Q36" s="711">
        <f>12.6/16</f>
        <v>0.78749999999999998</v>
      </c>
      <c r="R36" s="712" t="s">
        <v>259</v>
      </c>
      <c r="S36" s="712" t="s">
        <v>259</v>
      </c>
      <c r="T36" s="720" t="s">
        <v>259</v>
      </c>
      <c r="U36" s="705">
        <v>0.85</v>
      </c>
      <c r="V36" s="713">
        <v>6</v>
      </c>
      <c r="W36" s="713">
        <v>3.75</v>
      </c>
      <c r="X36" s="714">
        <v>7</v>
      </c>
      <c r="Y36" s="705" t="s">
        <v>259</v>
      </c>
      <c r="Z36" s="713" t="s">
        <v>259</v>
      </c>
      <c r="AA36" s="713" t="s">
        <v>259</v>
      </c>
      <c r="AB36" s="714" t="s">
        <v>259</v>
      </c>
      <c r="AC36" s="705" t="s">
        <v>259</v>
      </c>
      <c r="AD36" s="713" t="s">
        <v>259</v>
      </c>
      <c r="AE36" s="713" t="s">
        <v>259</v>
      </c>
      <c r="AF36" s="714" t="s">
        <v>259</v>
      </c>
      <c r="AG36" s="705"/>
      <c r="AH36" s="722" t="s">
        <v>2107</v>
      </c>
      <c r="AI36" s="722" t="s">
        <v>2108</v>
      </c>
      <c r="AJ36" s="722" t="s">
        <v>2109</v>
      </c>
      <c r="AK36" s="722" t="s">
        <v>2110</v>
      </c>
      <c r="AL36" s="722" t="s">
        <v>2111</v>
      </c>
      <c r="AM36" s="722" t="s">
        <v>2112</v>
      </c>
      <c r="AN36" s="722" t="s">
        <v>2118</v>
      </c>
      <c r="AO36" s="722" t="s">
        <v>2364</v>
      </c>
      <c r="AP36" s="722" t="s">
        <v>2119</v>
      </c>
      <c r="AQ36" s="715" t="s">
        <v>456</v>
      </c>
      <c r="AR36" s="722" t="s">
        <v>2255</v>
      </c>
    </row>
    <row r="37" spans="1:44" s="693" customFormat="1" x14ac:dyDescent="0.2">
      <c r="A37" s="693" t="s">
        <v>594</v>
      </c>
      <c r="B37" s="716"/>
      <c r="C37" s="691" t="s">
        <v>2083</v>
      </c>
      <c r="D37" s="693" t="s">
        <v>372</v>
      </c>
      <c r="E37" s="692" t="s">
        <v>2342</v>
      </c>
      <c r="F37" s="693" t="s">
        <v>483</v>
      </c>
      <c r="G37" s="708" t="s">
        <v>2567</v>
      </c>
      <c r="H37" s="717" t="s">
        <v>608</v>
      </c>
      <c r="I37" s="725" t="s">
        <v>259</v>
      </c>
      <c r="J37" s="725" t="s">
        <v>259</v>
      </c>
      <c r="K37" s="717" t="s">
        <v>1039</v>
      </c>
      <c r="L37" s="719" t="s">
        <v>976</v>
      </c>
      <c r="M37" s="696"/>
      <c r="N37" s="696">
        <v>29.99</v>
      </c>
      <c r="O37" s="697">
        <v>1</v>
      </c>
      <c r="P37" s="727" t="s">
        <v>259</v>
      </c>
      <c r="Q37" s="711">
        <f>12.6/16</f>
        <v>0.78749999999999998</v>
      </c>
      <c r="R37" s="712" t="s">
        <v>259</v>
      </c>
      <c r="S37" s="712" t="s">
        <v>259</v>
      </c>
      <c r="T37" s="720" t="s">
        <v>259</v>
      </c>
      <c r="U37" s="705">
        <v>0.85</v>
      </c>
      <c r="V37" s="713">
        <v>6</v>
      </c>
      <c r="W37" s="713">
        <v>3.75</v>
      </c>
      <c r="X37" s="714">
        <v>7</v>
      </c>
      <c r="Y37" s="705" t="s">
        <v>259</v>
      </c>
      <c r="Z37" s="713" t="s">
        <v>259</v>
      </c>
      <c r="AA37" s="713" t="s">
        <v>259</v>
      </c>
      <c r="AB37" s="714" t="s">
        <v>259</v>
      </c>
      <c r="AC37" s="705" t="s">
        <v>259</v>
      </c>
      <c r="AD37" s="713" t="s">
        <v>259</v>
      </c>
      <c r="AE37" s="713" t="s">
        <v>259</v>
      </c>
      <c r="AF37" s="714" t="s">
        <v>259</v>
      </c>
      <c r="AG37" s="705"/>
      <c r="AH37" s="722" t="s">
        <v>2107</v>
      </c>
      <c r="AI37" s="722" t="s">
        <v>2108</v>
      </c>
      <c r="AJ37" s="722" t="s">
        <v>2109</v>
      </c>
      <c r="AK37" s="722" t="s">
        <v>2110</v>
      </c>
      <c r="AL37" s="722" t="s">
        <v>2111</v>
      </c>
      <c r="AM37" s="722" t="s">
        <v>2112</v>
      </c>
      <c r="AN37" s="722" t="s">
        <v>2118</v>
      </c>
      <c r="AO37" s="722" t="s">
        <v>2364</v>
      </c>
      <c r="AP37" s="722" t="s">
        <v>2119</v>
      </c>
      <c r="AQ37" s="715" t="s">
        <v>456</v>
      </c>
      <c r="AR37" s="722" t="s">
        <v>2255</v>
      </c>
    </row>
    <row r="38" spans="1:44" s="693" customFormat="1" x14ac:dyDescent="0.2">
      <c r="A38" s="895" t="s">
        <v>2100</v>
      </c>
      <c r="B38" s="895"/>
      <c r="C38" s="895"/>
      <c r="D38" s="703"/>
      <c r="E38" s="707"/>
      <c r="G38" s="708"/>
      <c r="H38" s="709"/>
      <c r="I38" s="709"/>
      <c r="J38" s="709"/>
      <c r="K38" s="709"/>
      <c r="L38" s="710"/>
      <c r="M38" s="696"/>
      <c r="N38" s="696"/>
      <c r="O38" s="697"/>
      <c r="P38" s="698"/>
      <c r="Q38" s="711"/>
      <c r="R38" s="712"/>
      <c r="S38" s="712"/>
      <c r="T38" s="701"/>
      <c r="U38" s="702"/>
      <c r="V38" s="703"/>
      <c r="W38" s="703"/>
      <c r="X38" s="704"/>
      <c r="Y38" s="702"/>
      <c r="Z38" s="703"/>
      <c r="AA38" s="703"/>
      <c r="AB38" s="704"/>
      <c r="AC38" s="702"/>
      <c r="AD38" s="703"/>
      <c r="AE38" s="703"/>
      <c r="AF38" s="704"/>
      <c r="AG38" s="705"/>
      <c r="AH38" s="715"/>
      <c r="AI38" s="715"/>
      <c r="AJ38" s="715"/>
      <c r="AK38" s="715"/>
      <c r="AL38" s="715"/>
      <c r="AM38" s="715"/>
      <c r="AN38" s="715"/>
      <c r="AO38" s="715"/>
      <c r="AP38" s="715"/>
      <c r="AQ38" s="715"/>
      <c r="AR38" s="715"/>
    </row>
    <row r="39" spans="1:44" s="693" customFormat="1" x14ac:dyDescent="0.2">
      <c r="A39" s="693" t="s">
        <v>594</v>
      </c>
      <c r="B39" s="716"/>
      <c r="C39" s="691" t="s">
        <v>543</v>
      </c>
      <c r="E39" s="692" t="s">
        <v>2348</v>
      </c>
      <c r="F39" s="693" t="s">
        <v>118</v>
      </c>
      <c r="G39" s="708" t="s">
        <v>2547</v>
      </c>
      <c r="H39" s="717" t="s">
        <v>616</v>
      </c>
      <c r="I39" s="725" t="s">
        <v>259</v>
      </c>
      <c r="J39" s="725" t="s">
        <v>259</v>
      </c>
      <c r="K39" s="717" t="s">
        <v>1039</v>
      </c>
      <c r="L39" s="719" t="s">
        <v>976</v>
      </c>
      <c r="M39" s="696"/>
      <c r="N39" s="696">
        <v>24.99</v>
      </c>
      <c r="O39" s="697">
        <v>1</v>
      </c>
      <c r="P39" s="727" t="s">
        <v>259</v>
      </c>
      <c r="Q39" s="711">
        <f>CONVERT(201,"g","lbm")</f>
        <v>0.44312914699160394</v>
      </c>
      <c r="R39" s="712">
        <v>2</v>
      </c>
      <c r="S39" s="712">
        <v>2</v>
      </c>
      <c r="T39" s="740" t="s">
        <v>2685</v>
      </c>
      <c r="U39" s="705">
        <f>CONVERT(220,"g","lbm")</f>
        <v>0.48501697680673067</v>
      </c>
      <c r="V39" s="713">
        <v>7</v>
      </c>
      <c r="W39" s="713">
        <v>2.25</v>
      </c>
      <c r="X39" s="714">
        <v>8</v>
      </c>
      <c r="Y39" s="705" t="s">
        <v>259</v>
      </c>
      <c r="Z39" s="713" t="s">
        <v>259</v>
      </c>
      <c r="AA39" s="713" t="s">
        <v>259</v>
      </c>
      <c r="AB39" s="714" t="s">
        <v>259</v>
      </c>
      <c r="AC39" s="705" t="s">
        <v>259</v>
      </c>
      <c r="AD39" s="713" t="s">
        <v>259</v>
      </c>
      <c r="AE39" s="713" t="s">
        <v>259</v>
      </c>
      <c r="AF39" s="714" t="s">
        <v>259</v>
      </c>
      <c r="AG39" s="705"/>
      <c r="AH39" s="722" t="s">
        <v>2483</v>
      </c>
      <c r="AI39" s="722" t="s">
        <v>2128</v>
      </c>
      <c r="AJ39" s="722" t="s">
        <v>2129</v>
      </c>
      <c r="AK39" s="722" t="s">
        <v>2108</v>
      </c>
      <c r="AL39" s="722" t="s">
        <v>2109</v>
      </c>
      <c r="AM39" s="722" t="s">
        <v>2110</v>
      </c>
      <c r="AN39" s="722" t="s">
        <v>2111</v>
      </c>
      <c r="AO39" s="722" t="s">
        <v>2112</v>
      </c>
      <c r="AP39" s="722" t="s">
        <v>2130</v>
      </c>
      <c r="AQ39" s="715" t="s">
        <v>456</v>
      </c>
      <c r="AR39" s="722" t="s">
        <v>2255</v>
      </c>
    </row>
    <row r="40" spans="1:44" s="693" customFormat="1" x14ac:dyDescent="0.2">
      <c r="A40" s="893" t="s">
        <v>505</v>
      </c>
      <c r="B40" s="893"/>
      <c r="C40" s="894"/>
      <c r="D40" s="703"/>
      <c r="E40" s="707"/>
      <c r="G40" s="708"/>
      <c r="H40" s="709"/>
      <c r="I40" s="709"/>
      <c r="J40" s="709"/>
      <c r="K40" s="709"/>
      <c r="L40" s="710"/>
      <c r="M40" s="696"/>
      <c r="N40" s="696"/>
      <c r="O40" s="697"/>
      <c r="P40" s="698"/>
      <c r="Q40" s="711"/>
      <c r="R40" s="712"/>
      <c r="S40" s="712"/>
      <c r="T40" s="701"/>
      <c r="U40" s="702"/>
      <c r="V40" s="703"/>
      <c r="W40" s="703"/>
      <c r="X40" s="704"/>
      <c r="Y40" s="702"/>
      <c r="Z40" s="703"/>
      <c r="AA40" s="703"/>
      <c r="AB40" s="704"/>
      <c r="AC40" s="702"/>
      <c r="AD40" s="703"/>
      <c r="AE40" s="703"/>
      <c r="AF40" s="704"/>
      <c r="AG40" s="705"/>
      <c r="AH40" s="715"/>
      <c r="AI40" s="715"/>
      <c r="AJ40" s="715"/>
      <c r="AK40" s="715"/>
      <c r="AL40" s="715"/>
      <c r="AM40" s="715"/>
      <c r="AN40" s="715"/>
      <c r="AO40" s="715"/>
      <c r="AP40" s="715"/>
      <c r="AQ40" s="715"/>
      <c r="AR40" s="715"/>
    </row>
    <row r="41" spans="1:44" s="693" customFormat="1" x14ac:dyDescent="0.2">
      <c r="A41" s="693" t="s">
        <v>594</v>
      </c>
      <c r="B41" s="716"/>
      <c r="C41" s="691" t="s">
        <v>547</v>
      </c>
      <c r="D41" s="708"/>
      <c r="E41" s="692" t="s">
        <v>2349</v>
      </c>
      <c r="F41" s="693" t="s">
        <v>118</v>
      </c>
      <c r="G41" s="708" t="s">
        <v>2558</v>
      </c>
      <c r="H41" s="717" t="s">
        <v>634</v>
      </c>
      <c r="I41" s="725" t="s">
        <v>259</v>
      </c>
      <c r="J41" s="725" t="s">
        <v>259</v>
      </c>
      <c r="K41" s="717" t="s">
        <v>1039</v>
      </c>
      <c r="L41" s="719" t="s">
        <v>976</v>
      </c>
      <c r="M41" s="696"/>
      <c r="N41" s="696">
        <v>39.99</v>
      </c>
      <c r="O41" s="697">
        <v>1</v>
      </c>
      <c r="P41" s="727" t="s">
        <v>259</v>
      </c>
      <c r="Q41" s="711">
        <f>CONVERT(510,"g","lbm")</f>
        <v>1.1243575371428756</v>
      </c>
      <c r="R41" s="712">
        <v>4</v>
      </c>
      <c r="S41" s="712">
        <v>4</v>
      </c>
      <c r="T41" s="720">
        <v>8</v>
      </c>
      <c r="U41" s="705">
        <v>1.4</v>
      </c>
      <c r="V41" s="713">
        <v>4.25</v>
      </c>
      <c r="W41" s="713">
        <v>4.25</v>
      </c>
      <c r="X41" s="714">
        <v>9.5</v>
      </c>
      <c r="Y41" s="705" t="s">
        <v>259</v>
      </c>
      <c r="Z41" s="713" t="s">
        <v>259</v>
      </c>
      <c r="AA41" s="713" t="s">
        <v>259</v>
      </c>
      <c r="AB41" s="714" t="s">
        <v>259</v>
      </c>
      <c r="AC41" s="705" t="s">
        <v>259</v>
      </c>
      <c r="AD41" s="713" t="s">
        <v>259</v>
      </c>
      <c r="AE41" s="713" t="s">
        <v>259</v>
      </c>
      <c r="AF41" s="714" t="s">
        <v>259</v>
      </c>
      <c r="AG41" s="705"/>
      <c r="AH41" s="722" t="s">
        <v>2135</v>
      </c>
      <c r="AI41" s="722" t="s">
        <v>2108</v>
      </c>
      <c r="AJ41" s="722" t="s">
        <v>2136</v>
      </c>
      <c r="AK41" s="722" t="s">
        <v>2137</v>
      </c>
      <c r="AL41" s="722" t="s">
        <v>2138</v>
      </c>
      <c r="AM41" s="722" t="s">
        <v>2112</v>
      </c>
      <c r="AN41" s="722" t="s">
        <v>2366</v>
      </c>
      <c r="AO41" s="722"/>
      <c r="AP41" s="722" t="s">
        <v>2139</v>
      </c>
      <c r="AQ41" s="715" t="s">
        <v>456</v>
      </c>
      <c r="AR41" s="722" t="s">
        <v>2255</v>
      </c>
    </row>
    <row r="42" spans="1:44" s="693" customFormat="1" x14ac:dyDescent="0.2">
      <c r="A42" s="693" t="s">
        <v>594</v>
      </c>
      <c r="B42" s="716"/>
      <c r="C42" s="691" t="s">
        <v>1573</v>
      </c>
      <c r="D42" s="693" t="s">
        <v>369</v>
      </c>
      <c r="E42" s="692" t="s">
        <v>2349</v>
      </c>
      <c r="F42" s="693" t="s">
        <v>222</v>
      </c>
      <c r="G42" s="708" t="s">
        <v>2558</v>
      </c>
      <c r="H42" s="717" t="s">
        <v>635</v>
      </c>
      <c r="I42" s="725" t="s">
        <v>259</v>
      </c>
      <c r="J42" s="725" t="s">
        <v>259</v>
      </c>
      <c r="K42" s="717" t="s">
        <v>1039</v>
      </c>
      <c r="L42" s="719" t="s">
        <v>976</v>
      </c>
      <c r="M42" s="696"/>
      <c r="N42" s="696">
        <v>39.99</v>
      </c>
      <c r="O42" s="697">
        <v>1</v>
      </c>
      <c r="P42" s="727" t="s">
        <v>259</v>
      </c>
      <c r="Q42" s="711">
        <f>CONVERT(510,"g","lbm")</f>
        <v>1.1243575371428756</v>
      </c>
      <c r="R42" s="712">
        <v>4</v>
      </c>
      <c r="S42" s="712">
        <v>4</v>
      </c>
      <c r="T42" s="720">
        <v>8</v>
      </c>
      <c r="U42" s="705">
        <v>1.4</v>
      </c>
      <c r="V42" s="713">
        <v>4.25</v>
      </c>
      <c r="W42" s="713">
        <v>4.25</v>
      </c>
      <c r="X42" s="714">
        <v>9.5</v>
      </c>
      <c r="Y42" s="705" t="s">
        <v>259</v>
      </c>
      <c r="Z42" s="713" t="s">
        <v>259</v>
      </c>
      <c r="AA42" s="713" t="s">
        <v>259</v>
      </c>
      <c r="AB42" s="714" t="s">
        <v>259</v>
      </c>
      <c r="AC42" s="705" t="s">
        <v>259</v>
      </c>
      <c r="AD42" s="713" t="s">
        <v>259</v>
      </c>
      <c r="AE42" s="713" t="s">
        <v>259</v>
      </c>
      <c r="AF42" s="714" t="s">
        <v>259</v>
      </c>
      <c r="AG42" s="705"/>
      <c r="AH42" s="722" t="s">
        <v>2135</v>
      </c>
      <c r="AI42" s="722" t="s">
        <v>2108</v>
      </c>
      <c r="AJ42" s="722" t="s">
        <v>2136</v>
      </c>
      <c r="AK42" s="722" t="s">
        <v>2137</v>
      </c>
      <c r="AL42" s="722" t="s">
        <v>2138</v>
      </c>
      <c r="AM42" s="722" t="s">
        <v>2112</v>
      </c>
      <c r="AN42" s="722" t="s">
        <v>2366</v>
      </c>
      <c r="AO42" s="722"/>
      <c r="AP42" s="722" t="s">
        <v>2139</v>
      </c>
      <c r="AQ42" s="715" t="s">
        <v>456</v>
      </c>
      <c r="AR42" s="722" t="s">
        <v>2255</v>
      </c>
    </row>
    <row r="43" spans="1:44" s="693" customFormat="1" x14ac:dyDescent="0.2">
      <c r="A43" s="693" t="s">
        <v>594</v>
      </c>
      <c r="B43" s="716"/>
      <c r="C43" s="691" t="s">
        <v>1573</v>
      </c>
      <c r="D43" s="693" t="s">
        <v>371</v>
      </c>
      <c r="E43" s="692" t="s">
        <v>2349</v>
      </c>
      <c r="F43" s="693" t="s">
        <v>218</v>
      </c>
      <c r="G43" s="708" t="s">
        <v>2558</v>
      </c>
      <c r="H43" s="717" t="s">
        <v>636</v>
      </c>
      <c r="I43" s="725" t="s">
        <v>259</v>
      </c>
      <c r="J43" s="725" t="s">
        <v>259</v>
      </c>
      <c r="K43" s="717" t="s">
        <v>1039</v>
      </c>
      <c r="L43" s="719" t="s">
        <v>976</v>
      </c>
      <c r="M43" s="696"/>
      <c r="N43" s="696">
        <v>39.99</v>
      </c>
      <c r="O43" s="697">
        <v>1</v>
      </c>
      <c r="P43" s="727" t="s">
        <v>259</v>
      </c>
      <c r="Q43" s="711">
        <f>CONVERT(510,"g","lbm")</f>
        <v>1.1243575371428756</v>
      </c>
      <c r="R43" s="712">
        <v>4</v>
      </c>
      <c r="S43" s="712">
        <v>4</v>
      </c>
      <c r="T43" s="720">
        <v>8</v>
      </c>
      <c r="U43" s="705">
        <v>1.4</v>
      </c>
      <c r="V43" s="713">
        <v>4.25</v>
      </c>
      <c r="W43" s="713">
        <v>4.25</v>
      </c>
      <c r="X43" s="714">
        <v>9.5</v>
      </c>
      <c r="Y43" s="705" t="s">
        <v>259</v>
      </c>
      <c r="Z43" s="713" t="s">
        <v>259</v>
      </c>
      <c r="AA43" s="713" t="s">
        <v>259</v>
      </c>
      <c r="AB43" s="714" t="s">
        <v>259</v>
      </c>
      <c r="AC43" s="705" t="s">
        <v>259</v>
      </c>
      <c r="AD43" s="713" t="s">
        <v>259</v>
      </c>
      <c r="AE43" s="713" t="s">
        <v>259</v>
      </c>
      <c r="AF43" s="714" t="s">
        <v>259</v>
      </c>
      <c r="AG43" s="705"/>
      <c r="AH43" s="722" t="s">
        <v>2135</v>
      </c>
      <c r="AI43" s="722" t="s">
        <v>2108</v>
      </c>
      <c r="AJ43" s="722" t="s">
        <v>2136</v>
      </c>
      <c r="AK43" s="722" t="s">
        <v>2137</v>
      </c>
      <c r="AL43" s="722" t="s">
        <v>2138</v>
      </c>
      <c r="AM43" s="722" t="s">
        <v>2112</v>
      </c>
      <c r="AN43" s="722" t="s">
        <v>2366</v>
      </c>
      <c r="AO43" s="722"/>
      <c r="AP43" s="722" t="s">
        <v>2139</v>
      </c>
      <c r="AQ43" s="715" t="s">
        <v>456</v>
      </c>
      <c r="AR43" s="722" t="s">
        <v>2255</v>
      </c>
    </row>
    <row r="44" spans="1:44" s="693" customFormat="1" x14ac:dyDescent="0.2">
      <c r="A44" s="693" t="s">
        <v>594</v>
      </c>
      <c r="B44" s="716"/>
      <c r="C44" s="691" t="s">
        <v>1573</v>
      </c>
      <c r="D44" s="693" t="s">
        <v>383</v>
      </c>
      <c r="E44" s="692" t="s">
        <v>2349</v>
      </c>
      <c r="F44" s="693" t="s">
        <v>484</v>
      </c>
      <c r="G44" s="708" t="s">
        <v>2558</v>
      </c>
      <c r="H44" s="717" t="s">
        <v>3804</v>
      </c>
      <c r="I44" s="725" t="s">
        <v>259</v>
      </c>
      <c r="J44" s="725" t="s">
        <v>259</v>
      </c>
      <c r="K44" s="717" t="s">
        <v>1039</v>
      </c>
      <c r="L44" s="719" t="s">
        <v>976</v>
      </c>
      <c r="M44" s="696"/>
      <c r="N44" s="696">
        <v>39.99</v>
      </c>
      <c r="O44" s="697">
        <v>1</v>
      </c>
      <c r="P44" s="727" t="s">
        <v>259</v>
      </c>
      <c r="Q44" s="711">
        <f>CONVERT(510,"g","lbm")</f>
        <v>1.1243575371428756</v>
      </c>
      <c r="R44" s="712">
        <v>4</v>
      </c>
      <c r="S44" s="712">
        <v>4</v>
      </c>
      <c r="T44" s="720">
        <v>8</v>
      </c>
      <c r="U44" s="705">
        <v>1.4</v>
      </c>
      <c r="V44" s="713">
        <v>4.25</v>
      </c>
      <c r="W44" s="713">
        <v>4.25</v>
      </c>
      <c r="X44" s="714">
        <v>9.5</v>
      </c>
      <c r="Y44" s="705" t="s">
        <v>259</v>
      </c>
      <c r="Z44" s="713" t="s">
        <v>259</v>
      </c>
      <c r="AA44" s="713" t="s">
        <v>259</v>
      </c>
      <c r="AB44" s="714" t="s">
        <v>259</v>
      </c>
      <c r="AC44" s="705" t="s">
        <v>259</v>
      </c>
      <c r="AD44" s="713" t="s">
        <v>259</v>
      </c>
      <c r="AE44" s="713" t="s">
        <v>259</v>
      </c>
      <c r="AF44" s="714" t="s">
        <v>259</v>
      </c>
      <c r="AG44" s="705"/>
      <c r="AH44" s="722" t="s">
        <v>2135</v>
      </c>
      <c r="AI44" s="722" t="s">
        <v>2108</v>
      </c>
      <c r="AJ44" s="722" t="s">
        <v>2136</v>
      </c>
      <c r="AK44" s="722" t="s">
        <v>2137</v>
      </c>
      <c r="AL44" s="722" t="s">
        <v>2138</v>
      </c>
      <c r="AM44" s="722" t="s">
        <v>2112</v>
      </c>
      <c r="AN44" s="722" t="s">
        <v>2366</v>
      </c>
      <c r="AO44" s="722"/>
      <c r="AP44" s="722" t="s">
        <v>2139</v>
      </c>
      <c r="AQ44" s="715" t="s">
        <v>456</v>
      </c>
      <c r="AR44" s="722" t="s">
        <v>2255</v>
      </c>
    </row>
    <row r="45" spans="1:44" s="693" customFormat="1" x14ac:dyDescent="0.2">
      <c r="A45" s="693" t="s">
        <v>594</v>
      </c>
      <c r="B45" s="716"/>
      <c r="C45" s="691" t="s">
        <v>1573</v>
      </c>
      <c r="D45" s="693" t="s">
        <v>372</v>
      </c>
      <c r="E45" s="692" t="s">
        <v>2349</v>
      </c>
      <c r="F45" s="693" t="s">
        <v>483</v>
      </c>
      <c r="G45" s="708" t="s">
        <v>2558</v>
      </c>
      <c r="H45" s="717" t="s">
        <v>638</v>
      </c>
      <c r="I45" s="725" t="s">
        <v>259</v>
      </c>
      <c r="J45" s="725" t="s">
        <v>259</v>
      </c>
      <c r="K45" s="717" t="s">
        <v>1039</v>
      </c>
      <c r="L45" s="719" t="s">
        <v>976</v>
      </c>
      <c r="M45" s="696"/>
      <c r="N45" s="696">
        <v>39.99</v>
      </c>
      <c r="O45" s="697">
        <v>1</v>
      </c>
      <c r="P45" s="727" t="s">
        <v>259</v>
      </c>
      <c r="Q45" s="711">
        <f>CONVERT(510,"g","lbm")</f>
        <v>1.1243575371428756</v>
      </c>
      <c r="R45" s="712">
        <v>4</v>
      </c>
      <c r="S45" s="712">
        <v>4</v>
      </c>
      <c r="T45" s="720">
        <v>8</v>
      </c>
      <c r="U45" s="705">
        <v>1.4</v>
      </c>
      <c r="V45" s="713">
        <v>4.25</v>
      </c>
      <c r="W45" s="713">
        <v>4.25</v>
      </c>
      <c r="X45" s="714">
        <v>9.5</v>
      </c>
      <c r="Y45" s="705" t="s">
        <v>259</v>
      </c>
      <c r="Z45" s="713" t="s">
        <v>259</v>
      </c>
      <c r="AA45" s="713" t="s">
        <v>259</v>
      </c>
      <c r="AB45" s="714" t="s">
        <v>259</v>
      </c>
      <c r="AC45" s="705" t="s">
        <v>259</v>
      </c>
      <c r="AD45" s="713" t="s">
        <v>259</v>
      </c>
      <c r="AE45" s="713" t="s">
        <v>259</v>
      </c>
      <c r="AF45" s="714" t="s">
        <v>259</v>
      </c>
      <c r="AG45" s="705"/>
      <c r="AH45" s="722" t="s">
        <v>2135</v>
      </c>
      <c r="AI45" s="722" t="s">
        <v>2108</v>
      </c>
      <c r="AJ45" s="722" t="s">
        <v>2136</v>
      </c>
      <c r="AK45" s="722" t="s">
        <v>2137</v>
      </c>
      <c r="AL45" s="722" t="s">
        <v>2138</v>
      </c>
      <c r="AM45" s="722" t="s">
        <v>2112</v>
      </c>
      <c r="AN45" s="722" t="s">
        <v>2366</v>
      </c>
      <c r="AO45" s="722"/>
      <c r="AP45" s="722" t="s">
        <v>2139</v>
      </c>
      <c r="AQ45" s="715" t="s">
        <v>456</v>
      </c>
      <c r="AR45" s="722" t="s">
        <v>2255</v>
      </c>
    </row>
    <row r="46" spans="1:44" s="693" customFormat="1" x14ac:dyDescent="0.2">
      <c r="A46" s="893" t="s">
        <v>506</v>
      </c>
      <c r="B46" s="893"/>
      <c r="C46" s="894"/>
      <c r="D46" s="703"/>
      <c r="E46" s="707"/>
      <c r="G46" s="708"/>
      <c r="H46" s="709"/>
      <c r="I46" s="709"/>
      <c r="J46" s="709"/>
      <c r="K46" s="709"/>
      <c r="L46" s="710"/>
      <c r="M46" s="696"/>
      <c r="N46" s="696"/>
      <c r="O46" s="697"/>
      <c r="P46" s="698"/>
      <c r="Q46" s="711"/>
      <c r="R46" s="712"/>
      <c r="S46" s="712"/>
      <c r="T46" s="701"/>
      <c r="U46" s="702"/>
      <c r="V46" s="703"/>
      <c r="W46" s="703"/>
      <c r="X46" s="704"/>
      <c r="Y46" s="702"/>
      <c r="Z46" s="703"/>
      <c r="AA46" s="703"/>
      <c r="AB46" s="704"/>
      <c r="AC46" s="702"/>
      <c r="AD46" s="703"/>
      <c r="AE46" s="703"/>
      <c r="AF46" s="704"/>
      <c r="AG46" s="705"/>
      <c r="AH46" s="715"/>
      <c r="AI46" s="715"/>
      <c r="AJ46" s="715"/>
      <c r="AK46" s="715"/>
      <c r="AL46" s="715"/>
      <c r="AM46" s="715"/>
      <c r="AN46" s="715"/>
      <c r="AO46" s="715"/>
      <c r="AP46" s="715"/>
      <c r="AQ46" s="715"/>
      <c r="AR46" s="715"/>
    </row>
    <row r="47" spans="1:44" s="693" customFormat="1" x14ac:dyDescent="0.2">
      <c r="A47" s="693" t="s">
        <v>594</v>
      </c>
      <c r="B47" s="716"/>
      <c r="C47" s="691" t="s">
        <v>1110</v>
      </c>
      <c r="D47" s="691"/>
      <c r="E47" s="692" t="s">
        <v>2140</v>
      </c>
      <c r="G47" s="708" t="s">
        <v>2520</v>
      </c>
      <c r="H47" s="725" t="s">
        <v>259</v>
      </c>
      <c r="I47" s="725" t="s">
        <v>259</v>
      </c>
      <c r="J47" s="725" t="s">
        <v>259</v>
      </c>
      <c r="K47" s="717" t="s">
        <v>877</v>
      </c>
      <c r="L47" s="719" t="s">
        <v>978</v>
      </c>
      <c r="M47" s="696"/>
      <c r="N47" s="696">
        <v>1.49</v>
      </c>
      <c r="O47" s="697">
        <v>1</v>
      </c>
      <c r="P47" s="727">
        <v>300</v>
      </c>
      <c r="Q47" s="711">
        <v>0.1</v>
      </c>
      <c r="R47" s="712">
        <v>1.25</v>
      </c>
      <c r="S47" s="712">
        <v>1.125</v>
      </c>
      <c r="T47" s="720">
        <v>4.25</v>
      </c>
      <c r="U47" s="705">
        <v>0.1</v>
      </c>
      <c r="V47" s="713">
        <v>1.25</v>
      </c>
      <c r="W47" s="713">
        <v>1.125</v>
      </c>
      <c r="X47" s="714">
        <v>4.25</v>
      </c>
      <c r="Y47" s="705" t="s">
        <v>259</v>
      </c>
      <c r="Z47" s="713" t="s">
        <v>259</v>
      </c>
      <c r="AA47" s="713" t="s">
        <v>259</v>
      </c>
      <c r="AB47" s="714" t="s">
        <v>259</v>
      </c>
      <c r="AC47" s="705">
        <f>CONVERT(15400,"g","lbm")</f>
        <v>33.951188376471144</v>
      </c>
      <c r="AD47" s="713">
        <f>CONVERT(0.3079,"m","in")</f>
        <v>12.122047244094489</v>
      </c>
      <c r="AE47" s="713">
        <f>CONVERT(0.4635,"m","in")</f>
        <v>18.248031496062993</v>
      </c>
      <c r="AF47" s="714">
        <f>CONVERT(0.2,"m","in")</f>
        <v>7.8740157480314963</v>
      </c>
      <c r="AG47" s="705">
        <f t="shared" ref="AG47:AG55" si="2">AD47*AE47*AF47/(12^3)</f>
        <v>1.0079628714047455</v>
      </c>
      <c r="AH47" s="749" t="s">
        <v>2152</v>
      </c>
      <c r="AI47" s="749" t="s">
        <v>2153</v>
      </c>
      <c r="AJ47" s="749" t="s">
        <v>2154</v>
      </c>
      <c r="AK47" s="749" t="s">
        <v>2155</v>
      </c>
      <c r="AL47" s="749" t="s">
        <v>2156</v>
      </c>
      <c r="AM47" s="749" t="s">
        <v>2157</v>
      </c>
      <c r="AN47" s="722"/>
      <c r="AO47" s="722"/>
      <c r="AP47" s="750" t="s">
        <v>2158</v>
      </c>
      <c r="AQ47" s="749" t="s">
        <v>2159</v>
      </c>
      <c r="AR47" s="722" t="s">
        <v>2255</v>
      </c>
    </row>
    <row r="48" spans="1:44" s="693" customFormat="1" x14ac:dyDescent="0.2">
      <c r="A48" s="693" t="s">
        <v>594</v>
      </c>
      <c r="B48" s="716"/>
      <c r="C48" s="692" t="s">
        <v>2194</v>
      </c>
      <c r="D48" s="692"/>
      <c r="E48" s="692" t="s">
        <v>2195</v>
      </c>
      <c r="G48" s="708" t="s">
        <v>2520</v>
      </c>
      <c r="H48" s="725" t="s">
        <v>259</v>
      </c>
      <c r="I48" s="725" t="s">
        <v>259</v>
      </c>
      <c r="J48" s="725" t="s">
        <v>259</v>
      </c>
      <c r="K48" s="717" t="s">
        <v>877</v>
      </c>
      <c r="L48" s="719" t="s">
        <v>978</v>
      </c>
      <c r="M48" s="751"/>
      <c r="N48" s="751">
        <v>1.59</v>
      </c>
      <c r="O48" s="697">
        <v>1</v>
      </c>
      <c r="P48" s="727">
        <v>300</v>
      </c>
      <c r="Q48" s="711">
        <v>0.1</v>
      </c>
      <c r="R48" s="712">
        <v>1.125</v>
      </c>
      <c r="S48" s="712">
        <v>1.125</v>
      </c>
      <c r="T48" s="720">
        <v>4.25</v>
      </c>
      <c r="U48" s="705">
        <v>0.1</v>
      </c>
      <c r="V48" s="713">
        <v>1.125</v>
      </c>
      <c r="W48" s="713">
        <v>1.125</v>
      </c>
      <c r="X48" s="714">
        <v>4.25</v>
      </c>
      <c r="Y48" s="705" t="s">
        <v>259</v>
      </c>
      <c r="Z48" s="713" t="s">
        <v>259</v>
      </c>
      <c r="AA48" s="713" t="s">
        <v>259</v>
      </c>
      <c r="AB48" s="714" t="s">
        <v>259</v>
      </c>
      <c r="AC48" s="705">
        <f>CONVERT(15400,"g","lbm")</f>
        <v>33.951188376471144</v>
      </c>
      <c r="AD48" s="713">
        <v>12.5</v>
      </c>
      <c r="AE48" s="713">
        <v>18.5</v>
      </c>
      <c r="AF48" s="714">
        <v>8.125</v>
      </c>
      <c r="AG48" s="705">
        <f t="shared" si="2"/>
        <v>1.087330005787037</v>
      </c>
      <c r="AH48" s="749" t="s">
        <v>2152</v>
      </c>
      <c r="AI48" s="722" t="s">
        <v>2160</v>
      </c>
      <c r="AJ48" s="749" t="s">
        <v>2153</v>
      </c>
      <c r="AK48" s="749" t="s">
        <v>2154</v>
      </c>
      <c r="AL48" s="749" t="s">
        <v>2155</v>
      </c>
      <c r="AM48" s="749" t="s">
        <v>2156</v>
      </c>
      <c r="AN48" s="749" t="s">
        <v>2157</v>
      </c>
      <c r="AO48" s="722"/>
      <c r="AP48" s="750" t="s">
        <v>2161</v>
      </c>
      <c r="AQ48" s="749" t="s">
        <v>2159</v>
      </c>
      <c r="AR48" s="722" t="s">
        <v>2255</v>
      </c>
    </row>
    <row r="49" spans="1:44" s="693" customFormat="1" x14ac:dyDescent="0.2">
      <c r="A49" s="693" t="s">
        <v>594</v>
      </c>
      <c r="B49" s="716"/>
      <c r="C49" s="692" t="s">
        <v>2196</v>
      </c>
      <c r="D49" s="692"/>
      <c r="E49" s="692" t="s">
        <v>2197</v>
      </c>
      <c r="G49" s="708" t="s">
        <v>2520</v>
      </c>
      <c r="H49" s="725" t="s">
        <v>259</v>
      </c>
      <c r="I49" s="725" t="s">
        <v>259</v>
      </c>
      <c r="J49" s="725" t="s">
        <v>259</v>
      </c>
      <c r="K49" s="717" t="s">
        <v>877</v>
      </c>
      <c r="L49" s="719" t="s">
        <v>976</v>
      </c>
      <c r="M49" s="751"/>
      <c r="N49" s="751">
        <v>3.99</v>
      </c>
      <c r="O49" s="697">
        <v>1</v>
      </c>
      <c r="P49" s="727">
        <v>162</v>
      </c>
      <c r="Q49" s="711">
        <v>0.15</v>
      </c>
      <c r="R49" s="712">
        <v>1.25</v>
      </c>
      <c r="S49" s="712">
        <v>1.25</v>
      </c>
      <c r="T49" s="720">
        <v>4</v>
      </c>
      <c r="U49" s="705">
        <v>0.15</v>
      </c>
      <c r="V49" s="713">
        <v>1.25</v>
      </c>
      <c r="W49" s="713">
        <v>1.25</v>
      </c>
      <c r="X49" s="714">
        <v>4</v>
      </c>
      <c r="Y49" s="705" t="s">
        <v>259</v>
      </c>
      <c r="Z49" s="713" t="s">
        <v>259</v>
      </c>
      <c r="AA49" s="713" t="s">
        <v>259</v>
      </c>
      <c r="AB49" s="714" t="s">
        <v>259</v>
      </c>
      <c r="AC49" s="705">
        <v>22.7</v>
      </c>
      <c r="AD49" s="713">
        <v>12</v>
      </c>
      <c r="AE49" s="713">
        <v>12</v>
      </c>
      <c r="AF49" s="714">
        <v>7</v>
      </c>
      <c r="AG49" s="705">
        <f t="shared" si="2"/>
        <v>0.58333333333333337</v>
      </c>
      <c r="AH49" s="749" t="s">
        <v>2162</v>
      </c>
      <c r="AI49" s="749" t="s">
        <v>2163</v>
      </c>
      <c r="AJ49" s="749" t="s">
        <v>2154</v>
      </c>
      <c r="AK49" s="749" t="s">
        <v>2164</v>
      </c>
      <c r="AL49" s="749" t="s">
        <v>2156</v>
      </c>
      <c r="AM49" s="749" t="s">
        <v>1005</v>
      </c>
      <c r="AN49" s="749" t="s">
        <v>2157</v>
      </c>
      <c r="AO49" s="722"/>
      <c r="AP49" s="750" t="s">
        <v>2165</v>
      </c>
      <c r="AQ49" s="749" t="s">
        <v>2166</v>
      </c>
      <c r="AR49" s="722" t="s">
        <v>2255</v>
      </c>
    </row>
    <row r="50" spans="1:44" s="693" customFormat="1" x14ac:dyDescent="0.2">
      <c r="A50" s="693" t="s">
        <v>594</v>
      </c>
      <c r="B50" s="716"/>
      <c r="C50" s="691" t="s">
        <v>548</v>
      </c>
      <c r="D50" s="691"/>
      <c r="E50" s="692" t="s">
        <v>2141</v>
      </c>
      <c r="G50" s="708" t="s">
        <v>2558</v>
      </c>
      <c r="H50" s="717" t="s">
        <v>418</v>
      </c>
      <c r="I50" s="725" t="s">
        <v>259</v>
      </c>
      <c r="J50" s="725" t="s">
        <v>3330</v>
      </c>
      <c r="K50" s="717" t="s">
        <v>877</v>
      </c>
      <c r="L50" s="719" t="s">
        <v>978</v>
      </c>
      <c r="M50" s="696"/>
      <c r="N50" s="696">
        <v>4.99</v>
      </c>
      <c r="O50" s="697">
        <v>1</v>
      </c>
      <c r="P50" s="727">
        <v>100</v>
      </c>
      <c r="Q50" s="711">
        <v>0.1</v>
      </c>
      <c r="R50" s="712">
        <v>1.25</v>
      </c>
      <c r="S50" s="712">
        <v>1.125</v>
      </c>
      <c r="T50" s="720">
        <v>4.25</v>
      </c>
      <c r="U50" s="705">
        <v>0.4</v>
      </c>
      <c r="V50" s="713">
        <v>3.75</v>
      </c>
      <c r="W50" s="713">
        <v>1.25</v>
      </c>
      <c r="X50" s="714">
        <v>5</v>
      </c>
      <c r="Y50" s="705" t="s">
        <v>259</v>
      </c>
      <c r="Z50" s="713" t="s">
        <v>259</v>
      </c>
      <c r="AA50" s="713" t="s">
        <v>259</v>
      </c>
      <c r="AB50" s="714" t="s">
        <v>259</v>
      </c>
      <c r="AC50" s="705">
        <v>38.25</v>
      </c>
      <c r="AD50" s="713">
        <v>15.75</v>
      </c>
      <c r="AE50" s="713">
        <v>18.75</v>
      </c>
      <c r="AF50" s="714">
        <v>7.125</v>
      </c>
      <c r="AG50" s="705">
        <f t="shared" si="2"/>
        <v>1.2176513671875</v>
      </c>
      <c r="AH50" s="749" t="s">
        <v>2152</v>
      </c>
      <c r="AI50" s="749" t="s">
        <v>2153</v>
      </c>
      <c r="AJ50" s="749" t="s">
        <v>2154</v>
      </c>
      <c r="AK50" s="749" t="s">
        <v>2155</v>
      </c>
      <c r="AL50" s="749" t="s">
        <v>2156</v>
      </c>
      <c r="AM50" s="749" t="s">
        <v>2157</v>
      </c>
      <c r="AN50" s="722"/>
      <c r="AO50" s="722"/>
      <c r="AP50" s="750" t="s">
        <v>2158</v>
      </c>
      <c r="AQ50" s="749" t="s">
        <v>2159</v>
      </c>
      <c r="AR50" s="722" t="s">
        <v>2255</v>
      </c>
    </row>
    <row r="51" spans="1:44" s="693" customFormat="1" x14ac:dyDescent="0.2">
      <c r="A51" s="693" t="s">
        <v>594</v>
      </c>
      <c r="B51" s="716"/>
      <c r="C51" s="691" t="s">
        <v>550</v>
      </c>
      <c r="D51" s="691"/>
      <c r="E51" s="692" t="s">
        <v>2142</v>
      </c>
      <c r="G51" s="708" t="s">
        <v>2558</v>
      </c>
      <c r="H51" s="717" t="s">
        <v>224</v>
      </c>
      <c r="I51" s="725" t="s">
        <v>259</v>
      </c>
      <c r="J51" s="725" t="s">
        <v>3329</v>
      </c>
      <c r="K51" s="717" t="s">
        <v>877</v>
      </c>
      <c r="L51" s="719" t="s">
        <v>978</v>
      </c>
      <c r="M51" s="696"/>
      <c r="N51" s="696">
        <v>4.99</v>
      </c>
      <c r="O51" s="697">
        <v>1</v>
      </c>
      <c r="P51" s="727">
        <v>100</v>
      </c>
      <c r="Q51" s="711">
        <v>0.1</v>
      </c>
      <c r="R51" s="712">
        <v>1.125</v>
      </c>
      <c r="S51" s="712">
        <v>1.125</v>
      </c>
      <c r="T51" s="720">
        <v>4.25</v>
      </c>
      <c r="U51" s="705">
        <v>0.4</v>
      </c>
      <c r="V51" s="713">
        <v>3.75</v>
      </c>
      <c r="W51" s="713">
        <v>1.25</v>
      </c>
      <c r="X51" s="714">
        <v>5</v>
      </c>
      <c r="Y51" s="705" t="s">
        <v>259</v>
      </c>
      <c r="Z51" s="713" t="s">
        <v>259</v>
      </c>
      <c r="AA51" s="713" t="s">
        <v>259</v>
      </c>
      <c r="AB51" s="714" t="s">
        <v>259</v>
      </c>
      <c r="AC51" s="705">
        <v>38.25</v>
      </c>
      <c r="AD51" s="713">
        <v>15.75</v>
      </c>
      <c r="AE51" s="713">
        <v>18.75</v>
      </c>
      <c r="AF51" s="714">
        <v>7.125</v>
      </c>
      <c r="AG51" s="705">
        <f t="shared" si="2"/>
        <v>1.2176513671875</v>
      </c>
      <c r="AH51" s="749" t="s">
        <v>2152</v>
      </c>
      <c r="AI51" s="722" t="s">
        <v>2160</v>
      </c>
      <c r="AJ51" s="749" t="s">
        <v>2153</v>
      </c>
      <c r="AK51" s="749" t="s">
        <v>2154</v>
      </c>
      <c r="AL51" s="749" t="s">
        <v>2155</v>
      </c>
      <c r="AM51" s="749" t="s">
        <v>2156</v>
      </c>
      <c r="AN51" s="749" t="s">
        <v>2157</v>
      </c>
      <c r="AO51" s="722"/>
      <c r="AP51" s="750" t="s">
        <v>2161</v>
      </c>
      <c r="AQ51" s="749" t="s">
        <v>2159</v>
      </c>
      <c r="AR51" s="722" t="s">
        <v>2255</v>
      </c>
    </row>
    <row r="52" spans="1:44" s="693" customFormat="1" x14ac:dyDescent="0.2">
      <c r="A52" s="693" t="s">
        <v>594</v>
      </c>
      <c r="B52" s="716"/>
      <c r="C52" s="691" t="s">
        <v>549</v>
      </c>
      <c r="D52" s="691"/>
      <c r="E52" s="692" t="s">
        <v>2143</v>
      </c>
      <c r="G52" s="708" t="s">
        <v>2558</v>
      </c>
      <c r="H52" s="725" t="s">
        <v>223</v>
      </c>
      <c r="I52" s="725" t="s">
        <v>259</v>
      </c>
      <c r="J52" s="725" t="s">
        <v>259</v>
      </c>
      <c r="K52" s="717" t="s">
        <v>877</v>
      </c>
      <c r="L52" s="719" t="s">
        <v>976</v>
      </c>
      <c r="M52" s="696"/>
      <c r="N52" s="696">
        <v>11.99</v>
      </c>
      <c r="O52" s="697">
        <v>1</v>
      </c>
      <c r="P52" s="727">
        <v>50</v>
      </c>
      <c r="Q52" s="711">
        <v>0.15</v>
      </c>
      <c r="R52" s="712">
        <v>1.25</v>
      </c>
      <c r="S52" s="712">
        <v>1.25</v>
      </c>
      <c r="T52" s="720">
        <v>4</v>
      </c>
      <c r="U52" s="705">
        <f>CONVERT(195,"g","lbm")</f>
        <v>0.42990141126051129</v>
      </c>
      <c r="V52" s="713">
        <v>3.75</v>
      </c>
      <c r="W52" s="713">
        <v>1.375</v>
      </c>
      <c r="X52" s="714">
        <v>4.75</v>
      </c>
      <c r="Y52" s="705" t="s">
        <v>259</v>
      </c>
      <c r="Z52" s="713" t="s">
        <v>259</v>
      </c>
      <c r="AA52" s="713" t="s">
        <v>259</v>
      </c>
      <c r="AB52" s="714" t="s">
        <v>259</v>
      </c>
      <c r="AC52" s="705">
        <v>22.7</v>
      </c>
      <c r="AD52" s="713">
        <v>12.75</v>
      </c>
      <c r="AE52" s="713">
        <v>12.75</v>
      </c>
      <c r="AF52" s="714">
        <v>8</v>
      </c>
      <c r="AG52" s="705">
        <f t="shared" si="2"/>
        <v>0.75260416666666663</v>
      </c>
      <c r="AH52" s="749" t="s">
        <v>2162</v>
      </c>
      <c r="AI52" s="749" t="s">
        <v>2163</v>
      </c>
      <c r="AJ52" s="749" t="s">
        <v>2154</v>
      </c>
      <c r="AK52" s="749" t="s">
        <v>2164</v>
      </c>
      <c r="AL52" s="749" t="s">
        <v>2156</v>
      </c>
      <c r="AM52" s="749" t="s">
        <v>1005</v>
      </c>
      <c r="AN52" s="749" t="s">
        <v>2157</v>
      </c>
      <c r="AO52" s="722"/>
      <c r="AP52" s="750" t="s">
        <v>2165</v>
      </c>
      <c r="AQ52" s="749" t="s">
        <v>2166</v>
      </c>
      <c r="AR52" s="722" t="s">
        <v>2255</v>
      </c>
    </row>
    <row r="53" spans="1:44" s="693" customFormat="1" x14ac:dyDescent="0.2">
      <c r="A53" s="693" t="s">
        <v>594</v>
      </c>
      <c r="B53" s="716"/>
      <c r="C53" s="691" t="s">
        <v>5437</v>
      </c>
      <c r="D53" s="691"/>
      <c r="E53" s="692" t="s">
        <v>5438</v>
      </c>
      <c r="G53" s="708" t="s">
        <v>2558</v>
      </c>
      <c r="H53" s="725" t="s">
        <v>5439</v>
      </c>
      <c r="I53" s="725" t="s">
        <v>259</v>
      </c>
      <c r="J53" s="725" t="s">
        <v>259</v>
      </c>
      <c r="K53" s="717" t="s">
        <v>877</v>
      </c>
      <c r="L53" s="719" t="s">
        <v>978</v>
      </c>
      <c r="M53" s="696"/>
      <c r="N53" s="696">
        <v>14.99</v>
      </c>
      <c r="O53" s="697">
        <v>1</v>
      </c>
      <c r="P53" s="727">
        <v>12</v>
      </c>
      <c r="Q53" s="711">
        <v>1.1000000000000001</v>
      </c>
      <c r="R53" s="712">
        <v>4.75</v>
      </c>
      <c r="S53" s="712">
        <v>3.75</v>
      </c>
      <c r="T53" s="720">
        <v>4.2</v>
      </c>
      <c r="U53" s="705">
        <v>1.2</v>
      </c>
      <c r="V53" s="713">
        <v>6</v>
      </c>
      <c r="W53" s="713">
        <v>4</v>
      </c>
      <c r="X53" s="714">
        <v>4</v>
      </c>
      <c r="Y53" s="705"/>
      <c r="Z53" s="713"/>
      <c r="AA53" s="713"/>
      <c r="AB53" s="714"/>
      <c r="AC53" s="705"/>
      <c r="AD53" s="713"/>
      <c r="AE53" s="713"/>
      <c r="AF53" s="714"/>
      <c r="AG53" s="705"/>
      <c r="AH53" s="749"/>
      <c r="AI53" s="749" t="s">
        <v>2153</v>
      </c>
      <c r="AJ53" s="749" t="s">
        <v>2154</v>
      </c>
      <c r="AK53" s="749" t="s">
        <v>2155</v>
      </c>
      <c r="AL53" s="749" t="s">
        <v>2156</v>
      </c>
      <c r="AM53" s="749" t="s">
        <v>2157</v>
      </c>
      <c r="AN53" s="749"/>
      <c r="AO53" s="722"/>
      <c r="AP53" s="750" t="s">
        <v>2158</v>
      </c>
      <c r="AQ53" s="749" t="s">
        <v>2159</v>
      </c>
      <c r="AR53" s="722"/>
    </row>
    <row r="54" spans="1:44" s="693" customFormat="1" x14ac:dyDescent="0.2">
      <c r="A54" s="693" t="s">
        <v>594</v>
      </c>
      <c r="B54" s="716"/>
      <c r="C54" s="752" t="s">
        <v>684</v>
      </c>
      <c r="D54" s="691"/>
      <c r="E54" s="668" t="s">
        <v>2144</v>
      </c>
      <c r="G54" s="708" t="s">
        <v>2558</v>
      </c>
      <c r="H54" s="717" t="s">
        <v>686</v>
      </c>
      <c r="I54" s="725" t="s">
        <v>259</v>
      </c>
      <c r="J54" s="725" t="s">
        <v>259</v>
      </c>
      <c r="K54" s="717" t="s">
        <v>877</v>
      </c>
      <c r="L54" s="719" t="s">
        <v>976</v>
      </c>
      <c r="M54" s="696"/>
      <c r="N54" s="696">
        <v>2.99</v>
      </c>
      <c r="O54" s="697">
        <v>1</v>
      </c>
      <c r="P54" s="727">
        <v>100</v>
      </c>
      <c r="Q54" s="711">
        <f>0.5/16</f>
        <v>3.125E-2</v>
      </c>
      <c r="R54" s="712">
        <v>1.5</v>
      </c>
      <c r="S54" s="712">
        <v>1.5</v>
      </c>
      <c r="T54" s="720">
        <v>0.75</v>
      </c>
      <c r="U54" s="705">
        <v>0.2</v>
      </c>
      <c r="V54" s="713">
        <v>3.125</v>
      </c>
      <c r="W54" s="713">
        <v>0.875</v>
      </c>
      <c r="X54" s="714">
        <v>5.5</v>
      </c>
      <c r="Y54" s="705" t="s">
        <v>259</v>
      </c>
      <c r="Z54" s="713" t="s">
        <v>259</v>
      </c>
      <c r="AA54" s="713" t="s">
        <v>259</v>
      </c>
      <c r="AB54" s="714" t="s">
        <v>259</v>
      </c>
      <c r="AC54" s="705">
        <v>22.3</v>
      </c>
      <c r="AD54" s="713">
        <v>16</v>
      </c>
      <c r="AE54" s="713">
        <v>14</v>
      </c>
      <c r="AF54" s="714">
        <v>9</v>
      </c>
      <c r="AG54" s="705">
        <f t="shared" si="2"/>
        <v>1.1666666666666667</v>
      </c>
      <c r="AH54" s="722" t="s">
        <v>2167</v>
      </c>
      <c r="AI54" s="749" t="s">
        <v>2168</v>
      </c>
      <c r="AJ54" s="749" t="s">
        <v>2157</v>
      </c>
      <c r="AK54" s="723"/>
      <c r="AL54" s="722"/>
      <c r="AM54" s="722"/>
      <c r="AN54" s="722"/>
      <c r="AO54" s="722"/>
      <c r="AP54" s="749" t="s">
        <v>2169</v>
      </c>
      <c r="AQ54" s="750" t="s">
        <v>2170</v>
      </c>
      <c r="AR54" s="722" t="s">
        <v>2255</v>
      </c>
    </row>
    <row r="55" spans="1:44" s="693" customFormat="1" x14ac:dyDescent="0.2">
      <c r="A55" s="693" t="s">
        <v>594</v>
      </c>
      <c r="B55" s="716"/>
      <c r="C55" s="691" t="s">
        <v>983</v>
      </c>
      <c r="D55" s="691"/>
      <c r="E55" s="668" t="s">
        <v>2145</v>
      </c>
      <c r="G55" s="708" t="s">
        <v>2558</v>
      </c>
      <c r="H55" s="717" t="s">
        <v>947</v>
      </c>
      <c r="I55" s="725" t="s">
        <v>259</v>
      </c>
      <c r="J55" s="725" t="s">
        <v>259</v>
      </c>
      <c r="K55" s="717" t="s">
        <v>877</v>
      </c>
      <c r="L55" s="719" t="s">
        <v>976</v>
      </c>
      <c r="M55" s="696"/>
      <c r="N55" s="696">
        <v>3.99</v>
      </c>
      <c r="O55" s="697">
        <v>1</v>
      </c>
      <c r="P55" s="727">
        <v>100</v>
      </c>
      <c r="Q55" s="711">
        <f>0.5/16</f>
        <v>3.125E-2</v>
      </c>
      <c r="R55" s="712">
        <v>1.5</v>
      </c>
      <c r="S55" s="712">
        <v>1.5</v>
      </c>
      <c r="T55" s="720">
        <v>0.75</v>
      </c>
      <c r="U55" s="705">
        <v>0.2</v>
      </c>
      <c r="V55" s="713">
        <v>3.125</v>
      </c>
      <c r="W55" s="713">
        <v>0.875</v>
      </c>
      <c r="X55" s="714">
        <v>5.5</v>
      </c>
      <c r="Y55" s="705" t="s">
        <v>259</v>
      </c>
      <c r="Z55" s="713" t="s">
        <v>259</v>
      </c>
      <c r="AA55" s="713" t="s">
        <v>259</v>
      </c>
      <c r="AB55" s="714" t="s">
        <v>259</v>
      </c>
      <c r="AC55" s="705">
        <v>21.85</v>
      </c>
      <c r="AD55" s="713">
        <v>16</v>
      </c>
      <c r="AE55" s="713">
        <v>14</v>
      </c>
      <c r="AF55" s="714">
        <v>9</v>
      </c>
      <c r="AG55" s="705">
        <f t="shared" si="2"/>
        <v>1.1666666666666667</v>
      </c>
      <c r="AH55" s="722" t="s">
        <v>2167</v>
      </c>
      <c r="AI55" s="722" t="s">
        <v>2160</v>
      </c>
      <c r="AJ55" s="749" t="s">
        <v>2168</v>
      </c>
      <c r="AK55" s="749" t="s">
        <v>2157</v>
      </c>
      <c r="AL55" s="723"/>
      <c r="AM55" s="723"/>
      <c r="AN55" s="723"/>
      <c r="AO55" s="723"/>
      <c r="AP55" s="749" t="s">
        <v>5455</v>
      </c>
      <c r="AQ55" s="750" t="s">
        <v>2170</v>
      </c>
      <c r="AR55" s="722" t="s">
        <v>2255</v>
      </c>
    </row>
    <row r="56" spans="1:44" s="758" customFormat="1" x14ac:dyDescent="0.2">
      <c r="A56" s="753" t="s">
        <v>594</v>
      </c>
      <c r="B56" s="754"/>
      <c r="C56" s="755" t="s">
        <v>685</v>
      </c>
      <c r="D56" s="756"/>
      <c r="E56" s="757" t="s">
        <v>2146</v>
      </c>
      <c r="G56" s="708" t="s">
        <v>2558</v>
      </c>
      <c r="H56" s="759" t="s">
        <v>687</v>
      </c>
      <c r="I56" s="725" t="s">
        <v>259</v>
      </c>
      <c r="J56" s="725" t="s">
        <v>259</v>
      </c>
      <c r="K56" s="759" t="s">
        <v>877</v>
      </c>
      <c r="L56" s="760" t="s">
        <v>978</v>
      </c>
      <c r="M56" s="696"/>
      <c r="N56" s="761">
        <v>4.99</v>
      </c>
      <c r="O56" s="697">
        <v>1</v>
      </c>
      <c r="P56" s="762" t="s">
        <v>259</v>
      </c>
      <c r="Q56" s="711">
        <f>0.6/16</f>
        <v>3.7499999999999999E-2</v>
      </c>
      <c r="R56" s="712">
        <v>1.5</v>
      </c>
      <c r="S56" s="712">
        <v>1.5</v>
      </c>
      <c r="T56" s="720">
        <v>0.75</v>
      </c>
      <c r="U56" s="763">
        <v>0.1</v>
      </c>
      <c r="V56" s="764">
        <v>4.25</v>
      </c>
      <c r="W56" s="764">
        <v>0.625</v>
      </c>
      <c r="X56" s="765">
        <v>6.75</v>
      </c>
      <c r="Y56" s="705" t="s">
        <v>259</v>
      </c>
      <c r="Z56" s="713" t="s">
        <v>259</v>
      </c>
      <c r="AA56" s="713" t="s">
        <v>259</v>
      </c>
      <c r="AB56" s="714" t="s">
        <v>259</v>
      </c>
      <c r="AC56" s="763" t="s">
        <v>259</v>
      </c>
      <c r="AD56" s="764" t="s">
        <v>259</v>
      </c>
      <c r="AE56" s="764" t="s">
        <v>259</v>
      </c>
      <c r="AF56" s="765" t="s">
        <v>259</v>
      </c>
      <c r="AG56" s="705"/>
      <c r="AH56" s="722" t="s">
        <v>2167</v>
      </c>
      <c r="AI56" s="766" t="s">
        <v>1896</v>
      </c>
      <c r="AJ56" s="767" t="s">
        <v>1005</v>
      </c>
      <c r="AK56" s="768" t="s">
        <v>2171</v>
      </c>
      <c r="AL56" s="749" t="s">
        <v>2157</v>
      </c>
      <c r="AM56" s="767"/>
      <c r="AN56" s="767"/>
      <c r="AO56" s="767"/>
      <c r="AP56" s="749" t="s">
        <v>5456</v>
      </c>
      <c r="AQ56" s="750" t="s">
        <v>2172</v>
      </c>
      <c r="AR56" s="722" t="s">
        <v>2255</v>
      </c>
    </row>
    <row r="57" spans="1:44" s="772" customFormat="1" x14ac:dyDescent="0.2">
      <c r="A57" s="769" t="s">
        <v>594</v>
      </c>
      <c r="B57" s="770"/>
      <c r="C57" s="733" t="s">
        <v>1886</v>
      </c>
      <c r="D57" s="771"/>
      <c r="E57" s="733" t="s">
        <v>2147</v>
      </c>
      <c r="G57" s="769" t="s">
        <v>2557</v>
      </c>
      <c r="H57" s="773" t="s">
        <v>1885</v>
      </c>
      <c r="I57" s="725" t="s">
        <v>259</v>
      </c>
      <c r="J57" s="725" t="s">
        <v>259</v>
      </c>
      <c r="K57" s="774" t="s">
        <v>877</v>
      </c>
      <c r="L57" s="735" t="s">
        <v>978</v>
      </c>
      <c r="M57" s="775"/>
      <c r="N57" s="775" t="s">
        <v>259</v>
      </c>
      <c r="O57" s="697">
        <v>1</v>
      </c>
      <c r="P57" s="762" t="s">
        <v>259</v>
      </c>
      <c r="Q57" s="711">
        <f>0.6/16</f>
        <v>3.7499999999999999E-2</v>
      </c>
      <c r="R57" s="712">
        <v>1.5</v>
      </c>
      <c r="S57" s="712">
        <v>1.5</v>
      </c>
      <c r="T57" s="720">
        <v>0.75</v>
      </c>
      <c r="U57" s="776">
        <v>1</v>
      </c>
      <c r="V57" s="777">
        <v>5.125</v>
      </c>
      <c r="W57" s="777">
        <v>5.25</v>
      </c>
      <c r="X57" s="778">
        <v>2.25</v>
      </c>
      <c r="Y57" s="705" t="s">
        <v>259</v>
      </c>
      <c r="Z57" s="713" t="s">
        <v>259</v>
      </c>
      <c r="AA57" s="713" t="s">
        <v>259</v>
      </c>
      <c r="AB57" s="714" t="s">
        <v>259</v>
      </c>
      <c r="AC57" s="763" t="s">
        <v>259</v>
      </c>
      <c r="AD57" s="764" t="s">
        <v>259</v>
      </c>
      <c r="AE57" s="764" t="s">
        <v>259</v>
      </c>
      <c r="AF57" s="765" t="s">
        <v>259</v>
      </c>
      <c r="AG57" s="705"/>
      <c r="AH57" s="722" t="s">
        <v>2167</v>
      </c>
      <c r="AI57" s="766" t="s">
        <v>1896</v>
      </c>
      <c r="AJ57" s="749" t="s">
        <v>2157</v>
      </c>
      <c r="AK57" s="721"/>
      <c r="AL57" s="721"/>
      <c r="AM57" s="721"/>
      <c r="AN57" s="721"/>
      <c r="AO57" s="721"/>
      <c r="AP57" s="749" t="s">
        <v>5457</v>
      </c>
      <c r="AQ57" s="750" t="s">
        <v>2172</v>
      </c>
      <c r="AR57" s="722" t="s">
        <v>2255</v>
      </c>
    </row>
    <row r="58" spans="1:44" s="758" customFormat="1" x14ac:dyDescent="0.2">
      <c r="A58" s="753" t="s">
        <v>594</v>
      </c>
      <c r="B58" s="754"/>
      <c r="C58" s="733" t="s">
        <v>1887</v>
      </c>
      <c r="D58" s="771"/>
      <c r="E58" s="668" t="s">
        <v>2148</v>
      </c>
      <c r="G58" s="769" t="s">
        <v>2557</v>
      </c>
      <c r="H58" s="717" t="s">
        <v>1891</v>
      </c>
      <c r="I58" s="725" t="s">
        <v>259</v>
      </c>
      <c r="J58" s="725" t="s">
        <v>259</v>
      </c>
      <c r="K58" s="759" t="s">
        <v>877</v>
      </c>
      <c r="L58" s="669" t="s">
        <v>1895</v>
      </c>
      <c r="M58" s="775"/>
      <c r="N58" s="775" t="s">
        <v>259</v>
      </c>
      <c r="O58" s="697">
        <v>1</v>
      </c>
      <c r="P58" s="762" t="s">
        <v>259</v>
      </c>
      <c r="Q58" s="711">
        <f>0.5/16</f>
        <v>3.125E-2</v>
      </c>
      <c r="R58" s="712">
        <v>1.5</v>
      </c>
      <c r="S58" s="712">
        <v>1.5</v>
      </c>
      <c r="T58" s="720">
        <v>0.75</v>
      </c>
      <c r="U58" s="776">
        <v>1</v>
      </c>
      <c r="V58" s="777">
        <v>5.125</v>
      </c>
      <c r="W58" s="777">
        <v>5.25</v>
      </c>
      <c r="X58" s="778">
        <v>2.25</v>
      </c>
      <c r="Y58" s="705" t="s">
        <v>259</v>
      </c>
      <c r="Z58" s="713" t="s">
        <v>259</v>
      </c>
      <c r="AA58" s="713" t="s">
        <v>259</v>
      </c>
      <c r="AB58" s="714" t="s">
        <v>259</v>
      </c>
      <c r="AC58" s="763" t="s">
        <v>259</v>
      </c>
      <c r="AD58" s="764" t="s">
        <v>259</v>
      </c>
      <c r="AE58" s="764" t="s">
        <v>259</v>
      </c>
      <c r="AF58" s="765" t="s">
        <v>259</v>
      </c>
      <c r="AG58" s="705"/>
      <c r="AH58" s="722" t="s">
        <v>2167</v>
      </c>
      <c r="AI58" s="722" t="s">
        <v>2160</v>
      </c>
      <c r="AJ58" s="749" t="s">
        <v>2157</v>
      </c>
      <c r="AK58" s="722"/>
      <c r="AL58" s="722"/>
      <c r="AM58" s="722"/>
      <c r="AN58" s="722"/>
      <c r="AO58" s="722"/>
      <c r="AP58" s="749" t="s">
        <v>5458</v>
      </c>
      <c r="AQ58" s="750" t="s">
        <v>2170</v>
      </c>
      <c r="AR58" s="722" t="s">
        <v>2255</v>
      </c>
    </row>
    <row r="59" spans="1:44" s="758" customFormat="1" x14ac:dyDescent="0.2">
      <c r="A59" s="753" t="s">
        <v>594</v>
      </c>
      <c r="B59" s="754"/>
      <c r="C59" s="733" t="s">
        <v>1888</v>
      </c>
      <c r="D59" s="771"/>
      <c r="E59" s="668" t="s">
        <v>2149</v>
      </c>
      <c r="G59" s="769" t="s">
        <v>2557</v>
      </c>
      <c r="H59" s="717" t="s">
        <v>1892</v>
      </c>
      <c r="I59" s="725" t="s">
        <v>259</v>
      </c>
      <c r="J59" s="725" t="s">
        <v>259</v>
      </c>
      <c r="K59" s="759" t="s">
        <v>877</v>
      </c>
      <c r="L59" s="669" t="s">
        <v>978</v>
      </c>
      <c r="M59" s="775"/>
      <c r="N59" s="775" t="s">
        <v>259</v>
      </c>
      <c r="O59" s="697">
        <v>1</v>
      </c>
      <c r="P59" s="762" t="s">
        <v>259</v>
      </c>
      <c r="Q59" s="711">
        <v>0.1</v>
      </c>
      <c r="R59" s="712">
        <v>1.25</v>
      </c>
      <c r="S59" s="712">
        <v>1.125</v>
      </c>
      <c r="T59" s="720">
        <v>4.25</v>
      </c>
      <c r="U59" s="776">
        <v>2.35</v>
      </c>
      <c r="V59" s="777">
        <v>8.25</v>
      </c>
      <c r="W59" s="777">
        <v>4.375</v>
      </c>
      <c r="X59" s="778">
        <v>4.5</v>
      </c>
      <c r="Y59" s="705" t="s">
        <v>259</v>
      </c>
      <c r="Z59" s="713" t="s">
        <v>259</v>
      </c>
      <c r="AA59" s="713" t="s">
        <v>259</v>
      </c>
      <c r="AB59" s="714" t="s">
        <v>259</v>
      </c>
      <c r="AC59" s="763" t="s">
        <v>259</v>
      </c>
      <c r="AD59" s="764" t="s">
        <v>259</v>
      </c>
      <c r="AE59" s="764" t="s">
        <v>259</v>
      </c>
      <c r="AF59" s="765" t="s">
        <v>259</v>
      </c>
      <c r="AG59" s="705"/>
      <c r="AH59" s="749" t="s">
        <v>2152</v>
      </c>
      <c r="AI59" s="749" t="s">
        <v>2153</v>
      </c>
      <c r="AJ59" s="749" t="s">
        <v>2154</v>
      </c>
      <c r="AK59" s="749" t="s">
        <v>2155</v>
      </c>
      <c r="AL59" s="749" t="s">
        <v>2156</v>
      </c>
      <c r="AM59" s="749" t="s">
        <v>2157</v>
      </c>
      <c r="AN59" s="722"/>
      <c r="AO59" s="722"/>
      <c r="AP59" s="750" t="s">
        <v>2158</v>
      </c>
      <c r="AQ59" s="749" t="s">
        <v>2159</v>
      </c>
      <c r="AR59" s="722" t="s">
        <v>2255</v>
      </c>
    </row>
    <row r="60" spans="1:44" s="758" customFormat="1" x14ac:dyDescent="0.2">
      <c r="A60" s="753" t="s">
        <v>594</v>
      </c>
      <c r="B60" s="754"/>
      <c r="C60" s="733" t="s">
        <v>1889</v>
      </c>
      <c r="D60" s="771"/>
      <c r="E60" s="668" t="s">
        <v>2150</v>
      </c>
      <c r="G60" s="769" t="s">
        <v>2557</v>
      </c>
      <c r="H60" s="717" t="s">
        <v>1893</v>
      </c>
      <c r="I60" s="725" t="s">
        <v>259</v>
      </c>
      <c r="J60" s="725" t="s">
        <v>259</v>
      </c>
      <c r="K60" s="759" t="s">
        <v>877</v>
      </c>
      <c r="L60" s="669" t="s">
        <v>978</v>
      </c>
      <c r="M60" s="775"/>
      <c r="N60" s="775" t="s">
        <v>259</v>
      </c>
      <c r="O60" s="697">
        <v>1</v>
      </c>
      <c r="P60" s="762" t="s">
        <v>259</v>
      </c>
      <c r="Q60" s="711">
        <v>0.1</v>
      </c>
      <c r="R60" s="712">
        <v>1.125</v>
      </c>
      <c r="S60" s="712">
        <v>1.125</v>
      </c>
      <c r="T60" s="720">
        <v>4.25</v>
      </c>
      <c r="U60" s="776">
        <v>2.2999999999999998</v>
      </c>
      <c r="V60" s="777">
        <v>8.25</v>
      </c>
      <c r="W60" s="777">
        <v>4.375</v>
      </c>
      <c r="X60" s="778">
        <v>4.5</v>
      </c>
      <c r="Y60" s="705" t="s">
        <v>259</v>
      </c>
      <c r="Z60" s="713" t="s">
        <v>259</v>
      </c>
      <c r="AA60" s="713" t="s">
        <v>259</v>
      </c>
      <c r="AB60" s="714" t="s">
        <v>259</v>
      </c>
      <c r="AC60" s="763" t="s">
        <v>259</v>
      </c>
      <c r="AD60" s="764" t="s">
        <v>259</v>
      </c>
      <c r="AE60" s="764" t="s">
        <v>259</v>
      </c>
      <c r="AF60" s="765" t="s">
        <v>259</v>
      </c>
      <c r="AG60" s="705"/>
      <c r="AH60" s="749" t="s">
        <v>2152</v>
      </c>
      <c r="AI60" s="722" t="s">
        <v>2160</v>
      </c>
      <c r="AJ60" s="749" t="s">
        <v>2153</v>
      </c>
      <c r="AK60" s="749" t="s">
        <v>2154</v>
      </c>
      <c r="AL60" s="749" t="s">
        <v>2155</v>
      </c>
      <c r="AM60" s="749" t="s">
        <v>2156</v>
      </c>
      <c r="AN60" s="749" t="s">
        <v>2157</v>
      </c>
      <c r="AO60" s="722"/>
      <c r="AP60" s="750" t="s">
        <v>2161</v>
      </c>
      <c r="AQ60" s="749" t="s">
        <v>2159</v>
      </c>
      <c r="AR60" s="722" t="s">
        <v>2255</v>
      </c>
    </row>
    <row r="61" spans="1:44" s="758" customFormat="1" x14ac:dyDescent="0.2">
      <c r="A61" s="753" t="s">
        <v>594</v>
      </c>
      <c r="B61" s="754"/>
      <c r="C61" s="733" t="s">
        <v>1890</v>
      </c>
      <c r="D61" s="771"/>
      <c r="E61" s="668" t="s">
        <v>2151</v>
      </c>
      <c r="G61" s="769" t="s">
        <v>2557</v>
      </c>
      <c r="H61" s="717" t="s">
        <v>1894</v>
      </c>
      <c r="I61" s="725" t="s">
        <v>259</v>
      </c>
      <c r="J61" s="725" t="s">
        <v>259</v>
      </c>
      <c r="K61" s="759" t="s">
        <v>877</v>
      </c>
      <c r="L61" s="669" t="s">
        <v>1895</v>
      </c>
      <c r="M61" s="775"/>
      <c r="N61" s="775" t="s">
        <v>259</v>
      </c>
      <c r="O61" s="697">
        <v>1</v>
      </c>
      <c r="P61" s="762" t="s">
        <v>259</v>
      </c>
      <c r="Q61" s="711">
        <v>0.15</v>
      </c>
      <c r="R61" s="712">
        <v>1.25</v>
      </c>
      <c r="S61" s="712">
        <v>1.25</v>
      </c>
      <c r="T61" s="720">
        <v>4</v>
      </c>
      <c r="U61" s="776">
        <v>2.95</v>
      </c>
      <c r="V61" s="777">
        <v>9.0625</v>
      </c>
      <c r="W61" s="777">
        <v>5.5</v>
      </c>
      <c r="X61" s="778">
        <v>5.5</v>
      </c>
      <c r="Y61" s="705" t="s">
        <v>259</v>
      </c>
      <c r="Z61" s="713" t="s">
        <v>259</v>
      </c>
      <c r="AA61" s="713" t="s">
        <v>259</v>
      </c>
      <c r="AB61" s="714" t="s">
        <v>259</v>
      </c>
      <c r="AC61" s="763" t="s">
        <v>259</v>
      </c>
      <c r="AD61" s="764" t="s">
        <v>259</v>
      </c>
      <c r="AE61" s="764" t="s">
        <v>259</v>
      </c>
      <c r="AF61" s="765" t="s">
        <v>259</v>
      </c>
      <c r="AG61" s="705"/>
      <c r="AH61" s="749" t="s">
        <v>2162</v>
      </c>
      <c r="AI61" s="749" t="s">
        <v>2163</v>
      </c>
      <c r="AJ61" s="749" t="s">
        <v>2154</v>
      </c>
      <c r="AK61" s="749" t="s">
        <v>2164</v>
      </c>
      <c r="AL61" s="749" t="s">
        <v>2156</v>
      </c>
      <c r="AM61" s="749" t="s">
        <v>1005</v>
      </c>
      <c r="AN61" s="749" t="s">
        <v>2157</v>
      </c>
      <c r="AO61" s="722"/>
      <c r="AP61" s="750" t="s">
        <v>2165</v>
      </c>
      <c r="AQ61" s="749" t="s">
        <v>2166</v>
      </c>
      <c r="AR61" s="722" t="s">
        <v>2255</v>
      </c>
    </row>
    <row r="62" spans="1:44" s="693" customFormat="1" x14ac:dyDescent="0.2">
      <c r="A62" s="708"/>
      <c r="B62" s="708"/>
      <c r="C62" s="779"/>
      <c r="D62" s="691"/>
      <c r="E62" s="733"/>
      <c r="G62" s="708"/>
      <c r="H62" s="780"/>
      <c r="I62" s="780"/>
      <c r="J62" s="780"/>
      <c r="K62" s="717"/>
      <c r="L62" s="719"/>
      <c r="M62" s="696"/>
      <c r="N62" s="696"/>
      <c r="O62" s="697"/>
      <c r="P62" s="727"/>
      <c r="Q62" s="711"/>
      <c r="R62" s="712"/>
      <c r="S62" s="712"/>
      <c r="T62" s="720"/>
      <c r="U62" s="702"/>
      <c r="V62" s="703"/>
      <c r="W62" s="703"/>
      <c r="X62" s="704"/>
      <c r="Y62" s="702"/>
      <c r="Z62" s="703"/>
      <c r="AA62" s="703"/>
      <c r="AB62" s="704"/>
      <c r="AC62" s="705"/>
      <c r="AD62" s="713"/>
      <c r="AE62" s="713"/>
      <c r="AF62" s="714"/>
      <c r="AG62" s="705"/>
      <c r="AH62" s="722"/>
      <c r="AI62" s="722"/>
      <c r="AJ62" s="722"/>
      <c r="AK62" s="722"/>
      <c r="AL62" s="722"/>
      <c r="AM62" s="722"/>
      <c r="AN62" s="715"/>
      <c r="AO62" s="730"/>
      <c r="AP62" s="715"/>
      <c r="AQ62" s="715"/>
      <c r="AR62" s="715"/>
    </row>
    <row r="63" spans="1:44" s="693" customFormat="1" ht="15.75" x14ac:dyDescent="0.25">
      <c r="A63" s="892" t="s">
        <v>2231</v>
      </c>
      <c r="B63" s="892"/>
      <c r="C63" s="892"/>
      <c r="D63" s="691"/>
      <c r="E63" s="668"/>
      <c r="G63" s="708"/>
      <c r="H63" s="717"/>
      <c r="I63" s="717"/>
      <c r="J63" s="717"/>
      <c r="K63" s="717"/>
      <c r="L63" s="719"/>
      <c r="M63" s="696"/>
      <c r="N63" s="696"/>
      <c r="O63" s="697"/>
      <c r="P63" s="698"/>
      <c r="Q63" s="711"/>
      <c r="R63" s="712"/>
      <c r="S63" s="712"/>
      <c r="T63" s="701"/>
      <c r="U63" s="702"/>
      <c r="V63" s="703"/>
      <c r="W63" s="703"/>
      <c r="X63" s="704"/>
      <c r="Y63" s="702"/>
      <c r="Z63" s="703"/>
      <c r="AA63" s="703"/>
      <c r="AB63" s="704"/>
      <c r="AC63" s="702"/>
      <c r="AD63" s="703"/>
      <c r="AE63" s="703"/>
      <c r="AF63" s="704"/>
      <c r="AG63" s="781"/>
      <c r="AH63" s="722"/>
      <c r="AI63" s="722"/>
      <c r="AJ63" s="722"/>
      <c r="AK63" s="722"/>
      <c r="AL63" s="722"/>
      <c r="AM63" s="722"/>
      <c r="AN63" s="715"/>
      <c r="AO63" s="730"/>
      <c r="AP63" s="715"/>
      <c r="AQ63" s="715"/>
      <c r="AR63" s="715"/>
    </row>
    <row r="64" spans="1:44" s="693" customFormat="1" x14ac:dyDescent="0.2">
      <c r="A64" s="693" t="s">
        <v>594</v>
      </c>
      <c r="B64" s="716"/>
      <c r="C64" s="713" t="s">
        <v>847</v>
      </c>
      <c r="E64" s="707" t="s">
        <v>2350</v>
      </c>
      <c r="F64" s="693" t="s">
        <v>484</v>
      </c>
      <c r="G64" s="708" t="s">
        <v>2567</v>
      </c>
      <c r="H64" s="709" t="s">
        <v>848</v>
      </c>
      <c r="I64" s="725" t="s">
        <v>259</v>
      </c>
      <c r="J64" s="782" t="s">
        <v>3331</v>
      </c>
      <c r="K64" s="782" t="s">
        <v>1040</v>
      </c>
      <c r="L64" s="710" t="s">
        <v>975</v>
      </c>
      <c r="M64" s="783"/>
      <c r="N64" s="783">
        <v>6.99</v>
      </c>
      <c r="O64" s="697">
        <v>1</v>
      </c>
      <c r="P64" s="727">
        <v>100</v>
      </c>
      <c r="Q64" s="711">
        <f>CONVERT(31,"g","lbm")</f>
        <v>6.8343301277312044E-2</v>
      </c>
      <c r="R64" s="712">
        <v>2.5</v>
      </c>
      <c r="S64" s="712">
        <v>2.5</v>
      </c>
      <c r="T64" s="720">
        <v>3.75</v>
      </c>
      <c r="U64" s="705">
        <v>0.1</v>
      </c>
      <c r="V64" s="713">
        <v>3</v>
      </c>
      <c r="W64" s="713">
        <v>2.5</v>
      </c>
      <c r="X64" s="714">
        <v>4</v>
      </c>
      <c r="Y64" s="705" t="s">
        <v>259</v>
      </c>
      <c r="Z64" s="713" t="s">
        <v>259</v>
      </c>
      <c r="AA64" s="713" t="s">
        <v>259</v>
      </c>
      <c r="AB64" s="714" t="s">
        <v>259</v>
      </c>
      <c r="AC64" s="705">
        <v>9.26</v>
      </c>
      <c r="AD64" s="713">
        <v>14.57</v>
      </c>
      <c r="AE64" s="713">
        <v>14.57</v>
      </c>
      <c r="AF64" s="714">
        <v>15.35</v>
      </c>
      <c r="AG64" s="705">
        <f>AD64*AE64*AF64/(12^3)</f>
        <v>1.8857483883101853</v>
      </c>
      <c r="AH64" s="784" t="s">
        <v>2267</v>
      </c>
      <c r="AI64" s="722" t="s">
        <v>2265</v>
      </c>
      <c r="AJ64" s="722" t="s">
        <v>2264</v>
      </c>
      <c r="AK64" s="722" t="s">
        <v>2266</v>
      </c>
      <c r="AL64" s="715" t="s">
        <v>2367</v>
      </c>
      <c r="AM64" s="722"/>
      <c r="AN64" s="715"/>
      <c r="AO64" s="715"/>
      <c r="AP64" s="785" t="s">
        <v>2263</v>
      </c>
      <c r="AQ64" s="722" t="s">
        <v>2255</v>
      </c>
      <c r="AR64" s="715"/>
    </row>
    <row r="65" spans="1:265" s="693" customFormat="1" x14ac:dyDescent="0.2">
      <c r="A65" s="693" t="s">
        <v>594</v>
      </c>
      <c r="B65" s="716"/>
      <c r="C65" s="713" t="s">
        <v>663</v>
      </c>
      <c r="E65" s="707" t="s">
        <v>2351</v>
      </c>
      <c r="F65" s="693" t="s">
        <v>484</v>
      </c>
      <c r="G65" s="708" t="s">
        <v>2567</v>
      </c>
      <c r="H65" s="717" t="s">
        <v>159</v>
      </c>
      <c r="I65" s="725" t="s">
        <v>259</v>
      </c>
      <c r="J65" s="725" t="s">
        <v>3332</v>
      </c>
      <c r="K65" s="782" t="s">
        <v>1040</v>
      </c>
      <c r="L65" s="710" t="s">
        <v>975</v>
      </c>
      <c r="M65" s="696"/>
      <c r="N65" s="783">
        <v>9.99</v>
      </c>
      <c r="O65" s="697">
        <v>1</v>
      </c>
      <c r="P65" s="727">
        <v>100</v>
      </c>
      <c r="Q65" s="711">
        <f>CONVERT(45,"g","lbm")</f>
        <v>9.920801798319491E-2</v>
      </c>
      <c r="R65" s="712">
        <v>2.5</v>
      </c>
      <c r="S65" s="712">
        <v>2.5</v>
      </c>
      <c r="T65" s="720">
        <v>5.75</v>
      </c>
      <c r="U65" s="705">
        <v>8.7999999999999995E-2</v>
      </c>
      <c r="V65" s="713">
        <v>3</v>
      </c>
      <c r="W65" s="713">
        <v>2.5</v>
      </c>
      <c r="X65" s="714">
        <v>5.25</v>
      </c>
      <c r="Y65" s="705" t="s">
        <v>259</v>
      </c>
      <c r="Z65" s="713" t="s">
        <v>259</v>
      </c>
      <c r="AA65" s="713" t="s">
        <v>259</v>
      </c>
      <c r="AB65" s="714" t="s">
        <v>259</v>
      </c>
      <c r="AC65" s="705">
        <f>CONVERT(5000,"g","lbm")</f>
        <v>11.023113109243878</v>
      </c>
      <c r="AD65" s="713">
        <f>CONVERT(0.37,"m","in")</f>
        <v>14.566929133858268</v>
      </c>
      <c r="AE65" s="713">
        <f>CONVERT(0.37,"m","in")</f>
        <v>14.566929133858268</v>
      </c>
      <c r="AF65" s="714">
        <f>CONVERT(0.56,"m","in")</f>
        <v>22.047244094488192</v>
      </c>
      <c r="AG65" s="705">
        <f>AD65*AE65*AF65/(12^3)</f>
        <v>2.7073636095362019</v>
      </c>
      <c r="AH65" s="784" t="s">
        <v>2268</v>
      </c>
      <c r="AI65" s="722" t="s">
        <v>2265</v>
      </c>
      <c r="AJ65" s="722" t="s">
        <v>2264</v>
      </c>
      <c r="AK65" s="722" t="s">
        <v>2266</v>
      </c>
      <c r="AL65" s="715" t="s">
        <v>2368</v>
      </c>
      <c r="AM65" s="722"/>
      <c r="AN65" s="715"/>
      <c r="AO65" s="715"/>
      <c r="AP65" s="785" t="s">
        <v>2263</v>
      </c>
      <c r="AQ65" s="722" t="s">
        <v>2255</v>
      </c>
      <c r="AR65" s="715"/>
    </row>
    <row r="66" spans="1:265" s="693" customFormat="1" x14ac:dyDescent="0.2">
      <c r="A66" s="693" t="s">
        <v>594</v>
      </c>
      <c r="B66" s="716"/>
      <c r="C66" s="713" t="s">
        <v>551</v>
      </c>
      <c r="E66" s="707" t="s">
        <v>2352</v>
      </c>
      <c r="F66" s="693" t="s">
        <v>484</v>
      </c>
      <c r="G66" s="708" t="s">
        <v>2567</v>
      </c>
      <c r="H66" s="717" t="s">
        <v>2198</v>
      </c>
      <c r="I66" s="725" t="s">
        <v>259</v>
      </c>
      <c r="J66" s="725" t="s">
        <v>259</v>
      </c>
      <c r="K66" s="782" t="s">
        <v>1040</v>
      </c>
      <c r="L66" s="786" t="s">
        <v>975</v>
      </c>
      <c r="M66" s="696"/>
      <c r="N66" s="783">
        <v>12.99</v>
      </c>
      <c r="O66" s="697">
        <v>1</v>
      </c>
      <c r="P66" s="727">
        <v>50</v>
      </c>
      <c r="Q66" s="711">
        <f>CONVERT(133,"g","lbm")</f>
        <v>0.29321480870588718</v>
      </c>
      <c r="R66" s="712">
        <v>3.5</v>
      </c>
      <c r="S66" s="712">
        <v>3.5</v>
      </c>
      <c r="T66" s="720">
        <v>9</v>
      </c>
      <c r="U66" s="705">
        <v>0.3</v>
      </c>
      <c r="V66" s="713">
        <v>6</v>
      </c>
      <c r="W66" s="713">
        <v>3.5</v>
      </c>
      <c r="X66" s="714">
        <v>8</v>
      </c>
      <c r="Y66" s="705" t="s">
        <v>259</v>
      </c>
      <c r="Z66" s="713" t="s">
        <v>259</v>
      </c>
      <c r="AA66" s="713" t="s">
        <v>259</v>
      </c>
      <c r="AB66" s="714" t="s">
        <v>259</v>
      </c>
      <c r="AC66" s="705">
        <v>19.84</v>
      </c>
      <c r="AD66" s="713">
        <v>24.41</v>
      </c>
      <c r="AE66" s="713">
        <v>24.41</v>
      </c>
      <c r="AF66" s="714">
        <v>18.899999999999999</v>
      </c>
      <c r="AG66" s="705">
        <f>AD66*AE66*AF66/(12^3)</f>
        <v>6.5170885937499996</v>
      </c>
      <c r="AH66" s="784" t="s">
        <v>2269</v>
      </c>
      <c r="AI66" s="722" t="s">
        <v>2265</v>
      </c>
      <c r="AJ66" s="722" t="s">
        <v>2264</v>
      </c>
      <c r="AK66" s="722" t="s">
        <v>2266</v>
      </c>
      <c r="AL66" s="715" t="s">
        <v>2369</v>
      </c>
      <c r="AM66" s="722"/>
      <c r="AN66" s="715"/>
      <c r="AO66" s="715"/>
      <c r="AP66" s="785" t="s">
        <v>2263</v>
      </c>
      <c r="AQ66" s="722" t="s">
        <v>2255</v>
      </c>
      <c r="AR66" s="715"/>
    </row>
    <row r="67" spans="1:265" s="693" customFormat="1" x14ac:dyDescent="0.2">
      <c r="A67" s="693" t="s">
        <v>594</v>
      </c>
      <c r="B67" s="716"/>
      <c r="C67" s="703" t="s">
        <v>125</v>
      </c>
      <c r="D67" s="703"/>
      <c r="E67" s="669" t="s">
        <v>2174</v>
      </c>
      <c r="F67" s="669"/>
      <c r="G67" s="708" t="s">
        <v>2568</v>
      </c>
      <c r="H67" s="773" t="s">
        <v>127</v>
      </c>
      <c r="I67" s="725" t="s">
        <v>259</v>
      </c>
      <c r="J67" s="725" t="s">
        <v>259</v>
      </c>
      <c r="K67" s="782" t="s">
        <v>1039</v>
      </c>
      <c r="L67" s="786" t="s">
        <v>976</v>
      </c>
      <c r="M67" s="696"/>
      <c r="N67" s="783">
        <v>3.99</v>
      </c>
      <c r="O67" s="697">
        <v>1</v>
      </c>
      <c r="P67" s="727" t="s">
        <v>259</v>
      </c>
      <c r="Q67" s="711">
        <f>CONVERT(9,"g","lbm")</f>
        <v>1.9841603596638981E-2</v>
      </c>
      <c r="R67" s="712">
        <v>3.25</v>
      </c>
      <c r="S67" s="712">
        <v>0.75</v>
      </c>
      <c r="T67" s="720">
        <v>2.875</v>
      </c>
      <c r="U67" s="787">
        <v>0.05</v>
      </c>
      <c r="V67" s="788">
        <v>4</v>
      </c>
      <c r="W67" s="788">
        <v>0.75</v>
      </c>
      <c r="X67" s="789">
        <v>6</v>
      </c>
      <c r="Y67" s="705" t="s">
        <v>259</v>
      </c>
      <c r="Z67" s="713" t="s">
        <v>259</v>
      </c>
      <c r="AA67" s="713" t="s">
        <v>259</v>
      </c>
      <c r="AB67" s="714" t="s">
        <v>259</v>
      </c>
      <c r="AC67" s="705" t="s">
        <v>259</v>
      </c>
      <c r="AD67" s="713" t="s">
        <v>259</v>
      </c>
      <c r="AE67" s="713" t="s">
        <v>259</v>
      </c>
      <c r="AF67" s="714" t="s">
        <v>259</v>
      </c>
      <c r="AG67" s="705"/>
      <c r="AH67" s="722" t="s">
        <v>2180</v>
      </c>
      <c r="AI67" s="722" t="s">
        <v>2181</v>
      </c>
      <c r="AJ67" s="728" t="s">
        <v>2182</v>
      </c>
      <c r="AK67" s="728" t="s">
        <v>2372</v>
      </c>
      <c r="AL67" s="722"/>
      <c r="AM67" s="722"/>
      <c r="AN67" s="722"/>
      <c r="AO67" s="722"/>
      <c r="AP67" s="722" t="s">
        <v>2183</v>
      </c>
      <c r="AQ67" s="722" t="s">
        <v>456</v>
      </c>
      <c r="AR67" s="722" t="s">
        <v>2255</v>
      </c>
    </row>
    <row r="68" spans="1:265" s="693" customFormat="1" x14ac:dyDescent="0.2">
      <c r="A68" s="693" t="s">
        <v>594</v>
      </c>
      <c r="B68" s="716"/>
      <c r="C68" s="703" t="s">
        <v>126</v>
      </c>
      <c r="D68" s="703"/>
      <c r="E68" s="669" t="s">
        <v>2175</v>
      </c>
      <c r="F68" s="669"/>
      <c r="G68" s="708" t="s">
        <v>2568</v>
      </c>
      <c r="H68" s="790" t="s">
        <v>1015</v>
      </c>
      <c r="I68" s="725" t="s">
        <v>259</v>
      </c>
      <c r="J68" s="791">
        <v>20054269000510</v>
      </c>
      <c r="K68" s="782" t="s">
        <v>1039</v>
      </c>
      <c r="L68" s="710" t="s">
        <v>975</v>
      </c>
      <c r="M68" s="696"/>
      <c r="N68" s="783">
        <v>9.99</v>
      </c>
      <c r="O68" s="697">
        <v>1</v>
      </c>
      <c r="P68" s="727">
        <v>400</v>
      </c>
      <c r="Q68" s="711">
        <f>CONVERT(28,"g","lbm")</f>
        <v>6.1729433411765719E-2</v>
      </c>
      <c r="R68" s="712">
        <v>6</v>
      </c>
      <c r="S68" s="712">
        <v>0.25</v>
      </c>
      <c r="T68" s="720">
        <v>3</v>
      </c>
      <c r="U68" s="787">
        <v>0.1</v>
      </c>
      <c r="V68" s="788">
        <v>6.75</v>
      </c>
      <c r="W68" s="788">
        <v>0.05</v>
      </c>
      <c r="X68" s="789">
        <v>7</v>
      </c>
      <c r="Y68" s="705" t="s">
        <v>259</v>
      </c>
      <c r="Z68" s="713" t="s">
        <v>259</v>
      </c>
      <c r="AA68" s="713" t="s">
        <v>259</v>
      </c>
      <c r="AB68" s="714" t="s">
        <v>259</v>
      </c>
      <c r="AC68" s="705">
        <f>CONVERT(14500,"g","lbm")</f>
        <v>31.967028016807248</v>
      </c>
      <c r="AD68" s="713">
        <v>18.25</v>
      </c>
      <c r="AE68" s="713">
        <v>14.25</v>
      </c>
      <c r="AF68" s="714">
        <v>8</v>
      </c>
      <c r="AG68" s="705">
        <f>AD68*AE68*AF68/(12^3)</f>
        <v>1.2039930555555556</v>
      </c>
      <c r="AH68" s="722" t="s">
        <v>2180</v>
      </c>
      <c r="AI68" s="722" t="s">
        <v>2184</v>
      </c>
      <c r="AJ68" s="722" t="s">
        <v>2185</v>
      </c>
      <c r="AK68" s="722" t="s">
        <v>2186</v>
      </c>
      <c r="AL68" s="728" t="s">
        <v>2371</v>
      </c>
      <c r="AM68" s="722"/>
      <c r="AN68" s="722"/>
      <c r="AO68" s="722"/>
      <c r="AP68" s="722" t="s">
        <v>2187</v>
      </c>
      <c r="AQ68" s="722" t="s">
        <v>2255</v>
      </c>
      <c r="AR68" s="715"/>
    </row>
    <row r="69" spans="1:265" s="693" customFormat="1" x14ac:dyDescent="0.2">
      <c r="A69" s="693" t="s">
        <v>594</v>
      </c>
      <c r="B69" s="716"/>
      <c r="C69" s="792" t="s">
        <v>668</v>
      </c>
      <c r="D69" s="668"/>
      <c r="E69" s="669" t="s">
        <v>2354</v>
      </c>
      <c r="F69" s="668"/>
      <c r="G69" s="708" t="s">
        <v>2568</v>
      </c>
      <c r="H69" s="793" t="s">
        <v>669</v>
      </c>
      <c r="I69" s="725" t="s">
        <v>259</v>
      </c>
      <c r="J69" s="725" t="s">
        <v>259</v>
      </c>
      <c r="K69" s="782" t="s">
        <v>458</v>
      </c>
      <c r="L69" s="786" t="s">
        <v>976</v>
      </c>
      <c r="M69" s="794"/>
      <c r="N69" s="794">
        <v>11.99</v>
      </c>
      <c r="O69" s="697">
        <v>1</v>
      </c>
      <c r="P69" s="727" t="s">
        <v>259</v>
      </c>
      <c r="Q69" s="711">
        <v>6.25E-2</v>
      </c>
      <c r="R69" s="712">
        <v>1.875</v>
      </c>
      <c r="S69" s="712">
        <v>1.875</v>
      </c>
      <c r="T69" s="720">
        <v>1</v>
      </c>
      <c r="U69" s="787">
        <v>8.7999999999999995E-2</v>
      </c>
      <c r="V69" s="788">
        <v>4.25</v>
      </c>
      <c r="W69" s="788">
        <v>1</v>
      </c>
      <c r="X69" s="789">
        <v>8.25</v>
      </c>
      <c r="Y69" s="705" t="s">
        <v>259</v>
      </c>
      <c r="Z69" s="713" t="s">
        <v>259</v>
      </c>
      <c r="AA69" s="713" t="s">
        <v>259</v>
      </c>
      <c r="AB69" s="714" t="s">
        <v>259</v>
      </c>
      <c r="AC69" s="705" t="s">
        <v>259</v>
      </c>
      <c r="AD69" s="713" t="s">
        <v>259</v>
      </c>
      <c r="AE69" s="713" t="s">
        <v>259</v>
      </c>
      <c r="AF69" s="714" t="s">
        <v>259</v>
      </c>
      <c r="AG69" s="705"/>
      <c r="AH69" s="749" t="s">
        <v>2188</v>
      </c>
      <c r="AI69" s="722" t="s">
        <v>2189</v>
      </c>
      <c r="AJ69" s="722"/>
      <c r="AK69" s="722"/>
      <c r="AL69" s="722"/>
      <c r="AM69" s="722"/>
      <c r="AN69" s="722"/>
      <c r="AO69" s="722"/>
      <c r="AP69" s="750" t="s">
        <v>2190</v>
      </c>
      <c r="AQ69" s="722" t="s">
        <v>456</v>
      </c>
      <c r="AR69" s="722" t="s">
        <v>2255</v>
      </c>
      <c r="AS69" s="668"/>
      <c r="AT69" s="668"/>
      <c r="AU69" s="792"/>
      <c r="AV69" s="668"/>
      <c r="AW69" s="668"/>
      <c r="AX69" s="668"/>
      <c r="AY69" s="792"/>
      <c r="AZ69" s="668"/>
      <c r="BA69" s="668"/>
      <c r="BB69" s="668"/>
      <c r="BC69" s="792"/>
      <c r="BD69" s="668"/>
      <c r="BE69" s="668"/>
      <c r="BF69" s="668"/>
      <c r="BG69" s="792"/>
      <c r="BH69" s="668"/>
      <c r="BI69" s="668"/>
      <c r="BJ69" s="668"/>
      <c r="BK69" s="792"/>
      <c r="BL69" s="668"/>
      <c r="BM69" s="668"/>
      <c r="BN69" s="668"/>
      <c r="BO69" s="792"/>
      <c r="BP69" s="668"/>
      <c r="BQ69" s="668"/>
      <c r="BR69" s="668"/>
      <c r="BS69" s="792"/>
      <c r="BT69" s="668"/>
      <c r="BU69" s="668"/>
      <c r="BV69" s="668"/>
      <c r="BW69" s="792"/>
      <c r="BX69" s="668"/>
      <c r="BY69" s="668"/>
      <c r="BZ69" s="668"/>
      <c r="CA69" s="792"/>
      <c r="CB69" s="668"/>
      <c r="CC69" s="668"/>
      <c r="CD69" s="668"/>
      <c r="CE69" s="792"/>
      <c r="CF69" s="668"/>
      <c r="CG69" s="668"/>
      <c r="CH69" s="668"/>
      <c r="CI69" s="792"/>
      <c r="CJ69" s="668"/>
      <c r="CK69" s="668"/>
      <c r="CL69" s="668"/>
      <c r="CM69" s="792"/>
      <c r="CN69" s="668"/>
      <c r="CO69" s="668"/>
      <c r="CP69" s="668"/>
      <c r="CQ69" s="792"/>
      <c r="CR69" s="668"/>
      <c r="CS69" s="668"/>
      <c r="CT69" s="668"/>
      <c r="CU69" s="792"/>
      <c r="CV69" s="668"/>
      <c r="CW69" s="668"/>
      <c r="CX69" s="668"/>
      <c r="CY69" s="792"/>
      <c r="CZ69" s="668"/>
      <c r="DA69" s="668"/>
      <c r="DB69" s="668"/>
      <c r="DC69" s="792"/>
      <c r="DD69" s="668"/>
      <c r="DE69" s="668"/>
      <c r="DF69" s="668"/>
      <c r="DG69" s="792"/>
      <c r="DH69" s="668"/>
      <c r="DI69" s="668"/>
      <c r="DJ69" s="668"/>
      <c r="DK69" s="792"/>
      <c r="DL69" s="668"/>
      <c r="DM69" s="668"/>
      <c r="DN69" s="668"/>
      <c r="DO69" s="792"/>
      <c r="DP69" s="668"/>
      <c r="DQ69" s="668"/>
      <c r="DR69" s="668"/>
      <c r="DS69" s="792"/>
      <c r="DT69" s="668"/>
      <c r="DU69" s="668"/>
      <c r="DV69" s="668"/>
      <c r="DW69" s="792"/>
      <c r="DX69" s="668"/>
      <c r="DY69" s="668"/>
      <c r="DZ69" s="668"/>
      <c r="EA69" s="792"/>
      <c r="EB69" s="668"/>
      <c r="EC69" s="668"/>
      <c r="ED69" s="668"/>
      <c r="EE69" s="792"/>
      <c r="EF69" s="668"/>
      <c r="EG69" s="668"/>
      <c r="EH69" s="668"/>
      <c r="EI69" s="792"/>
      <c r="EJ69" s="668"/>
      <c r="EK69" s="668"/>
      <c r="EL69" s="668"/>
      <c r="EM69" s="792"/>
      <c r="EN69" s="668"/>
      <c r="EO69" s="668"/>
      <c r="EP69" s="668"/>
      <c r="EQ69" s="792"/>
      <c r="ER69" s="668"/>
      <c r="ES69" s="668"/>
      <c r="ET69" s="668"/>
      <c r="EU69" s="792"/>
      <c r="EV69" s="668"/>
      <c r="EW69" s="668"/>
      <c r="EX69" s="668"/>
      <c r="EY69" s="792"/>
      <c r="EZ69" s="668"/>
      <c r="FA69" s="668"/>
      <c r="FB69" s="668"/>
      <c r="FC69" s="792"/>
      <c r="FD69" s="668"/>
      <c r="FE69" s="668"/>
      <c r="FF69" s="668"/>
      <c r="FG69" s="792"/>
      <c r="FH69" s="668"/>
      <c r="FI69" s="668"/>
      <c r="FJ69" s="668"/>
      <c r="FK69" s="792"/>
      <c r="FL69" s="668"/>
      <c r="FM69" s="668"/>
      <c r="FN69" s="668"/>
      <c r="FO69" s="792"/>
      <c r="FP69" s="668"/>
      <c r="FQ69" s="668"/>
      <c r="FR69" s="668"/>
      <c r="FS69" s="792"/>
      <c r="FT69" s="668"/>
      <c r="FU69" s="668"/>
      <c r="FV69" s="668"/>
      <c r="FW69" s="792"/>
      <c r="FX69" s="668"/>
      <c r="FY69" s="668"/>
      <c r="FZ69" s="668"/>
      <c r="GA69" s="792"/>
      <c r="GB69" s="668"/>
      <c r="GC69" s="668"/>
      <c r="GD69" s="668"/>
      <c r="GE69" s="792"/>
      <c r="GF69" s="668"/>
      <c r="GG69" s="668"/>
      <c r="GH69" s="668"/>
      <c r="GI69" s="792"/>
      <c r="GJ69" s="668"/>
      <c r="GK69" s="668"/>
      <c r="GL69" s="668"/>
      <c r="GM69" s="792"/>
      <c r="GN69" s="668"/>
      <c r="GO69" s="668"/>
      <c r="GP69" s="668"/>
      <c r="GQ69" s="792"/>
      <c r="GR69" s="668"/>
      <c r="GS69" s="668"/>
      <c r="GT69" s="668"/>
      <c r="GU69" s="792"/>
      <c r="GV69" s="668"/>
      <c r="GW69" s="668"/>
      <c r="GX69" s="668"/>
      <c r="GY69" s="792"/>
      <c r="GZ69" s="668"/>
      <c r="HA69" s="668"/>
      <c r="HB69" s="668"/>
      <c r="HC69" s="792"/>
      <c r="HD69" s="668"/>
      <c r="HE69" s="668"/>
      <c r="HF69" s="668"/>
      <c r="HG69" s="792"/>
      <c r="HH69" s="668"/>
      <c r="HI69" s="668"/>
      <c r="HJ69" s="668"/>
      <c r="HK69" s="792"/>
      <c r="HL69" s="668"/>
      <c r="HM69" s="668"/>
      <c r="HN69" s="668"/>
      <c r="HO69" s="792"/>
      <c r="HP69" s="668"/>
      <c r="HQ69" s="668"/>
      <c r="HR69" s="668"/>
      <c r="HS69" s="792"/>
      <c r="HT69" s="668"/>
      <c r="HU69" s="668"/>
      <c r="HV69" s="668"/>
      <c r="HW69" s="792"/>
      <c r="HX69" s="668"/>
      <c r="HY69" s="668"/>
      <c r="HZ69" s="668"/>
      <c r="IA69" s="792"/>
      <c r="IB69" s="668"/>
      <c r="IC69" s="668"/>
      <c r="ID69" s="668"/>
      <c r="IE69" s="792"/>
      <c r="IF69" s="668"/>
      <c r="IG69" s="668"/>
      <c r="IH69" s="668"/>
      <c r="II69" s="792"/>
      <c r="IJ69" s="668"/>
      <c r="IK69" s="668"/>
      <c r="IL69" s="668"/>
      <c r="IM69" s="792"/>
      <c r="IN69" s="668"/>
      <c r="IO69" s="668"/>
      <c r="IP69" s="668"/>
      <c r="IQ69" s="792"/>
      <c r="IR69" s="668"/>
      <c r="IS69" s="668"/>
      <c r="IT69" s="668"/>
      <c r="IU69" s="792"/>
      <c r="IV69" s="668"/>
      <c r="IW69" s="668"/>
      <c r="IX69" s="668"/>
      <c r="IY69" s="792"/>
      <c r="IZ69" s="668"/>
      <c r="JA69" s="668"/>
      <c r="JB69" s="668"/>
      <c r="JC69" s="792"/>
      <c r="JD69" s="668"/>
      <c r="JE69" s="668"/>
    </row>
    <row r="70" spans="1:265" s="693" customFormat="1" x14ac:dyDescent="0.2">
      <c r="A70" s="693" t="s">
        <v>594</v>
      </c>
      <c r="B70" s="716"/>
      <c r="C70" s="668" t="s">
        <v>670</v>
      </c>
      <c r="E70" s="668" t="s">
        <v>2176</v>
      </c>
      <c r="F70" s="668"/>
      <c r="G70" s="708" t="s">
        <v>2568</v>
      </c>
      <c r="H70" s="793" t="s">
        <v>671</v>
      </c>
      <c r="I70" s="725" t="s">
        <v>259</v>
      </c>
      <c r="J70" s="725" t="s">
        <v>259</v>
      </c>
      <c r="K70" s="717" t="s">
        <v>1039</v>
      </c>
      <c r="L70" s="786" t="s">
        <v>976</v>
      </c>
      <c r="M70" s="696"/>
      <c r="N70" s="794">
        <v>8.99</v>
      </c>
      <c r="O70" s="697">
        <v>1</v>
      </c>
      <c r="P70" s="727" t="s">
        <v>259</v>
      </c>
      <c r="Q70" s="711">
        <f>CONVERT(28,"g","lbm")</f>
        <v>6.1729433411765719E-2</v>
      </c>
      <c r="R70" s="795">
        <v>3.5</v>
      </c>
      <c r="S70" s="795">
        <v>4</v>
      </c>
      <c r="T70" s="796"/>
      <c r="U70" s="797">
        <v>0.05</v>
      </c>
      <c r="V70" s="798">
        <v>6</v>
      </c>
      <c r="W70" s="798">
        <v>4</v>
      </c>
      <c r="X70" s="799">
        <v>0.05</v>
      </c>
      <c r="Y70" s="705" t="s">
        <v>259</v>
      </c>
      <c r="Z70" s="713" t="s">
        <v>259</v>
      </c>
      <c r="AA70" s="713" t="s">
        <v>259</v>
      </c>
      <c r="AB70" s="714" t="s">
        <v>259</v>
      </c>
      <c r="AC70" s="705" t="s">
        <v>259</v>
      </c>
      <c r="AD70" s="713" t="s">
        <v>259</v>
      </c>
      <c r="AE70" s="713" t="s">
        <v>259</v>
      </c>
      <c r="AF70" s="714" t="s">
        <v>259</v>
      </c>
      <c r="AG70" s="705"/>
      <c r="AH70" s="722" t="s">
        <v>2191</v>
      </c>
      <c r="AI70" s="722" t="s">
        <v>2181</v>
      </c>
      <c r="AJ70" s="722" t="s">
        <v>2192</v>
      </c>
      <c r="AK70" s="728" t="s">
        <v>2371</v>
      </c>
      <c r="AL70" s="722"/>
      <c r="AM70" s="722"/>
      <c r="AN70" s="722"/>
      <c r="AO70" s="722"/>
      <c r="AP70" s="722" t="s">
        <v>2193</v>
      </c>
      <c r="AQ70" s="722" t="s">
        <v>456</v>
      </c>
      <c r="AR70" s="722" t="s">
        <v>2255</v>
      </c>
      <c r="AS70" s="668"/>
      <c r="AT70" s="668"/>
      <c r="AU70" s="792"/>
      <c r="AV70" s="668"/>
      <c r="AW70" s="668"/>
      <c r="AX70" s="668"/>
      <c r="AY70" s="792"/>
      <c r="AZ70" s="668"/>
      <c r="BA70" s="668"/>
      <c r="BB70" s="668"/>
      <c r="BC70" s="792"/>
      <c r="BD70" s="668"/>
      <c r="BE70" s="668"/>
      <c r="BF70" s="668"/>
      <c r="BG70" s="792"/>
      <c r="BH70" s="668"/>
      <c r="BI70" s="668"/>
      <c r="BJ70" s="668"/>
      <c r="BK70" s="792"/>
      <c r="BL70" s="668"/>
      <c r="BM70" s="668"/>
      <c r="BN70" s="668"/>
      <c r="BO70" s="792"/>
      <c r="BP70" s="668"/>
      <c r="BQ70" s="668"/>
      <c r="BR70" s="668"/>
      <c r="BS70" s="792"/>
      <c r="BT70" s="668"/>
      <c r="BU70" s="668"/>
      <c r="BV70" s="668"/>
      <c r="BW70" s="792"/>
      <c r="BX70" s="668"/>
      <c r="BY70" s="668"/>
      <c r="BZ70" s="668"/>
      <c r="CA70" s="792"/>
      <c r="CB70" s="668"/>
      <c r="CC70" s="668"/>
      <c r="CD70" s="668"/>
      <c r="CE70" s="792"/>
      <c r="CF70" s="668"/>
      <c r="CG70" s="668"/>
      <c r="CH70" s="668"/>
      <c r="CI70" s="792"/>
      <c r="CJ70" s="668"/>
      <c r="CK70" s="668"/>
      <c r="CL70" s="668"/>
      <c r="CM70" s="792"/>
      <c r="CN70" s="668"/>
      <c r="CO70" s="668"/>
      <c r="CP70" s="668"/>
      <c r="CQ70" s="792"/>
      <c r="CR70" s="668"/>
      <c r="CS70" s="668"/>
      <c r="CT70" s="668"/>
      <c r="CU70" s="792"/>
      <c r="CV70" s="668"/>
      <c r="CW70" s="668"/>
      <c r="CX70" s="668"/>
      <c r="CY70" s="792"/>
      <c r="CZ70" s="668"/>
      <c r="DA70" s="668"/>
      <c r="DB70" s="668"/>
      <c r="DC70" s="792"/>
      <c r="DD70" s="668"/>
      <c r="DE70" s="668"/>
      <c r="DF70" s="668"/>
      <c r="DG70" s="792"/>
      <c r="DH70" s="668"/>
      <c r="DI70" s="668"/>
      <c r="DJ70" s="668"/>
      <c r="DK70" s="792"/>
      <c r="DL70" s="668"/>
      <c r="DM70" s="668"/>
      <c r="DN70" s="668"/>
      <c r="DO70" s="792"/>
      <c r="DP70" s="668"/>
      <c r="DQ70" s="668"/>
      <c r="DR70" s="668"/>
      <c r="DS70" s="792"/>
      <c r="DT70" s="668"/>
      <c r="DU70" s="668"/>
      <c r="DV70" s="668"/>
      <c r="DW70" s="792"/>
      <c r="DX70" s="668"/>
      <c r="DY70" s="668"/>
      <c r="DZ70" s="668"/>
      <c r="EA70" s="792"/>
      <c r="EB70" s="668"/>
      <c r="EC70" s="668"/>
      <c r="ED70" s="668"/>
      <c r="EE70" s="792"/>
      <c r="EF70" s="668"/>
      <c r="EG70" s="668"/>
      <c r="EH70" s="668"/>
      <c r="EI70" s="792"/>
      <c r="EJ70" s="668"/>
      <c r="EK70" s="668"/>
      <c r="EL70" s="668"/>
      <c r="EM70" s="792"/>
      <c r="EN70" s="668"/>
      <c r="EO70" s="668"/>
      <c r="EP70" s="668"/>
      <c r="EQ70" s="792"/>
      <c r="ER70" s="668"/>
      <c r="ES70" s="668"/>
      <c r="ET70" s="668"/>
      <c r="EU70" s="792"/>
      <c r="EV70" s="668"/>
      <c r="EW70" s="668"/>
      <c r="EX70" s="668"/>
      <c r="EY70" s="792"/>
      <c r="EZ70" s="668"/>
      <c r="FA70" s="668"/>
      <c r="FB70" s="668"/>
      <c r="FC70" s="792"/>
      <c r="FD70" s="668"/>
      <c r="FE70" s="668"/>
      <c r="FF70" s="668"/>
      <c r="FG70" s="792"/>
      <c r="FH70" s="668"/>
      <c r="FI70" s="668"/>
      <c r="FJ70" s="668"/>
      <c r="FK70" s="792"/>
      <c r="FL70" s="668"/>
      <c r="FM70" s="668"/>
      <c r="FN70" s="668"/>
      <c r="FO70" s="792"/>
      <c r="FP70" s="668"/>
      <c r="FQ70" s="668"/>
      <c r="FR70" s="668"/>
      <c r="FS70" s="792"/>
      <c r="FT70" s="668"/>
      <c r="FU70" s="668"/>
      <c r="FV70" s="668"/>
      <c r="FW70" s="792"/>
      <c r="FX70" s="668"/>
      <c r="FY70" s="668"/>
      <c r="FZ70" s="668"/>
      <c r="GA70" s="792"/>
      <c r="GB70" s="668"/>
      <c r="GC70" s="668"/>
      <c r="GD70" s="668"/>
      <c r="GE70" s="792"/>
      <c r="GF70" s="668"/>
      <c r="GG70" s="668"/>
      <c r="GH70" s="668"/>
      <c r="GI70" s="792"/>
      <c r="GJ70" s="668"/>
      <c r="GK70" s="668"/>
      <c r="GL70" s="668"/>
      <c r="GM70" s="792"/>
      <c r="GN70" s="668"/>
      <c r="GO70" s="668"/>
      <c r="GP70" s="668"/>
      <c r="GQ70" s="792"/>
      <c r="GR70" s="668"/>
      <c r="GS70" s="668"/>
      <c r="GT70" s="668"/>
      <c r="GU70" s="792"/>
      <c r="GV70" s="668"/>
      <c r="GW70" s="668"/>
      <c r="GX70" s="668"/>
      <c r="GY70" s="792"/>
      <c r="GZ70" s="668"/>
      <c r="HA70" s="668"/>
      <c r="HB70" s="668"/>
      <c r="HC70" s="792"/>
      <c r="HD70" s="668"/>
      <c r="HE70" s="668"/>
      <c r="HF70" s="668"/>
      <c r="HG70" s="792"/>
      <c r="HH70" s="668"/>
      <c r="HI70" s="668"/>
      <c r="HJ70" s="668"/>
      <c r="HK70" s="792"/>
      <c r="HL70" s="668"/>
      <c r="HM70" s="668"/>
      <c r="HN70" s="668"/>
      <c r="HO70" s="792"/>
      <c r="HP70" s="668"/>
      <c r="HQ70" s="668"/>
      <c r="HR70" s="668"/>
      <c r="HS70" s="792"/>
      <c r="HT70" s="668"/>
      <c r="HU70" s="668"/>
      <c r="HV70" s="668"/>
      <c r="HW70" s="792"/>
      <c r="HX70" s="668"/>
      <c r="HY70" s="668"/>
      <c r="HZ70" s="668"/>
      <c r="IA70" s="792"/>
      <c r="IB70" s="668"/>
      <c r="IC70" s="668"/>
      <c r="ID70" s="668"/>
      <c r="IE70" s="792"/>
      <c r="IF70" s="668"/>
      <c r="IG70" s="668"/>
      <c r="IH70" s="668"/>
      <c r="II70" s="792"/>
      <c r="IJ70" s="668"/>
      <c r="IK70" s="668"/>
      <c r="IL70" s="668"/>
      <c r="IM70" s="792"/>
      <c r="IN70" s="668"/>
      <c r="IO70" s="668"/>
      <c r="IP70" s="668"/>
      <c r="IQ70" s="792"/>
      <c r="IR70" s="668"/>
      <c r="IS70" s="668"/>
      <c r="IT70" s="668"/>
      <c r="IU70" s="792"/>
      <c r="IV70" s="668"/>
      <c r="IW70" s="668"/>
      <c r="IX70" s="668"/>
      <c r="IY70" s="792"/>
      <c r="IZ70" s="668"/>
      <c r="JA70" s="668"/>
      <c r="JB70" s="668"/>
      <c r="JC70" s="792"/>
      <c r="JD70" s="668"/>
      <c r="JE70" s="668"/>
    </row>
    <row r="71" spans="1:265" s="693" customFormat="1" x14ac:dyDescent="0.2">
      <c r="A71" s="693" t="s">
        <v>594</v>
      </c>
      <c r="B71" s="716"/>
      <c r="C71" s="733" t="s">
        <v>673</v>
      </c>
      <c r="D71" s="792"/>
      <c r="E71" s="668" t="s">
        <v>2199</v>
      </c>
      <c r="F71" s="668"/>
      <c r="G71" s="708" t="s">
        <v>2568</v>
      </c>
      <c r="H71" s="793" t="s">
        <v>677</v>
      </c>
      <c r="I71" s="725" t="s">
        <v>259</v>
      </c>
      <c r="J71" s="725" t="s">
        <v>259</v>
      </c>
      <c r="K71" s="717" t="s">
        <v>1039</v>
      </c>
      <c r="L71" s="786" t="s">
        <v>976</v>
      </c>
      <c r="M71" s="696"/>
      <c r="N71" s="800">
        <v>5.99</v>
      </c>
      <c r="O71" s="697">
        <v>1</v>
      </c>
      <c r="P71" s="727" t="s">
        <v>259</v>
      </c>
      <c r="Q71" s="711">
        <v>6.25E-2</v>
      </c>
      <c r="R71" s="712" t="s">
        <v>259</v>
      </c>
      <c r="S71" s="712" t="s">
        <v>259</v>
      </c>
      <c r="T71" s="720" t="s">
        <v>259</v>
      </c>
      <c r="U71" s="801">
        <v>0.05</v>
      </c>
      <c r="V71" s="802">
        <v>5</v>
      </c>
      <c r="W71" s="802">
        <v>2</v>
      </c>
      <c r="X71" s="803">
        <v>6.75</v>
      </c>
      <c r="Y71" s="705" t="s">
        <v>259</v>
      </c>
      <c r="Z71" s="713" t="s">
        <v>259</v>
      </c>
      <c r="AA71" s="713" t="s">
        <v>259</v>
      </c>
      <c r="AB71" s="714" t="s">
        <v>259</v>
      </c>
      <c r="AC71" s="705" t="s">
        <v>259</v>
      </c>
      <c r="AD71" s="713" t="s">
        <v>259</v>
      </c>
      <c r="AE71" s="713" t="s">
        <v>259</v>
      </c>
      <c r="AF71" s="714" t="s">
        <v>259</v>
      </c>
      <c r="AG71" s="705"/>
      <c r="AH71" s="723" t="s">
        <v>2256</v>
      </c>
      <c r="AI71" s="749" t="s">
        <v>2188</v>
      </c>
      <c r="AJ71" s="722"/>
      <c r="AK71" s="722"/>
      <c r="AL71" s="722"/>
      <c r="AM71" s="722"/>
      <c r="AN71" s="715"/>
      <c r="AO71" s="722"/>
      <c r="AP71" s="785" t="s">
        <v>2257</v>
      </c>
      <c r="AQ71" s="722" t="s">
        <v>456</v>
      </c>
      <c r="AR71" s="722" t="s">
        <v>2255</v>
      </c>
      <c r="AS71" s="668"/>
      <c r="AT71" s="668"/>
      <c r="AU71" s="792"/>
      <c r="AV71" s="668"/>
      <c r="AW71" s="668"/>
      <c r="AX71" s="668"/>
      <c r="AY71" s="792"/>
      <c r="AZ71" s="668"/>
      <c r="BA71" s="668"/>
      <c r="BB71" s="668"/>
      <c r="BC71" s="792"/>
      <c r="BD71" s="668"/>
      <c r="BE71" s="668"/>
      <c r="BF71" s="668"/>
      <c r="BG71" s="792"/>
      <c r="BH71" s="668"/>
      <c r="BI71" s="668"/>
      <c r="BJ71" s="668"/>
      <c r="BK71" s="792"/>
      <c r="BL71" s="668"/>
      <c r="BM71" s="668"/>
      <c r="BN71" s="668"/>
      <c r="BO71" s="792"/>
      <c r="BP71" s="668"/>
      <c r="BQ71" s="668"/>
      <c r="BR71" s="668"/>
      <c r="BS71" s="792"/>
      <c r="BT71" s="668"/>
      <c r="BU71" s="668"/>
      <c r="BV71" s="668"/>
      <c r="BW71" s="792"/>
      <c r="BX71" s="668"/>
      <c r="BY71" s="668"/>
      <c r="BZ71" s="668"/>
      <c r="CA71" s="792"/>
      <c r="CB71" s="668"/>
      <c r="CC71" s="668"/>
      <c r="CD71" s="668"/>
      <c r="CE71" s="792"/>
      <c r="CF71" s="668"/>
      <c r="CG71" s="668"/>
      <c r="CH71" s="668"/>
      <c r="CI71" s="792"/>
      <c r="CJ71" s="668"/>
      <c r="CK71" s="668"/>
      <c r="CL71" s="668"/>
      <c r="CM71" s="792"/>
      <c r="CN71" s="668"/>
      <c r="CO71" s="668"/>
      <c r="CP71" s="668"/>
      <c r="CQ71" s="792"/>
      <c r="CR71" s="668"/>
      <c r="CS71" s="668"/>
      <c r="CT71" s="668"/>
      <c r="CU71" s="792"/>
      <c r="CV71" s="668"/>
      <c r="CW71" s="668"/>
      <c r="CX71" s="668"/>
      <c r="CY71" s="792"/>
      <c r="CZ71" s="668"/>
      <c r="DA71" s="668"/>
      <c r="DB71" s="668"/>
      <c r="DC71" s="792"/>
      <c r="DD71" s="668"/>
      <c r="DE71" s="668"/>
      <c r="DF71" s="668"/>
      <c r="DG71" s="792"/>
      <c r="DH71" s="668"/>
      <c r="DI71" s="668"/>
      <c r="DJ71" s="668"/>
      <c r="DK71" s="792"/>
      <c r="DL71" s="668"/>
      <c r="DM71" s="668"/>
      <c r="DN71" s="668"/>
      <c r="DO71" s="792"/>
      <c r="DP71" s="668"/>
      <c r="DQ71" s="668"/>
      <c r="DR71" s="668"/>
      <c r="DS71" s="792"/>
      <c r="DT71" s="668"/>
      <c r="DU71" s="668"/>
      <c r="DV71" s="668"/>
      <c r="DW71" s="792"/>
      <c r="DX71" s="668"/>
      <c r="DY71" s="668"/>
      <c r="DZ71" s="668"/>
      <c r="EA71" s="792"/>
      <c r="EB71" s="668"/>
      <c r="EC71" s="668"/>
      <c r="ED71" s="668"/>
      <c r="EE71" s="792"/>
      <c r="EF71" s="668"/>
      <c r="EG71" s="668"/>
      <c r="EH71" s="668"/>
      <c r="EI71" s="792"/>
      <c r="EJ71" s="668"/>
      <c r="EK71" s="668"/>
      <c r="EL71" s="668"/>
      <c r="EM71" s="792"/>
      <c r="EN71" s="668"/>
      <c r="EO71" s="668"/>
      <c r="EP71" s="668"/>
      <c r="EQ71" s="792"/>
      <c r="ER71" s="668"/>
      <c r="ES71" s="668"/>
      <c r="ET71" s="668"/>
      <c r="EU71" s="792"/>
      <c r="EV71" s="668"/>
      <c r="EW71" s="668"/>
      <c r="EX71" s="668"/>
      <c r="EY71" s="792"/>
      <c r="EZ71" s="668"/>
      <c r="FA71" s="668"/>
      <c r="FB71" s="668"/>
      <c r="FC71" s="792"/>
      <c r="FD71" s="668"/>
      <c r="FE71" s="668"/>
      <c r="FF71" s="668"/>
      <c r="FG71" s="792"/>
      <c r="FH71" s="668"/>
      <c r="FI71" s="668"/>
      <c r="FJ71" s="668"/>
      <c r="FK71" s="792"/>
      <c r="FL71" s="668"/>
      <c r="FM71" s="668"/>
      <c r="FN71" s="668"/>
      <c r="FO71" s="792"/>
      <c r="FP71" s="668"/>
      <c r="FQ71" s="668"/>
      <c r="FR71" s="668"/>
      <c r="FS71" s="792"/>
      <c r="FT71" s="668"/>
      <c r="FU71" s="668"/>
      <c r="FV71" s="668"/>
      <c r="FW71" s="792"/>
      <c r="FX71" s="668"/>
      <c r="FY71" s="668"/>
      <c r="FZ71" s="668"/>
      <c r="GA71" s="792"/>
      <c r="GB71" s="668"/>
      <c r="GC71" s="668"/>
      <c r="GD71" s="668"/>
      <c r="GE71" s="792"/>
      <c r="GF71" s="668"/>
      <c r="GG71" s="668"/>
      <c r="GH71" s="668"/>
      <c r="GI71" s="792"/>
      <c r="GJ71" s="668"/>
      <c r="GK71" s="668"/>
      <c r="GL71" s="668"/>
      <c r="GM71" s="792"/>
      <c r="GN71" s="668"/>
      <c r="GO71" s="668"/>
      <c r="GP71" s="668"/>
      <c r="GQ71" s="792"/>
      <c r="GR71" s="668"/>
      <c r="GS71" s="668"/>
      <c r="GT71" s="668"/>
      <c r="GU71" s="792"/>
      <c r="GV71" s="668"/>
      <c r="GW71" s="668"/>
      <c r="GX71" s="668"/>
      <c r="GY71" s="792"/>
      <c r="GZ71" s="668"/>
      <c r="HA71" s="668"/>
      <c r="HB71" s="668"/>
      <c r="HC71" s="792"/>
      <c r="HD71" s="668"/>
      <c r="HE71" s="668"/>
      <c r="HF71" s="668"/>
      <c r="HG71" s="792"/>
      <c r="HH71" s="668"/>
      <c r="HI71" s="668"/>
      <c r="HJ71" s="668"/>
      <c r="HK71" s="792"/>
      <c r="HL71" s="668"/>
      <c r="HM71" s="668"/>
      <c r="HN71" s="668"/>
      <c r="HO71" s="792"/>
      <c r="HP71" s="668"/>
      <c r="HQ71" s="668"/>
      <c r="HR71" s="668"/>
      <c r="HS71" s="792"/>
      <c r="HT71" s="668"/>
      <c r="HU71" s="668"/>
      <c r="HV71" s="668"/>
      <c r="HW71" s="792"/>
      <c r="HX71" s="668"/>
      <c r="HY71" s="668"/>
      <c r="HZ71" s="668"/>
      <c r="IA71" s="792"/>
      <c r="IB71" s="668"/>
      <c r="IC71" s="668"/>
      <c r="ID71" s="668"/>
      <c r="IE71" s="792"/>
      <c r="IF71" s="668"/>
      <c r="IG71" s="668"/>
      <c r="IH71" s="668"/>
      <c r="II71" s="792"/>
      <c r="IJ71" s="668"/>
      <c r="IK71" s="668"/>
      <c r="IL71" s="668"/>
      <c r="IM71" s="792"/>
      <c r="IN71" s="668"/>
      <c r="IO71" s="668"/>
      <c r="IP71" s="668"/>
      <c r="IQ71" s="792"/>
      <c r="IR71" s="668"/>
      <c r="IS71" s="668"/>
      <c r="IT71" s="668"/>
      <c r="IU71" s="792"/>
      <c r="IV71" s="668"/>
      <c r="IW71" s="668"/>
      <c r="IX71" s="668"/>
      <c r="IY71" s="792"/>
      <c r="IZ71" s="668"/>
      <c r="JA71" s="668"/>
      <c r="JB71" s="668"/>
      <c r="JC71" s="792"/>
      <c r="JD71" s="668"/>
      <c r="JE71" s="668"/>
    </row>
    <row r="72" spans="1:265" s="693" customFormat="1" x14ac:dyDescent="0.2">
      <c r="A72" s="693" t="s">
        <v>594</v>
      </c>
      <c r="B72" s="716"/>
      <c r="C72" s="733" t="s">
        <v>674</v>
      </c>
      <c r="D72" s="792"/>
      <c r="E72" s="668" t="s">
        <v>2355</v>
      </c>
      <c r="F72" s="668"/>
      <c r="G72" s="708" t="s">
        <v>2568</v>
      </c>
      <c r="H72" s="793" t="s">
        <v>678</v>
      </c>
      <c r="I72" s="725" t="s">
        <v>259</v>
      </c>
      <c r="J72" s="725" t="s">
        <v>259</v>
      </c>
      <c r="K72" s="804" t="s">
        <v>2201</v>
      </c>
      <c r="L72" s="710" t="s">
        <v>975</v>
      </c>
      <c r="M72" s="800"/>
      <c r="N72" s="800">
        <v>3.99</v>
      </c>
      <c r="O72" s="697">
        <v>1</v>
      </c>
      <c r="P72" s="727" t="s">
        <v>259</v>
      </c>
      <c r="Q72" s="711">
        <f>CONVERT(40,"g","lbm")</f>
        <v>8.8184904873951031E-2</v>
      </c>
      <c r="R72" s="712">
        <v>2</v>
      </c>
      <c r="S72" s="712">
        <v>2</v>
      </c>
      <c r="T72" s="720">
        <v>2.5</v>
      </c>
      <c r="U72" s="801">
        <v>0.1</v>
      </c>
      <c r="V72" s="802">
        <v>4</v>
      </c>
      <c r="W72" s="802">
        <v>2</v>
      </c>
      <c r="X72" s="803">
        <v>6.75</v>
      </c>
      <c r="Y72" s="705" t="s">
        <v>259</v>
      </c>
      <c r="Z72" s="713" t="s">
        <v>259</v>
      </c>
      <c r="AA72" s="713" t="s">
        <v>259</v>
      </c>
      <c r="AB72" s="714" t="s">
        <v>259</v>
      </c>
      <c r="AC72" s="705" t="s">
        <v>259</v>
      </c>
      <c r="AD72" s="713" t="s">
        <v>259</v>
      </c>
      <c r="AE72" s="713" t="s">
        <v>259</v>
      </c>
      <c r="AF72" s="714" t="s">
        <v>259</v>
      </c>
      <c r="AG72" s="705"/>
      <c r="AH72" s="723" t="s">
        <v>2258</v>
      </c>
      <c r="AI72" s="722"/>
      <c r="AJ72" s="722"/>
      <c r="AK72" s="722"/>
      <c r="AL72" s="722"/>
      <c r="AM72" s="722"/>
      <c r="AN72" s="715"/>
      <c r="AO72" s="722"/>
      <c r="AP72" s="785" t="s">
        <v>2262</v>
      </c>
      <c r="AQ72" s="722" t="s">
        <v>2255</v>
      </c>
      <c r="AR72" s="722"/>
      <c r="AS72" s="668"/>
      <c r="AT72" s="668"/>
      <c r="AU72" s="792"/>
      <c r="AV72" s="668"/>
      <c r="AW72" s="668"/>
      <c r="AX72" s="668"/>
      <c r="AY72" s="792"/>
      <c r="AZ72" s="668"/>
      <c r="BA72" s="668"/>
      <c r="BB72" s="668"/>
      <c r="BC72" s="792"/>
      <c r="BD72" s="668"/>
      <c r="BE72" s="668"/>
      <c r="BF72" s="668"/>
      <c r="BG72" s="792"/>
      <c r="BH72" s="668"/>
      <c r="BI72" s="668"/>
      <c r="BJ72" s="668"/>
      <c r="BK72" s="792"/>
      <c r="BL72" s="668"/>
      <c r="BM72" s="668"/>
      <c r="BN72" s="668"/>
      <c r="BO72" s="792"/>
      <c r="BP72" s="668"/>
      <c r="BQ72" s="668"/>
      <c r="BR72" s="668"/>
      <c r="BS72" s="792"/>
      <c r="BT72" s="668"/>
      <c r="BU72" s="668"/>
      <c r="BV72" s="668"/>
      <c r="BW72" s="792"/>
      <c r="BX72" s="668"/>
      <c r="BY72" s="668"/>
      <c r="BZ72" s="668"/>
      <c r="CA72" s="792"/>
      <c r="CB72" s="668"/>
      <c r="CC72" s="668"/>
      <c r="CD72" s="668"/>
      <c r="CE72" s="792"/>
      <c r="CF72" s="668"/>
      <c r="CG72" s="668"/>
      <c r="CH72" s="668"/>
      <c r="CI72" s="792"/>
      <c r="CJ72" s="668"/>
      <c r="CK72" s="668"/>
      <c r="CL72" s="668"/>
      <c r="CM72" s="792"/>
      <c r="CN72" s="668"/>
      <c r="CO72" s="668"/>
      <c r="CP72" s="668"/>
      <c r="CQ72" s="792"/>
      <c r="CR72" s="668"/>
      <c r="CS72" s="668"/>
      <c r="CT72" s="668"/>
      <c r="CU72" s="792"/>
      <c r="CV72" s="668"/>
      <c r="CW72" s="668"/>
      <c r="CX72" s="668"/>
      <c r="CY72" s="792"/>
      <c r="CZ72" s="668"/>
      <c r="DA72" s="668"/>
      <c r="DB72" s="668"/>
      <c r="DC72" s="792"/>
      <c r="DD72" s="668"/>
      <c r="DE72" s="668"/>
      <c r="DF72" s="668"/>
      <c r="DG72" s="792"/>
      <c r="DH72" s="668"/>
      <c r="DI72" s="668"/>
      <c r="DJ72" s="668"/>
      <c r="DK72" s="792"/>
      <c r="DL72" s="668"/>
      <c r="DM72" s="668"/>
      <c r="DN72" s="668"/>
      <c r="DO72" s="792"/>
      <c r="DP72" s="668"/>
      <c r="DQ72" s="668"/>
      <c r="DR72" s="668"/>
      <c r="DS72" s="792"/>
      <c r="DT72" s="668"/>
      <c r="DU72" s="668"/>
      <c r="DV72" s="668"/>
      <c r="DW72" s="792"/>
      <c r="DX72" s="668"/>
      <c r="DY72" s="668"/>
      <c r="DZ72" s="668"/>
      <c r="EA72" s="792"/>
      <c r="EB72" s="668"/>
      <c r="EC72" s="668"/>
      <c r="ED72" s="668"/>
      <c r="EE72" s="792"/>
      <c r="EF72" s="668"/>
      <c r="EG72" s="668"/>
      <c r="EH72" s="668"/>
      <c r="EI72" s="792"/>
      <c r="EJ72" s="668"/>
      <c r="EK72" s="668"/>
      <c r="EL72" s="668"/>
      <c r="EM72" s="792"/>
      <c r="EN72" s="668"/>
      <c r="EO72" s="668"/>
      <c r="EP72" s="668"/>
      <c r="EQ72" s="792"/>
      <c r="ER72" s="668"/>
      <c r="ES72" s="668"/>
      <c r="ET72" s="668"/>
      <c r="EU72" s="792"/>
      <c r="EV72" s="668"/>
      <c r="EW72" s="668"/>
      <c r="EX72" s="668"/>
      <c r="EY72" s="792"/>
      <c r="EZ72" s="668"/>
      <c r="FA72" s="668"/>
      <c r="FB72" s="668"/>
      <c r="FC72" s="792"/>
      <c r="FD72" s="668"/>
      <c r="FE72" s="668"/>
      <c r="FF72" s="668"/>
      <c r="FG72" s="792"/>
      <c r="FH72" s="668"/>
      <c r="FI72" s="668"/>
      <c r="FJ72" s="668"/>
      <c r="FK72" s="792"/>
      <c r="FL72" s="668"/>
      <c r="FM72" s="668"/>
      <c r="FN72" s="668"/>
      <c r="FO72" s="792"/>
      <c r="FP72" s="668"/>
      <c r="FQ72" s="668"/>
      <c r="FR72" s="668"/>
      <c r="FS72" s="792"/>
      <c r="FT72" s="668"/>
      <c r="FU72" s="668"/>
      <c r="FV72" s="668"/>
      <c r="FW72" s="792"/>
      <c r="FX72" s="668"/>
      <c r="FY72" s="668"/>
      <c r="FZ72" s="668"/>
      <c r="GA72" s="792"/>
      <c r="GB72" s="668"/>
      <c r="GC72" s="668"/>
      <c r="GD72" s="668"/>
      <c r="GE72" s="792"/>
      <c r="GF72" s="668"/>
      <c r="GG72" s="668"/>
      <c r="GH72" s="668"/>
      <c r="GI72" s="792"/>
      <c r="GJ72" s="668"/>
      <c r="GK72" s="668"/>
      <c r="GL72" s="668"/>
      <c r="GM72" s="792"/>
      <c r="GN72" s="668"/>
      <c r="GO72" s="668"/>
      <c r="GP72" s="668"/>
      <c r="GQ72" s="792"/>
      <c r="GR72" s="668"/>
      <c r="GS72" s="668"/>
      <c r="GT72" s="668"/>
      <c r="GU72" s="792"/>
      <c r="GV72" s="668"/>
      <c r="GW72" s="668"/>
      <c r="GX72" s="668"/>
      <c r="GY72" s="792"/>
      <c r="GZ72" s="668"/>
      <c r="HA72" s="668"/>
      <c r="HB72" s="668"/>
      <c r="HC72" s="792"/>
      <c r="HD72" s="668"/>
      <c r="HE72" s="668"/>
      <c r="HF72" s="668"/>
      <c r="HG72" s="792"/>
      <c r="HH72" s="668"/>
      <c r="HI72" s="668"/>
      <c r="HJ72" s="668"/>
      <c r="HK72" s="792"/>
      <c r="HL72" s="668"/>
      <c r="HM72" s="668"/>
      <c r="HN72" s="668"/>
      <c r="HO72" s="792"/>
      <c r="HP72" s="668"/>
      <c r="HQ72" s="668"/>
      <c r="HR72" s="668"/>
      <c r="HS72" s="792"/>
      <c r="HT72" s="668"/>
      <c r="HU72" s="668"/>
      <c r="HV72" s="668"/>
      <c r="HW72" s="792"/>
      <c r="HX72" s="668"/>
      <c r="HY72" s="668"/>
      <c r="HZ72" s="668"/>
      <c r="IA72" s="792"/>
      <c r="IB72" s="668"/>
      <c r="IC72" s="668"/>
      <c r="ID72" s="668"/>
      <c r="IE72" s="792"/>
      <c r="IF72" s="668"/>
      <c r="IG72" s="668"/>
      <c r="IH72" s="668"/>
      <c r="II72" s="792"/>
      <c r="IJ72" s="668"/>
      <c r="IK72" s="668"/>
      <c r="IL72" s="668"/>
      <c r="IM72" s="792"/>
      <c r="IN72" s="668"/>
      <c r="IO72" s="668"/>
      <c r="IP72" s="668"/>
      <c r="IQ72" s="792"/>
      <c r="IR72" s="668"/>
      <c r="IS72" s="668"/>
      <c r="IT72" s="668"/>
      <c r="IU72" s="792"/>
      <c r="IV72" s="668"/>
      <c r="IW72" s="668"/>
      <c r="IX72" s="668"/>
      <c r="IY72" s="792"/>
      <c r="IZ72" s="668"/>
      <c r="JA72" s="668"/>
      <c r="JB72" s="668"/>
      <c r="JC72" s="792"/>
      <c r="JD72" s="668"/>
      <c r="JE72" s="668"/>
    </row>
    <row r="73" spans="1:265" s="693" customFormat="1" x14ac:dyDescent="0.2">
      <c r="A73" s="693" t="s">
        <v>594</v>
      </c>
      <c r="B73" s="716"/>
      <c r="C73" s="733" t="s">
        <v>2200</v>
      </c>
      <c r="D73" s="792"/>
      <c r="E73" s="668" t="s">
        <v>2356</v>
      </c>
      <c r="F73" s="668"/>
      <c r="G73" s="708" t="s">
        <v>2568</v>
      </c>
      <c r="H73" s="793" t="s">
        <v>2202</v>
      </c>
      <c r="I73" s="725" t="s">
        <v>259</v>
      </c>
      <c r="J73" s="725" t="s">
        <v>259</v>
      </c>
      <c r="K73" s="804" t="s">
        <v>2201</v>
      </c>
      <c r="L73" s="710" t="s">
        <v>975</v>
      </c>
      <c r="M73" s="800"/>
      <c r="N73" s="800">
        <v>3.99</v>
      </c>
      <c r="O73" s="697">
        <v>1</v>
      </c>
      <c r="P73" s="727" t="s">
        <v>259</v>
      </c>
      <c r="Q73" s="711">
        <f>CONVERT(20,"g","lbm")</f>
        <v>4.4092452436975516E-2</v>
      </c>
      <c r="R73" s="712">
        <v>2</v>
      </c>
      <c r="S73" s="712">
        <v>2</v>
      </c>
      <c r="T73" s="720">
        <v>1.375</v>
      </c>
      <c r="U73" s="801">
        <v>0.05</v>
      </c>
      <c r="V73" s="802">
        <v>4</v>
      </c>
      <c r="W73" s="802">
        <v>1.25</v>
      </c>
      <c r="X73" s="803">
        <v>5.25</v>
      </c>
      <c r="Y73" s="705" t="s">
        <v>259</v>
      </c>
      <c r="Z73" s="713" t="s">
        <v>259</v>
      </c>
      <c r="AA73" s="713" t="s">
        <v>259</v>
      </c>
      <c r="AB73" s="714" t="s">
        <v>259</v>
      </c>
      <c r="AC73" s="705" t="s">
        <v>259</v>
      </c>
      <c r="AD73" s="713" t="s">
        <v>259</v>
      </c>
      <c r="AE73" s="713" t="s">
        <v>259</v>
      </c>
      <c r="AF73" s="714" t="s">
        <v>259</v>
      </c>
      <c r="AG73" s="705"/>
      <c r="AH73" s="723" t="s">
        <v>2259</v>
      </c>
      <c r="AI73" s="722"/>
      <c r="AJ73" s="722"/>
      <c r="AK73" s="722"/>
      <c r="AL73" s="722"/>
      <c r="AM73" s="722"/>
      <c r="AN73" s="715"/>
      <c r="AO73" s="722"/>
      <c r="AP73" s="785" t="s">
        <v>2262</v>
      </c>
      <c r="AQ73" s="722" t="s">
        <v>2255</v>
      </c>
      <c r="AR73" s="722"/>
      <c r="AS73" s="668"/>
      <c r="AT73" s="668"/>
      <c r="AU73" s="792"/>
      <c r="AV73" s="668"/>
      <c r="AW73" s="668"/>
      <c r="AX73" s="668"/>
      <c r="AY73" s="792"/>
      <c r="AZ73" s="668"/>
      <c r="BA73" s="668"/>
      <c r="BB73" s="668"/>
      <c r="BC73" s="792"/>
      <c r="BD73" s="668"/>
      <c r="BE73" s="668"/>
      <c r="BF73" s="668"/>
      <c r="BG73" s="792"/>
      <c r="BH73" s="668"/>
      <c r="BI73" s="668"/>
      <c r="BJ73" s="668"/>
      <c r="BK73" s="792"/>
      <c r="BL73" s="668"/>
      <c r="BM73" s="668"/>
      <c r="BN73" s="668"/>
      <c r="BO73" s="792"/>
      <c r="BP73" s="668"/>
      <c r="BQ73" s="668"/>
      <c r="BR73" s="668"/>
      <c r="BS73" s="792"/>
      <c r="BT73" s="668"/>
      <c r="BU73" s="668"/>
      <c r="BV73" s="668"/>
      <c r="BW73" s="792"/>
      <c r="BX73" s="668"/>
      <c r="BY73" s="668"/>
      <c r="BZ73" s="668"/>
      <c r="CA73" s="792"/>
      <c r="CB73" s="668"/>
      <c r="CC73" s="668"/>
      <c r="CD73" s="668"/>
      <c r="CE73" s="792"/>
      <c r="CF73" s="668"/>
      <c r="CG73" s="668"/>
      <c r="CH73" s="668"/>
      <c r="CI73" s="792"/>
      <c r="CJ73" s="668"/>
      <c r="CK73" s="668"/>
      <c r="CL73" s="668"/>
      <c r="CM73" s="792"/>
      <c r="CN73" s="668"/>
      <c r="CO73" s="668"/>
      <c r="CP73" s="668"/>
      <c r="CQ73" s="792"/>
      <c r="CR73" s="668"/>
      <c r="CS73" s="668"/>
      <c r="CT73" s="668"/>
      <c r="CU73" s="792"/>
      <c r="CV73" s="668"/>
      <c r="CW73" s="668"/>
      <c r="CX73" s="668"/>
      <c r="CY73" s="792"/>
      <c r="CZ73" s="668"/>
      <c r="DA73" s="668"/>
      <c r="DB73" s="668"/>
      <c r="DC73" s="792"/>
      <c r="DD73" s="668"/>
      <c r="DE73" s="668"/>
      <c r="DF73" s="668"/>
      <c r="DG73" s="792"/>
      <c r="DH73" s="668"/>
      <c r="DI73" s="668"/>
      <c r="DJ73" s="668"/>
      <c r="DK73" s="792"/>
      <c r="DL73" s="668"/>
      <c r="DM73" s="668"/>
      <c r="DN73" s="668"/>
      <c r="DO73" s="792"/>
      <c r="DP73" s="668"/>
      <c r="DQ73" s="668"/>
      <c r="DR73" s="668"/>
      <c r="DS73" s="792"/>
      <c r="DT73" s="668"/>
      <c r="DU73" s="668"/>
      <c r="DV73" s="668"/>
      <c r="DW73" s="792"/>
      <c r="DX73" s="668"/>
      <c r="DY73" s="668"/>
      <c r="DZ73" s="668"/>
      <c r="EA73" s="792"/>
      <c r="EB73" s="668"/>
      <c r="EC73" s="668"/>
      <c r="ED73" s="668"/>
      <c r="EE73" s="792"/>
      <c r="EF73" s="668"/>
      <c r="EG73" s="668"/>
      <c r="EH73" s="668"/>
      <c r="EI73" s="792"/>
      <c r="EJ73" s="668"/>
      <c r="EK73" s="668"/>
      <c r="EL73" s="668"/>
      <c r="EM73" s="792"/>
      <c r="EN73" s="668"/>
      <c r="EO73" s="668"/>
      <c r="EP73" s="668"/>
      <c r="EQ73" s="792"/>
      <c r="ER73" s="668"/>
      <c r="ES73" s="668"/>
      <c r="ET73" s="668"/>
      <c r="EU73" s="792"/>
      <c r="EV73" s="668"/>
      <c r="EW73" s="668"/>
      <c r="EX73" s="668"/>
      <c r="EY73" s="792"/>
      <c r="EZ73" s="668"/>
      <c r="FA73" s="668"/>
      <c r="FB73" s="668"/>
      <c r="FC73" s="792"/>
      <c r="FD73" s="668"/>
      <c r="FE73" s="668"/>
      <c r="FF73" s="668"/>
      <c r="FG73" s="792"/>
      <c r="FH73" s="668"/>
      <c r="FI73" s="668"/>
      <c r="FJ73" s="668"/>
      <c r="FK73" s="792"/>
      <c r="FL73" s="668"/>
      <c r="FM73" s="668"/>
      <c r="FN73" s="668"/>
      <c r="FO73" s="792"/>
      <c r="FP73" s="668"/>
      <c r="FQ73" s="668"/>
      <c r="FR73" s="668"/>
      <c r="FS73" s="792"/>
      <c r="FT73" s="668"/>
      <c r="FU73" s="668"/>
      <c r="FV73" s="668"/>
      <c r="FW73" s="792"/>
      <c r="FX73" s="668"/>
      <c r="FY73" s="668"/>
      <c r="FZ73" s="668"/>
      <c r="GA73" s="792"/>
      <c r="GB73" s="668"/>
      <c r="GC73" s="668"/>
      <c r="GD73" s="668"/>
      <c r="GE73" s="792"/>
      <c r="GF73" s="668"/>
      <c r="GG73" s="668"/>
      <c r="GH73" s="668"/>
      <c r="GI73" s="792"/>
      <c r="GJ73" s="668"/>
      <c r="GK73" s="668"/>
      <c r="GL73" s="668"/>
      <c r="GM73" s="792"/>
      <c r="GN73" s="668"/>
      <c r="GO73" s="668"/>
      <c r="GP73" s="668"/>
      <c r="GQ73" s="792"/>
      <c r="GR73" s="668"/>
      <c r="GS73" s="668"/>
      <c r="GT73" s="668"/>
      <c r="GU73" s="792"/>
      <c r="GV73" s="668"/>
      <c r="GW73" s="668"/>
      <c r="GX73" s="668"/>
      <c r="GY73" s="792"/>
      <c r="GZ73" s="668"/>
      <c r="HA73" s="668"/>
      <c r="HB73" s="668"/>
      <c r="HC73" s="792"/>
      <c r="HD73" s="668"/>
      <c r="HE73" s="668"/>
      <c r="HF73" s="668"/>
      <c r="HG73" s="792"/>
      <c r="HH73" s="668"/>
      <c r="HI73" s="668"/>
      <c r="HJ73" s="668"/>
      <c r="HK73" s="792"/>
      <c r="HL73" s="668"/>
      <c r="HM73" s="668"/>
      <c r="HN73" s="668"/>
      <c r="HO73" s="792"/>
      <c r="HP73" s="668"/>
      <c r="HQ73" s="668"/>
      <c r="HR73" s="668"/>
      <c r="HS73" s="792"/>
      <c r="HT73" s="668"/>
      <c r="HU73" s="668"/>
      <c r="HV73" s="668"/>
      <c r="HW73" s="792"/>
      <c r="HX73" s="668"/>
      <c r="HY73" s="668"/>
      <c r="HZ73" s="668"/>
      <c r="IA73" s="792"/>
      <c r="IB73" s="668"/>
      <c r="IC73" s="668"/>
      <c r="ID73" s="668"/>
      <c r="IE73" s="792"/>
      <c r="IF73" s="668"/>
      <c r="IG73" s="668"/>
      <c r="IH73" s="668"/>
      <c r="II73" s="792"/>
      <c r="IJ73" s="668"/>
      <c r="IK73" s="668"/>
      <c r="IL73" s="668"/>
      <c r="IM73" s="792"/>
      <c r="IN73" s="668"/>
      <c r="IO73" s="668"/>
      <c r="IP73" s="668"/>
      <c r="IQ73" s="792"/>
      <c r="IR73" s="668"/>
      <c r="IS73" s="668"/>
      <c r="IT73" s="668"/>
      <c r="IU73" s="792"/>
      <c r="IV73" s="668"/>
      <c r="IW73" s="668"/>
      <c r="IX73" s="668"/>
      <c r="IY73" s="792"/>
      <c r="IZ73" s="668"/>
      <c r="JA73" s="668"/>
      <c r="JB73" s="668"/>
      <c r="JC73" s="792"/>
      <c r="JD73" s="668"/>
      <c r="JE73" s="668"/>
    </row>
    <row r="74" spans="1:265" s="693" customFormat="1" x14ac:dyDescent="0.2">
      <c r="A74" s="693" t="s">
        <v>594</v>
      </c>
      <c r="B74" s="716"/>
      <c r="C74" s="733" t="s">
        <v>675</v>
      </c>
      <c r="D74" s="792"/>
      <c r="E74" s="668" t="s">
        <v>2357</v>
      </c>
      <c r="F74" s="668"/>
      <c r="G74" s="708" t="s">
        <v>2568</v>
      </c>
      <c r="H74" s="793" t="s">
        <v>679</v>
      </c>
      <c r="I74" s="725" t="s">
        <v>259</v>
      </c>
      <c r="J74" s="725" t="s">
        <v>259</v>
      </c>
      <c r="K74" s="804" t="s">
        <v>2201</v>
      </c>
      <c r="L74" s="710" t="s">
        <v>975</v>
      </c>
      <c r="M74" s="696"/>
      <c r="N74" s="800">
        <v>4.99</v>
      </c>
      <c r="O74" s="697">
        <v>1</v>
      </c>
      <c r="P74" s="727" t="s">
        <v>259</v>
      </c>
      <c r="Q74" s="711">
        <f>CONVERT(40,"g","lbm")</f>
        <v>8.8184904873951031E-2</v>
      </c>
      <c r="R74" s="712">
        <v>1.75</v>
      </c>
      <c r="S74" s="712">
        <v>1.75</v>
      </c>
      <c r="T74" s="720">
        <v>3.125</v>
      </c>
      <c r="U74" s="801">
        <v>0.1</v>
      </c>
      <c r="V74" s="802">
        <v>4</v>
      </c>
      <c r="W74" s="802">
        <v>1.75</v>
      </c>
      <c r="X74" s="803">
        <v>7.25</v>
      </c>
      <c r="Y74" s="705" t="s">
        <v>259</v>
      </c>
      <c r="Z74" s="713" t="s">
        <v>259</v>
      </c>
      <c r="AA74" s="713" t="s">
        <v>259</v>
      </c>
      <c r="AB74" s="714" t="s">
        <v>259</v>
      </c>
      <c r="AC74" s="705" t="s">
        <v>259</v>
      </c>
      <c r="AD74" s="713" t="s">
        <v>259</v>
      </c>
      <c r="AE74" s="713" t="s">
        <v>259</v>
      </c>
      <c r="AF74" s="714" t="s">
        <v>259</v>
      </c>
      <c r="AG74" s="705"/>
      <c r="AH74" s="723" t="s">
        <v>2260</v>
      </c>
      <c r="AI74" s="722"/>
      <c r="AJ74" s="722"/>
      <c r="AK74" s="722"/>
      <c r="AL74" s="722"/>
      <c r="AM74" s="722"/>
      <c r="AN74" s="715"/>
      <c r="AO74" s="722"/>
      <c r="AP74" s="785" t="s">
        <v>2262</v>
      </c>
      <c r="AQ74" s="722" t="s">
        <v>2255</v>
      </c>
      <c r="AR74" s="722"/>
      <c r="AS74" s="668"/>
      <c r="AT74" s="668"/>
      <c r="AU74" s="792"/>
      <c r="AV74" s="668"/>
      <c r="AW74" s="668"/>
      <c r="AX74" s="668"/>
      <c r="AY74" s="792"/>
      <c r="AZ74" s="668"/>
      <c r="BA74" s="668"/>
      <c r="BB74" s="668"/>
      <c r="BC74" s="792"/>
      <c r="BD74" s="668"/>
      <c r="BE74" s="668"/>
      <c r="BF74" s="668"/>
      <c r="BG74" s="792"/>
      <c r="BH74" s="668"/>
      <c r="BI74" s="668"/>
      <c r="BJ74" s="668"/>
      <c r="BK74" s="792"/>
      <c r="BL74" s="668"/>
      <c r="BM74" s="668"/>
      <c r="BN74" s="668"/>
      <c r="BO74" s="792"/>
      <c r="BP74" s="668"/>
      <c r="BQ74" s="668"/>
      <c r="BR74" s="668"/>
      <c r="BS74" s="792"/>
      <c r="BT74" s="668"/>
      <c r="BU74" s="668"/>
      <c r="BV74" s="668"/>
      <c r="BW74" s="792"/>
      <c r="BX74" s="668"/>
      <c r="BY74" s="668"/>
      <c r="BZ74" s="668"/>
      <c r="CA74" s="792"/>
      <c r="CB74" s="668"/>
      <c r="CC74" s="668"/>
      <c r="CD74" s="668"/>
      <c r="CE74" s="792"/>
      <c r="CF74" s="668"/>
      <c r="CG74" s="668"/>
      <c r="CH74" s="668"/>
      <c r="CI74" s="792"/>
      <c r="CJ74" s="668"/>
      <c r="CK74" s="668"/>
      <c r="CL74" s="668"/>
      <c r="CM74" s="792"/>
      <c r="CN74" s="668"/>
      <c r="CO74" s="668"/>
      <c r="CP74" s="668"/>
      <c r="CQ74" s="792"/>
      <c r="CR74" s="668"/>
      <c r="CS74" s="668"/>
      <c r="CT74" s="668"/>
      <c r="CU74" s="792"/>
      <c r="CV74" s="668"/>
      <c r="CW74" s="668"/>
      <c r="CX74" s="668"/>
      <c r="CY74" s="792"/>
      <c r="CZ74" s="668"/>
      <c r="DA74" s="668"/>
      <c r="DB74" s="668"/>
      <c r="DC74" s="792"/>
      <c r="DD74" s="668"/>
      <c r="DE74" s="668"/>
      <c r="DF74" s="668"/>
      <c r="DG74" s="792"/>
      <c r="DH74" s="668"/>
      <c r="DI74" s="668"/>
      <c r="DJ74" s="668"/>
      <c r="DK74" s="792"/>
      <c r="DL74" s="668"/>
      <c r="DM74" s="668"/>
      <c r="DN74" s="668"/>
      <c r="DO74" s="792"/>
      <c r="DP74" s="668"/>
      <c r="DQ74" s="668"/>
      <c r="DR74" s="668"/>
      <c r="DS74" s="792"/>
      <c r="DT74" s="668"/>
      <c r="DU74" s="668"/>
      <c r="DV74" s="668"/>
      <c r="DW74" s="792"/>
      <c r="DX74" s="668"/>
      <c r="DY74" s="668"/>
      <c r="DZ74" s="668"/>
      <c r="EA74" s="792"/>
      <c r="EB74" s="668"/>
      <c r="EC74" s="668"/>
      <c r="ED74" s="668"/>
      <c r="EE74" s="792"/>
      <c r="EF74" s="668"/>
      <c r="EG74" s="668"/>
      <c r="EH74" s="668"/>
      <c r="EI74" s="792"/>
      <c r="EJ74" s="668"/>
      <c r="EK74" s="668"/>
      <c r="EL74" s="668"/>
      <c r="EM74" s="792"/>
      <c r="EN74" s="668"/>
      <c r="EO74" s="668"/>
      <c r="EP74" s="668"/>
      <c r="EQ74" s="792"/>
      <c r="ER74" s="668"/>
      <c r="ES74" s="668"/>
      <c r="ET74" s="668"/>
      <c r="EU74" s="792"/>
      <c r="EV74" s="668"/>
      <c r="EW74" s="668"/>
      <c r="EX74" s="668"/>
      <c r="EY74" s="792"/>
      <c r="EZ74" s="668"/>
      <c r="FA74" s="668"/>
      <c r="FB74" s="668"/>
      <c r="FC74" s="792"/>
      <c r="FD74" s="668"/>
      <c r="FE74" s="668"/>
      <c r="FF74" s="668"/>
      <c r="FG74" s="792"/>
      <c r="FH74" s="668"/>
      <c r="FI74" s="668"/>
      <c r="FJ74" s="668"/>
      <c r="FK74" s="792"/>
      <c r="FL74" s="668"/>
      <c r="FM74" s="668"/>
      <c r="FN74" s="668"/>
      <c r="FO74" s="792"/>
      <c r="FP74" s="668"/>
      <c r="FQ74" s="668"/>
      <c r="FR74" s="668"/>
      <c r="FS74" s="792"/>
      <c r="FT74" s="668"/>
      <c r="FU74" s="668"/>
      <c r="FV74" s="668"/>
      <c r="FW74" s="792"/>
      <c r="FX74" s="668"/>
      <c r="FY74" s="668"/>
      <c r="FZ74" s="668"/>
      <c r="GA74" s="792"/>
      <c r="GB74" s="668"/>
      <c r="GC74" s="668"/>
      <c r="GD74" s="668"/>
      <c r="GE74" s="792"/>
      <c r="GF74" s="668"/>
      <c r="GG74" s="668"/>
      <c r="GH74" s="668"/>
      <c r="GI74" s="792"/>
      <c r="GJ74" s="668"/>
      <c r="GK74" s="668"/>
      <c r="GL74" s="668"/>
      <c r="GM74" s="792"/>
      <c r="GN74" s="668"/>
      <c r="GO74" s="668"/>
      <c r="GP74" s="668"/>
      <c r="GQ74" s="792"/>
      <c r="GR74" s="668"/>
      <c r="GS74" s="668"/>
      <c r="GT74" s="668"/>
      <c r="GU74" s="792"/>
      <c r="GV74" s="668"/>
      <c r="GW74" s="668"/>
      <c r="GX74" s="668"/>
      <c r="GY74" s="792"/>
      <c r="GZ74" s="668"/>
      <c r="HA74" s="668"/>
      <c r="HB74" s="668"/>
      <c r="HC74" s="792"/>
      <c r="HD74" s="668"/>
      <c r="HE74" s="668"/>
      <c r="HF74" s="668"/>
      <c r="HG74" s="792"/>
      <c r="HH74" s="668"/>
      <c r="HI74" s="668"/>
      <c r="HJ74" s="668"/>
      <c r="HK74" s="792"/>
      <c r="HL74" s="668"/>
      <c r="HM74" s="668"/>
      <c r="HN74" s="668"/>
      <c r="HO74" s="792"/>
      <c r="HP74" s="668"/>
      <c r="HQ74" s="668"/>
      <c r="HR74" s="668"/>
      <c r="HS74" s="792"/>
      <c r="HT74" s="668"/>
      <c r="HU74" s="668"/>
      <c r="HV74" s="668"/>
      <c r="HW74" s="792"/>
      <c r="HX74" s="668"/>
      <c r="HY74" s="668"/>
      <c r="HZ74" s="668"/>
      <c r="IA74" s="792"/>
      <c r="IB74" s="668"/>
      <c r="IC74" s="668"/>
      <c r="ID74" s="668"/>
      <c r="IE74" s="792"/>
      <c r="IF74" s="668"/>
      <c r="IG74" s="668"/>
      <c r="IH74" s="668"/>
      <c r="II74" s="792"/>
      <c r="IJ74" s="668"/>
      <c r="IK74" s="668"/>
      <c r="IL74" s="668"/>
      <c r="IM74" s="792"/>
      <c r="IN74" s="668"/>
      <c r="IO74" s="668"/>
      <c r="IP74" s="668"/>
      <c r="IQ74" s="792"/>
      <c r="IR74" s="668"/>
      <c r="IS74" s="668"/>
      <c r="IT74" s="668"/>
      <c r="IU74" s="792"/>
      <c r="IV74" s="668"/>
      <c r="IW74" s="668"/>
      <c r="IX74" s="668"/>
      <c r="IY74" s="792"/>
      <c r="IZ74" s="668"/>
      <c r="JA74" s="668"/>
      <c r="JB74" s="668"/>
      <c r="JC74" s="792"/>
      <c r="JD74" s="668"/>
      <c r="JE74" s="668"/>
    </row>
    <row r="75" spans="1:265" s="693" customFormat="1" x14ac:dyDescent="0.2">
      <c r="A75" s="693" t="s">
        <v>594</v>
      </c>
      <c r="B75" s="716"/>
      <c r="C75" s="733" t="s">
        <v>676</v>
      </c>
      <c r="D75" s="792"/>
      <c r="E75" s="668" t="s">
        <v>2358</v>
      </c>
      <c r="F75" s="668"/>
      <c r="G75" s="733" t="s">
        <v>2557</v>
      </c>
      <c r="H75" s="793" t="s">
        <v>680</v>
      </c>
      <c r="I75" s="725" t="s">
        <v>259</v>
      </c>
      <c r="J75" s="725" t="s">
        <v>259</v>
      </c>
      <c r="K75" s="804" t="s">
        <v>2201</v>
      </c>
      <c r="L75" s="710" t="s">
        <v>975</v>
      </c>
      <c r="M75" s="696"/>
      <c r="N75" s="800">
        <v>9.99</v>
      </c>
      <c r="O75" s="697">
        <v>1</v>
      </c>
      <c r="P75" s="727" t="s">
        <v>259</v>
      </c>
      <c r="Q75" s="711">
        <f>CONVERT(125,"g","lbm")</f>
        <v>0.27557782773109696</v>
      </c>
      <c r="R75" s="712">
        <v>4.125</v>
      </c>
      <c r="S75" s="712">
        <v>4.125</v>
      </c>
      <c r="T75" s="720">
        <v>4.125</v>
      </c>
      <c r="U75" s="801">
        <v>0.4</v>
      </c>
      <c r="V75" s="802">
        <v>5.375</v>
      </c>
      <c r="W75" s="802">
        <v>4.875</v>
      </c>
      <c r="X75" s="803">
        <v>4.25</v>
      </c>
      <c r="Y75" s="705" t="s">
        <v>259</v>
      </c>
      <c r="Z75" s="713" t="s">
        <v>259</v>
      </c>
      <c r="AA75" s="713" t="s">
        <v>259</v>
      </c>
      <c r="AB75" s="714" t="s">
        <v>259</v>
      </c>
      <c r="AC75" s="705" t="s">
        <v>259</v>
      </c>
      <c r="AD75" s="713" t="s">
        <v>259</v>
      </c>
      <c r="AE75" s="713" t="s">
        <v>259</v>
      </c>
      <c r="AF75" s="714" t="s">
        <v>259</v>
      </c>
      <c r="AG75" s="705"/>
      <c r="AH75" s="723" t="s">
        <v>2261</v>
      </c>
      <c r="AI75" s="722"/>
      <c r="AJ75" s="722"/>
      <c r="AK75" s="722"/>
      <c r="AL75" s="722"/>
      <c r="AM75" s="722"/>
      <c r="AN75" s="715"/>
      <c r="AO75" s="722"/>
      <c r="AP75" s="785" t="s">
        <v>2262</v>
      </c>
      <c r="AQ75" s="722" t="s">
        <v>2255</v>
      </c>
      <c r="AR75" s="722"/>
      <c r="AS75" s="668"/>
      <c r="AT75" s="668"/>
      <c r="AU75" s="792"/>
      <c r="AV75" s="668"/>
      <c r="AW75" s="668"/>
      <c r="AX75" s="668"/>
      <c r="AY75" s="792"/>
      <c r="AZ75" s="668"/>
      <c r="BA75" s="668"/>
      <c r="BB75" s="668"/>
      <c r="BC75" s="792"/>
      <c r="BD75" s="668"/>
      <c r="BE75" s="668"/>
      <c r="BF75" s="668"/>
      <c r="BG75" s="792"/>
      <c r="BH75" s="668"/>
      <c r="BI75" s="668"/>
      <c r="BJ75" s="668"/>
      <c r="BK75" s="792"/>
      <c r="BL75" s="668"/>
      <c r="BM75" s="668"/>
      <c r="BN75" s="668"/>
      <c r="BO75" s="792"/>
      <c r="BP75" s="668"/>
      <c r="BQ75" s="668"/>
      <c r="BR75" s="668"/>
      <c r="BS75" s="792"/>
      <c r="BT75" s="668"/>
      <c r="BU75" s="668"/>
      <c r="BV75" s="668"/>
      <c r="BW75" s="792"/>
      <c r="BX75" s="668"/>
      <c r="BY75" s="668"/>
      <c r="BZ75" s="668"/>
      <c r="CA75" s="792"/>
      <c r="CB75" s="668"/>
      <c r="CC75" s="668"/>
      <c r="CD75" s="668"/>
      <c r="CE75" s="792"/>
      <c r="CF75" s="668"/>
      <c r="CG75" s="668"/>
      <c r="CH75" s="668"/>
      <c r="CI75" s="792"/>
      <c r="CJ75" s="668"/>
      <c r="CK75" s="668"/>
      <c r="CL75" s="668"/>
      <c r="CM75" s="792"/>
      <c r="CN75" s="668"/>
      <c r="CO75" s="668"/>
      <c r="CP75" s="668"/>
      <c r="CQ75" s="792"/>
      <c r="CR75" s="668"/>
      <c r="CS75" s="668"/>
      <c r="CT75" s="668"/>
      <c r="CU75" s="792"/>
      <c r="CV75" s="668"/>
      <c r="CW75" s="668"/>
      <c r="CX75" s="668"/>
      <c r="CY75" s="792"/>
      <c r="CZ75" s="668"/>
      <c r="DA75" s="668"/>
      <c r="DB75" s="668"/>
      <c r="DC75" s="792"/>
      <c r="DD75" s="668"/>
      <c r="DE75" s="668"/>
      <c r="DF75" s="668"/>
      <c r="DG75" s="792"/>
      <c r="DH75" s="668"/>
      <c r="DI75" s="668"/>
      <c r="DJ75" s="668"/>
      <c r="DK75" s="792"/>
      <c r="DL75" s="668"/>
      <c r="DM75" s="668"/>
      <c r="DN75" s="668"/>
      <c r="DO75" s="792"/>
      <c r="DP75" s="668"/>
      <c r="DQ75" s="668"/>
      <c r="DR75" s="668"/>
      <c r="DS75" s="792"/>
      <c r="DT75" s="668"/>
      <c r="DU75" s="668"/>
      <c r="DV75" s="668"/>
      <c r="DW75" s="792"/>
      <c r="DX75" s="668"/>
      <c r="DY75" s="668"/>
      <c r="DZ75" s="668"/>
      <c r="EA75" s="792"/>
      <c r="EB75" s="668"/>
      <c r="EC75" s="668"/>
      <c r="ED75" s="668"/>
      <c r="EE75" s="792"/>
      <c r="EF75" s="668"/>
      <c r="EG75" s="668"/>
      <c r="EH75" s="668"/>
      <c r="EI75" s="792"/>
      <c r="EJ75" s="668"/>
      <c r="EK75" s="668"/>
      <c r="EL75" s="668"/>
      <c r="EM75" s="792"/>
      <c r="EN75" s="668"/>
      <c r="EO75" s="668"/>
      <c r="EP75" s="668"/>
      <c r="EQ75" s="792"/>
      <c r="ER75" s="668"/>
      <c r="ES75" s="668"/>
      <c r="ET75" s="668"/>
      <c r="EU75" s="792"/>
      <c r="EV75" s="668"/>
      <c r="EW75" s="668"/>
      <c r="EX75" s="668"/>
      <c r="EY75" s="792"/>
      <c r="EZ75" s="668"/>
      <c r="FA75" s="668"/>
      <c r="FB75" s="668"/>
      <c r="FC75" s="792"/>
      <c r="FD75" s="668"/>
      <c r="FE75" s="668"/>
      <c r="FF75" s="668"/>
      <c r="FG75" s="792"/>
      <c r="FH75" s="668"/>
      <c r="FI75" s="668"/>
      <c r="FJ75" s="668"/>
      <c r="FK75" s="792"/>
      <c r="FL75" s="668"/>
      <c r="FM75" s="668"/>
      <c r="FN75" s="668"/>
      <c r="FO75" s="792"/>
      <c r="FP75" s="668"/>
      <c r="FQ75" s="668"/>
      <c r="FR75" s="668"/>
      <c r="FS75" s="792"/>
      <c r="FT75" s="668"/>
      <c r="FU75" s="668"/>
      <c r="FV75" s="668"/>
      <c r="FW75" s="792"/>
      <c r="FX75" s="668"/>
      <c r="FY75" s="668"/>
      <c r="FZ75" s="668"/>
      <c r="GA75" s="792"/>
      <c r="GB75" s="668"/>
      <c r="GC75" s="668"/>
      <c r="GD75" s="668"/>
      <c r="GE75" s="792"/>
      <c r="GF75" s="668"/>
      <c r="GG75" s="668"/>
      <c r="GH75" s="668"/>
      <c r="GI75" s="792"/>
      <c r="GJ75" s="668"/>
      <c r="GK75" s="668"/>
      <c r="GL75" s="668"/>
      <c r="GM75" s="792"/>
      <c r="GN75" s="668"/>
      <c r="GO75" s="668"/>
      <c r="GP75" s="668"/>
      <c r="GQ75" s="792"/>
      <c r="GR75" s="668"/>
      <c r="GS75" s="668"/>
      <c r="GT75" s="668"/>
      <c r="GU75" s="792"/>
      <c r="GV75" s="668"/>
      <c r="GW75" s="668"/>
      <c r="GX75" s="668"/>
      <c r="GY75" s="792"/>
      <c r="GZ75" s="668"/>
      <c r="HA75" s="668"/>
      <c r="HB75" s="668"/>
      <c r="HC75" s="792"/>
      <c r="HD75" s="668"/>
      <c r="HE75" s="668"/>
      <c r="HF75" s="668"/>
      <c r="HG75" s="792"/>
      <c r="HH75" s="668"/>
      <c r="HI75" s="668"/>
      <c r="HJ75" s="668"/>
      <c r="HK75" s="792"/>
      <c r="HL75" s="668"/>
      <c r="HM75" s="668"/>
      <c r="HN75" s="668"/>
      <c r="HO75" s="792"/>
      <c r="HP75" s="668"/>
      <c r="HQ75" s="668"/>
      <c r="HR75" s="668"/>
      <c r="HS75" s="792"/>
      <c r="HT75" s="668"/>
      <c r="HU75" s="668"/>
      <c r="HV75" s="668"/>
      <c r="HW75" s="792"/>
      <c r="HX75" s="668"/>
      <c r="HY75" s="668"/>
      <c r="HZ75" s="668"/>
      <c r="IA75" s="792"/>
      <c r="IB75" s="668"/>
      <c r="IC75" s="668"/>
      <c r="ID75" s="668"/>
      <c r="IE75" s="792"/>
      <c r="IF75" s="668"/>
      <c r="IG75" s="668"/>
      <c r="IH75" s="668"/>
      <c r="II75" s="792"/>
      <c r="IJ75" s="668"/>
      <c r="IK75" s="668"/>
      <c r="IL75" s="668"/>
      <c r="IM75" s="792"/>
      <c r="IN75" s="668"/>
      <c r="IO75" s="668"/>
      <c r="IP75" s="668"/>
      <c r="IQ75" s="792"/>
      <c r="IR75" s="668"/>
      <c r="IS75" s="668"/>
      <c r="IT75" s="668"/>
      <c r="IU75" s="792"/>
      <c r="IV75" s="668"/>
      <c r="IW75" s="668"/>
      <c r="IX75" s="668"/>
      <c r="IY75" s="792"/>
      <c r="IZ75" s="668"/>
      <c r="JA75" s="668"/>
      <c r="JB75" s="668"/>
      <c r="JC75" s="792"/>
      <c r="JD75" s="668"/>
      <c r="JE75" s="668"/>
    </row>
    <row r="76" spans="1:265" s="693" customFormat="1" x14ac:dyDescent="0.2">
      <c r="B76" s="716"/>
      <c r="C76" s="733"/>
      <c r="D76" s="792"/>
      <c r="E76" s="668"/>
      <c r="F76" s="668"/>
      <c r="G76" s="733"/>
      <c r="H76" s="793"/>
      <c r="I76" s="725"/>
      <c r="J76" s="725"/>
      <c r="K76" s="804"/>
      <c r="L76" s="710"/>
      <c r="M76" s="800"/>
      <c r="N76" s="800"/>
      <c r="O76" s="697"/>
      <c r="P76" s="727"/>
      <c r="Q76" s="711"/>
      <c r="R76" s="712"/>
      <c r="S76" s="712"/>
      <c r="T76" s="720"/>
      <c r="U76" s="801"/>
      <c r="V76" s="802"/>
      <c r="W76" s="802"/>
      <c r="X76" s="803"/>
      <c r="Y76" s="705"/>
      <c r="Z76" s="713"/>
      <c r="AA76" s="713"/>
      <c r="AB76" s="714"/>
      <c r="AC76" s="705"/>
      <c r="AD76" s="713"/>
      <c r="AE76" s="713"/>
      <c r="AF76" s="714"/>
      <c r="AG76" s="705"/>
      <c r="AH76" s="723"/>
      <c r="AI76" s="722"/>
      <c r="AJ76" s="722"/>
      <c r="AK76" s="722"/>
      <c r="AL76" s="722"/>
      <c r="AM76" s="722"/>
      <c r="AN76" s="715"/>
      <c r="AO76" s="722"/>
      <c r="AP76" s="785"/>
      <c r="AQ76" s="722"/>
      <c r="AR76" s="722"/>
      <c r="AS76" s="668"/>
      <c r="AT76" s="668"/>
      <c r="AU76" s="792"/>
      <c r="AV76" s="668"/>
      <c r="AW76" s="668"/>
      <c r="AX76" s="668"/>
      <c r="AY76" s="792"/>
      <c r="AZ76" s="668"/>
      <c r="BA76" s="668"/>
      <c r="BB76" s="668"/>
      <c r="BC76" s="792"/>
      <c r="BD76" s="668"/>
      <c r="BE76" s="668"/>
      <c r="BF76" s="668"/>
      <c r="BG76" s="792"/>
      <c r="BH76" s="668"/>
      <c r="BI76" s="668"/>
      <c r="BJ76" s="668"/>
      <c r="BK76" s="792"/>
      <c r="BL76" s="668"/>
      <c r="BM76" s="668"/>
      <c r="BN76" s="668"/>
      <c r="BO76" s="792"/>
      <c r="BP76" s="668"/>
      <c r="BQ76" s="668"/>
      <c r="BR76" s="668"/>
      <c r="BS76" s="792"/>
      <c r="BT76" s="668"/>
      <c r="BU76" s="668"/>
      <c r="BV76" s="668"/>
      <c r="BW76" s="792"/>
      <c r="BX76" s="668"/>
      <c r="BY76" s="668"/>
      <c r="BZ76" s="668"/>
      <c r="CA76" s="792"/>
      <c r="CB76" s="668"/>
      <c r="CC76" s="668"/>
      <c r="CD76" s="668"/>
      <c r="CE76" s="792"/>
      <c r="CF76" s="668"/>
      <c r="CG76" s="668"/>
      <c r="CH76" s="668"/>
      <c r="CI76" s="792"/>
      <c r="CJ76" s="668"/>
      <c r="CK76" s="668"/>
      <c r="CL76" s="668"/>
      <c r="CM76" s="792"/>
      <c r="CN76" s="668"/>
      <c r="CO76" s="668"/>
      <c r="CP76" s="668"/>
      <c r="CQ76" s="792"/>
      <c r="CR76" s="668"/>
      <c r="CS76" s="668"/>
      <c r="CT76" s="668"/>
      <c r="CU76" s="792"/>
      <c r="CV76" s="668"/>
      <c r="CW76" s="668"/>
      <c r="CX76" s="668"/>
      <c r="CY76" s="792"/>
      <c r="CZ76" s="668"/>
      <c r="DA76" s="668"/>
      <c r="DB76" s="668"/>
      <c r="DC76" s="792"/>
      <c r="DD76" s="668"/>
      <c r="DE76" s="668"/>
      <c r="DF76" s="668"/>
      <c r="DG76" s="792"/>
      <c r="DH76" s="668"/>
      <c r="DI76" s="668"/>
      <c r="DJ76" s="668"/>
      <c r="DK76" s="792"/>
      <c r="DL76" s="668"/>
      <c r="DM76" s="668"/>
      <c r="DN76" s="668"/>
      <c r="DO76" s="792"/>
      <c r="DP76" s="668"/>
      <c r="DQ76" s="668"/>
      <c r="DR76" s="668"/>
      <c r="DS76" s="792"/>
      <c r="DT76" s="668"/>
      <c r="DU76" s="668"/>
      <c r="DV76" s="668"/>
      <c r="DW76" s="792"/>
      <c r="DX76" s="668"/>
      <c r="DY76" s="668"/>
      <c r="DZ76" s="668"/>
      <c r="EA76" s="792"/>
      <c r="EB76" s="668"/>
      <c r="EC76" s="668"/>
      <c r="ED76" s="668"/>
      <c r="EE76" s="792"/>
      <c r="EF76" s="668"/>
      <c r="EG76" s="668"/>
      <c r="EH76" s="668"/>
      <c r="EI76" s="792"/>
      <c r="EJ76" s="668"/>
      <c r="EK76" s="668"/>
      <c r="EL76" s="668"/>
      <c r="EM76" s="792"/>
      <c r="EN76" s="668"/>
      <c r="EO76" s="668"/>
      <c r="EP76" s="668"/>
      <c r="EQ76" s="792"/>
      <c r="ER76" s="668"/>
      <c r="ES76" s="668"/>
      <c r="ET76" s="668"/>
      <c r="EU76" s="792"/>
      <c r="EV76" s="668"/>
      <c r="EW76" s="668"/>
      <c r="EX76" s="668"/>
      <c r="EY76" s="792"/>
      <c r="EZ76" s="668"/>
      <c r="FA76" s="668"/>
      <c r="FB76" s="668"/>
      <c r="FC76" s="792"/>
      <c r="FD76" s="668"/>
      <c r="FE76" s="668"/>
      <c r="FF76" s="668"/>
      <c r="FG76" s="792"/>
      <c r="FH76" s="668"/>
      <c r="FI76" s="668"/>
      <c r="FJ76" s="668"/>
      <c r="FK76" s="792"/>
      <c r="FL76" s="668"/>
      <c r="FM76" s="668"/>
      <c r="FN76" s="668"/>
      <c r="FO76" s="792"/>
      <c r="FP76" s="668"/>
      <c r="FQ76" s="668"/>
      <c r="FR76" s="668"/>
      <c r="FS76" s="792"/>
      <c r="FT76" s="668"/>
      <c r="FU76" s="668"/>
      <c r="FV76" s="668"/>
      <c r="FW76" s="792"/>
      <c r="FX76" s="668"/>
      <c r="FY76" s="668"/>
      <c r="FZ76" s="668"/>
      <c r="GA76" s="792"/>
      <c r="GB76" s="668"/>
      <c r="GC76" s="668"/>
      <c r="GD76" s="668"/>
      <c r="GE76" s="792"/>
      <c r="GF76" s="668"/>
      <c r="GG76" s="668"/>
      <c r="GH76" s="668"/>
      <c r="GI76" s="792"/>
      <c r="GJ76" s="668"/>
      <c r="GK76" s="668"/>
      <c r="GL76" s="668"/>
      <c r="GM76" s="792"/>
      <c r="GN76" s="668"/>
      <c r="GO76" s="668"/>
      <c r="GP76" s="668"/>
      <c r="GQ76" s="792"/>
      <c r="GR76" s="668"/>
      <c r="GS76" s="668"/>
      <c r="GT76" s="668"/>
      <c r="GU76" s="792"/>
      <c r="GV76" s="668"/>
      <c r="GW76" s="668"/>
      <c r="GX76" s="668"/>
      <c r="GY76" s="792"/>
      <c r="GZ76" s="668"/>
      <c r="HA76" s="668"/>
      <c r="HB76" s="668"/>
      <c r="HC76" s="792"/>
      <c r="HD76" s="668"/>
      <c r="HE76" s="668"/>
      <c r="HF76" s="668"/>
      <c r="HG76" s="792"/>
      <c r="HH76" s="668"/>
      <c r="HI76" s="668"/>
      <c r="HJ76" s="668"/>
      <c r="HK76" s="792"/>
      <c r="HL76" s="668"/>
      <c r="HM76" s="668"/>
      <c r="HN76" s="668"/>
      <c r="HO76" s="792"/>
      <c r="HP76" s="668"/>
      <c r="HQ76" s="668"/>
      <c r="HR76" s="668"/>
      <c r="HS76" s="792"/>
      <c r="HT76" s="668"/>
      <c r="HU76" s="668"/>
      <c r="HV76" s="668"/>
      <c r="HW76" s="792"/>
      <c r="HX76" s="668"/>
      <c r="HY76" s="668"/>
      <c r="HZ76" s="668"/>
      <c r="IA76" s="792"/>
      <c r="IB76" s="668"/>
      <c r="IC76" s="668"/>
      <c r="ID76" s="668"/>
      <c r="IE76" s="792"/>
      <c r="IF76" s="668"/>
      <c r="IG76" s="668"/>
      <c r="IH76" s="668"/>
      <c r="II76" s="792"/>
      <c r="IJ76" s="668"/>
      <c r="IK76" s="668"/>
      <c r="IL76" s="668"/>
      <c r="IM76" s="792"/>
      <c r="IN76" s="668"/>
      <c r="IO76" s="668"/>
      <c r="IP76" s="668"/>
      <c r="IQ76" s="792"/>
      <c r="IR76" s="668"/>
      <c r="IS76" s="668"/>
      <c r="IT76" s="668"/>
      <c r="IU76" s="792"/>
      <c r="IV76" s="668"/>
      <c r="IW76" s="668"/>
      <c r="IX76" s="668"/>
      <c r="IY76" s="792"/>
      <c r="IZ76" s="668"/>
      <c r="JA76" s="668"/>
      <c r="JB76" s="668"/>
      <c r="JC76" s="792"/>
      <c r="JD76" s="668"/>
      <c r="JE76" s="668"/>
    </row>
    <row r="77" spans="1:265" s="693" customFormat="1" ht="15.75" x14ac:dyDescent="0.25">
      <c r="A77" s="892" t="s">
        <v>3941</v>
      </c>
      <c r="B77" s="892"/>
      <c r="C77" s="892"/>
      <c r="D77" s="792"/>
      <c r="E77" s="668"/>
      <c r="F77" s="668"/>
      <c r="G77" s="733"/>
      <c r="H77" s="793"/>
      <c r="I77" s="725"/>
      <c r="J77" s="725"/>
      <c r="K77" s="804"/>
      <c r="L77" s="710"/>
      <c r="M77" s="800"/>
      <c r="N77" s="800"/>
      <c r="O77" s="697"/>
      <c r="P77" s="727"/>
      <c r="Q77" s="711"/>
      <c r="R77" s="712"/>
      <c r="S77" s="712"/>
      <c r="T77" s="720"/>
      <c r="U77" s="801"/>
      <c r="V77" s="802"/>
      <c r="W77" s="802"/>
      <c r="X77" s="803"/>
      <c r="Y77" s="705"/>
      <c r="Z77" s="713"/>
      <c r="AA77" s="713"/>
      <c r="AB77" s="714"/>
      <c r="AC77" s="705"/>
      <c r="AD77" s="713"/>
      <c r="AE77" s="713"/>
      <c r="AF77" s="714"/>
      <c r="AG77" s="705"/>
      <c r="AH77" s="723"/>
      <c r="AI77" s="722"/>
      <c r="AJ77" s="722"/>
      <c r="AK77" s="722"/>
      <c r="AL77" s="722"/>
      <c r="AM77" s="722"/>
      <c r="AN77" s="715"/>
      <c r="AO77" s="722"/>
      <c r="AP77" s="785"/>
      <c r="AQ77" s="722"/>
      <c r="AR77" s="722"/>
      <c r="AS77" s="668"/>
      <c r="AT77" s="668"/>
      <c r="AU77" s="792"/>
      <c r="AV77" s="668"/>
      <c r="AW77" s="668"/>
      <c r="AX77" s="668"/>
      <c r="AY77" s="792"/>
      <c r="AZ77" s="668"/>
      <c r="BA77" s="668"/>
      <c r="BB77" s="668"/>
      <c r="BC77" s="792"/>
      <c r="BD77" s="668"/>
      <c r="BE77" s="668"/>
      <c r="BF77" s="668"/>
      <c r="BG77" s="792"/>
      <c r="BH77" s="668"/>
      <c r="BI77" s="668"/>
      <c r="BJ77" s="668"/>
      <c r="BK77" s="792"/>
      <c r="BL77" s="668"/>
      <c r="BM77" s="668"/>
      <c r="BN77" s="668"/>
      <c r="BO77" s="792"/>
      <c r="BP77" s="668"/>
      <c r="BQ77" s="668"/>
      <c r="BR77" s="668"/>
      <c r="BS77" s="792"/>
      <c r="BT77" s="668"/>
      <c r="BU77" s="668"/>
      <c r="BV77" s="668"/>
      <c r="BW77" s="792"/>
      <c r="BX77" s="668"/>
      <c r="BY77" s="668"/>
      <c r="BZ77" s="668"/>
      <c r="CA77" s="792"/>
      <c r="CB77" s="668"/>
      <c r="CC77" s="668"/>
      <c r="CD77" s="668"/>
      <c r="CE77" s="792"/>
      <c r="CF77" s="668"/>
      <c r="CG77" s="668"/>
      <c r="CH77" s="668"/>
      <c r="CI77" s="792"/>
      <c r="CJ77" s="668"/>
      <c r="CK77" s="668"/>
      <c r="CL77" s="668"/>
      <c r="CM77" s="792"/>
      <c r="CN77" s="668"/>
      <c r="CO77" s="668"/>
      <c r="CP77" s="668"/>
      <c r="CQ77" s="792"/>
      <c r="CR77" s="668"/>
      <c r="CS77" s="668"/>
      <c r="CT77" s="668"/>
      <c r="CU77" s="792"/>
      <c r="CV77" s="668"/>
      <c r="CW77" s="668"/>
      <c r="CX77" s="668"/>
      <c r="CY77" s="792"/>
      <c r="CZ77" s="668"/>
      <c r="DA77" s="668"/>
      <c r="DB77" s="668"/>
      <c r="DC77" s="792"/>
      <c r="DD77" s="668"/>
      <c r="DE77" s="668"/>
      <c r="DF77" s="668"/>
      <c r="DG77" s="792"/>
      <c r="DH77" s="668"/>
      <c r="DI77" s="668"/>
      <c r="DJ77" s="668"/>
      <c r="DK77" s="792"/>
      <c r="DL77" s="668"/>
      <c r="DM77" s="668"/>
      <c r="DN77" s="668"/>
      <c r="DO77" s="792"/>
      <c r="DP77" s="668"/>
      <c r="DQ77" s="668"/>
      <c r="DR77" s="668"/>
      <c r="DS77" s="792"/>
      <c r="DT77" s="668"/>
      <c r="DU77" s="668"/>
      <c r="DV77" s="668"/>
      <c r="DW77" s="792"/>
      <c r="DX77" s="668"/>
      <c r="DY77" s="668"/>
      <c r="DZ77" s="668"/>
      <c r="EA77" s="792"/>
      <c r="EB77" s="668"/>
      <c r="EC77" s="668"/>
      <c r="ED77" s="668"/>
      <c r="EE77" s="792"/>
      <c r="EF77" s="668"/>
      <c r="EG77" s="668"/>
      <c r="EH77" s="668"/>
      <c r="EI77" s="792"/>
      <c r="EJ77" s="668"/>
      <c r="EK77" s="668"/>
      <c r="EL77" s="668"/>
      <c r="EM77" s="792"/>
      <c r="EN77" s="668"/>
      <c r="EO77" s="668"/>
      <c r="EP77" s="668"/>
      <c r="EQ77" s="792"/>
      <c r="ER77" s="668"/>
      <c r="ES77" s="668"/>
      <c r="ET77" s="668"/>
      <c r="EU77" s="792"/>
      <c r="EV77" s="668"/>
      <c r="EW77" s="668"/>
      <c r="EX77" s="668"/>
      <c r="EY77" s="792"/>
      <c r="EZ77" s="668"/>
      <c r="FA77" s="668"/>
      <c r="FB77" s="668"/>
      <c r="FC77" s="792"/>
      <c r="FD77" s="668"/>
      <c r="FE77" s="668"/>
      <c r="FF77" s="668"/>
      <c r="FG77" s="792"/>
      <c r="FH77" s="668"/>
      <c r="FI77" s="668"/>
      <c r="FJ77" s="668"/>
      <c r="FK77" s="792"/>
      <c r="FL77" s="668"/>
      <c r="FM77" s="668"/>
      <c r="FN77" s="668"/>
      <c r="FO77" s="792"/>
      <c r="FP77" s="668"/>
      <c r="FQ77" s="668"/>
      <c r="FR77" s="668"/>
      <c r="FS77" s="792"/>
      <c r="FT77" s="668"/>
      <c r="FU77" s="668"/>
      <c r="FV77" s="668"/>
      <c r="FW77" s="792"/>
      <c r="FX77" s="668"/>
      <c r="FY77" s="668"/>
      <c r="FZ77" s="668"/>
      <c r="GA77" s="792"/>
      <c r="GB77" s="668"/>
      <c r="GC77" s="668"/>
      <c r="GD77" s="668"/>
      <c r="GE77" s="792"/>
      <c r="GF77" s="668"/>
      <c r="GG77" s="668"/>
      <c r="GH77" s="668"/>
      <c r="GI77" s="792"/>
      <c r="GJ77" s="668"/>
      <c r="GK77" s="668"/>
      <c r="GL77" s="668"/>
      <c r="GM77" s="792"/>
      <c r="GN77" s="668"/>
      <c r="GO77" s="668"/>
      <c r="GP77" s="668"/>
      <c r="GQ77" s="792"/>
      <c r="GR77" s="668"/>
      <c r="GS77" s="668"/>
      <c r="GT77" s="668"/>
      <c r="GU77" s="792"/>
      <c r="GV77" s="668"/>
      <c r="GW77" s="668"/>
      <c r="GX77" s="668"/>
      <c r="GY77" s="792"/>
      <c r="GZ77" s="668"/>
      <c r="HA77" s="668"/>
      <c r="HB77" s="668"/>
      <c r="HC77" s="792"/>
      <c r="HD77" s="668"/>
      <c r="HE77" s="668"/>
      <c r="HF77" s="668"/>
      <c r="HG77" s="792"/>
      <c r="HH77" s="668"/>
      <c r="HI77" s="668"/>
      <c r="HJ77" s="668"/>
      <c r="HK77" s="792"/>
      <c r="HL77" s="668"/>
      <c r="HM77" s="668"/>
      <c r="HN77" s="668"/>
      <c r="HO77" s="792"/>
      <c r="HP77" s="668"/>
      <c r="HQ77" s="668"/>
      <c r="HR77" s="668"/>
      <c r="HS77" s="792"/>
      <c r="HT77" s="668"/>
      <c r="HU77" s="668"/>
      <c r="HV77" s="668"/>
      <c r="HW77" s="792"/>
      <c r="HX77" s="668"/>
      <c r="HY77" s="668"/>
      <c r="HZ77" s="668"/>
      <c r="IA77" s="792"/>
      <c r="IB77" s="668"/>
      <c r="IC77" s="668"/>
      <c r="ID77" s="668"/>
      <c r="IE77" s="792"/>
      <c r="IF77" s="668"/>
      <c r="IG77" s="668"/>
      <c r="IH77" s="668"/>
      <c r="II77" s="792"/>
      <c r="IJ77" s="668"/>
      <c r="IK77" s="668"/>
      <c r="IL77" s="668"/>
      <c r="IM77" s="792"/>
      <c r="IN77" s="668"/>
      <c r="IO77" s="668"/>
      <c r="IP77" s="668"/>
      <c r="IQ77" s="792"/>
      <c r="IR77" s="668"/>
      <c r="IS77" s="668"/>
      <c r="IT77" s="668"/>
      <c r="IU77" s="792"/>
      <c r="IV77" s="668"/>
      <c r="IW77" s="668"/>
      <c r="IX77" s="668"/>
      <c r="IY77" s="792"/>
      <c r="IZ77" s="668"/>
      <c r="JA77" s="668"/>
      <c r="JB77" s="668"/>
      <c r="JC77" s="792"/>
      <c r="JD77" s="668"/>
      <c r="JE77" s="668"/>
    </row>
    <row r="78" spans="1:265" x14ac:dyDescent="0.2">
      <c r="A78" s="708" t="s">
        <v>594</v>
      </c>
      <c r="B78" s="805"/>
      <c r="C78" s="733" t="s">
        <v>3755</v>
      </c>
      <c r="D78" s="733"/>
      <c r="E78" s="733" t="s">
        <v>3756</v>
      </c>
      <c r="F78" s="733" t="s">
        <v>218</v>
      </c>
      <c r="G78" s="733" t="s">
        <v>3619</v>
      </c>
      <c r="H78" s="725" t="s">
        <v>3757</v>
      </c>
      <c r="I78" s="733"/>
      <c r="J78" s="733"/>
      <c r="K78" s="782" t="s">
        <v>2604</v>
      </c>
      <c r="L78" s="735" t="s">
        <v>975</v>
      </c>
      <c r="M78" s="696"/>
      <c r="N78" s="736">
        <v>19.989999999999998</v>
      </c>
      <c r="O78" s="733">
        <v>12</v>
      </c>
      <c r="P78" s="737">
        <v>48</v>
      </c>
      <c r="Q78" s="711">
        <v>0.21</v>
      </c>
      <c r="R78" s="712">
        <v>5.5</v>
      </c>
      <c r="S78" s="712">
        <v>2.875</v>
      </c>
      <c r="T78" s="738">
        <v>1.25</v>
      </c>
      <c r="U78" s="739">
        <v>0.25</v>
      </c>
      <c r="V78" s="733">
        <v>7.5</v>
      </c>
      <c r="W78" s="733">
        <v>4</v>
      </c>
      <c r="X78" s="737">
        <v>1.375</v>
      </c>
      <c r="Y78" s="739">
        <v>3.2</v>
      </c>
      <c r="Z78" s="733">
        <v>9</v>
      </c>
      <c r="AA78" s="733">
        <v>5.8</v>
      </c>
      <c r="AB78" s="737">
        <v>7.6</v>
      </c>
      <c r="AC78" s="739">
        <v>14.08</v>
      </c>
      <c r="AD78" s="733">
        <v>10</v>
      </c>
      <c r="AE78" s="733">
        <v>12.2</v>
      </c>
      <c r="AF78" s="737">
        <v>15.7</v>
      </c>
      <c r="AG78" s="806">
        <f>AD78*AE78*AF78/(12^3)</f>
        <v>1.108449074074074</v>
      </c>
      <c r="AH78" s="668" t="s">
        <v>3318</v>
      </c>
      <c r="AI78" s="722" t="s">
        <v>3319</v>
      </c>
      <c r="AJ78" s="722" t="s">
        <v>3320</v>
      </c>
      <c r="AK78" s="723" t="s">
        <v>5402</v>
      </c>
      <c r="AL78" s="723" t="s">
        <v>3321</v>
      </c>
      <c r="AM78" s="807" t="s">
        <v>3322</v>
      </c>
      <c r="AN78" s="806" t="s">
        <v>3311</v>
      </c>
      <c r="AO78" s="747"/>
      <c r="AP78" s="808" t="s">
        <v>3870</v>
      </c>
      <c r="AQ78" s="722" t="s">
        <v>2255</v>
      </c>
      <c r="AR78" s="733"/>
    </row>
    <row r="79" spans="1:265" x14ac:dyDescent="0.2">
      <c r="A79" s="708" t="s">
        <v>594</v>
      </c>
      <c r="B79" s="731"/>
      <c r="C79" s="732" t="s">
        <v>2493</v>
      </c>
      <c r="E79" s="692" t="s">
        <v>2495</v>
      </c>
      <c r="F79" s="733"/>
      <c r="G79" s="733" t="s">
        <v>3619</v>
      </c>
      <c r="H79" s="725" t="s">
        <v>2581</v>
      </c>
      <c r="I79" s="725" t="s">
        <v>2582</v>
      </c>
      <c r="J79" s="725" t="s">
        <v>2583</v>
      </c>
      <c r="K79" s="734" t="s">
        <v>2604</v>
      </c>
      <c r="L79" s="735" t="s">
        <v>975</v>
      </c>
      <c r="M79" s="696"/>
      <c r="N79" s="696">
        <v>19.989999999999998</v>
      </c>
      <c r="O79" s="733">
        <v>12</v>
      </c>
      <c r="P79" s="737">
        <v>48</v>
      </c>
      <c r="Q79" s="711">
        <v>0.20899999999999999</v>
      </c>
      <c r="R79" s="712">
        <v>1.875</v>
      </c>
      <c r="S79" s="712">
        <v>1.75</v>
      </c>
      <c r="T79" s="738">
        <v>4.125</v>
      </c>
      <c r="U79" s="739">
        <v>0.24299999999999999</v>
      </c>
      <c r="V79" s="733">
        <v>4.125</v>
      </c>
      <c r="W79" s="777">
        <v>1.25</v>
      </c>
      <c r="X79" s="737">
        <v>7.25</v>
      </c>
      <c r="Y79" s="739">
        <v>3.13</v>
      </c>
      <c r="Z79" s="777">
        <v>7.5</v>
      </c>
      <c r="AA79" s="777">
        <v>6</v>
      </c>
      <c r="AB79" s="778">
        <v>8.25</v>
      </c>
      <c r="AC79" s="705">
        <f>CONVERT(6.2,"kg","lbm")</f>
        <v>13.668660255462409</v>
      </c>
      <c r="AD79" s="713">
        <f>CONVERT(41,"cm","in")</f>
        <v>16.141732283464567</v>
      </c>
      <c r="AE79" s="713">
        <f>CONVERT(32,"cm","in")</f>
        <v>12.598425196850394</v>
      </c>
      <c r="AF79" s="714">
        <f>CONVERT(23,"cm","in")</f>
        <v>9.0551181102362204</v>
      </c>
      <c r="AG79" s="702">
        <f>AD79*AE79*AF79/(12^3)</f>
        <v>1.0656553829876396</v>
      </c>
      <c r="AH79" s="668" t="s">
        <v>3318</v>
      </c>
      <c r="AI79" s="722" t="s">
        <v>3319</v>
      </c>
      <c r="AJ79" s="722" t="s">
        <v>3320</v>
      </c>
      <c r="AK79" s="723" t="s">
        <v>3312</v>
      </c>
      <c r="AL79" s="723" t="s">
        <v>3321</v>
      </c>
      <c r="AM79" s="807" t="s">
        <v>3322</v>
      </c>
      <c r="AN79" s="806" t="s">
        <v>3311</v>
      </c>
      <c r="AP79" s="733" t="s">
        <v>3317</v>
      </c>
      <c r="AQ79" s="722" t="s">
        <v>2255</v>
      </c>
    </row>
    <row r="80" spans="1:265" s="758" customFormat="1" x14ac:dyDescent="0.2">
      <c r="A80" s="753"/>
      <c r="B80" s="753"/>
      <c r="C80" s="755"/>
      <c r="D80" s="756"/>
      <c r="E80" s="809"/>
      <c r="G80" s="772"/>
      <c r="H80" s="759"/>
      <c r="I80" s="759"/>
      <c r="J80" s="759"/>
      <c r="K80" s="691"/>
      <c r="L80" s="760"/>
      <c r="M80" s="761"/>
      <c r="N80" s="761"/>
      <c r="O80" s="810"/>
      <c r="P80" s="811"/>
      <c r="Q80" s="711"/>
      <c r="R80" s="712"/>
      <c r="S80" s="712"/>
      <c r="T80" s="812"/>
      <c r="U80" s="813"/>
      <c r="V80" s="814"/>
      <c r="W80" s="814"/>
      <c r="X80" s="815"/>
      <c r="Y80" s="813"/>
      <c r="Z80" s="814"/>
      <c r="AA80" s="814"/>
      <c r="AB80" s="815"/>
      <c r="AC80" s="813"/>
      <c r="AD80" s="814"/>
      <c r="AE80" s="814"/>
      <c r="AF80" s="815"/>
      <c r="AG80" s="702"/>
      <c r="AH80" s="816"/>
      <c r="AI80" s="816"/>
      <c r="AJ80" s="816"/>
      <c r="AK80" s="816"/>
      <c r="AL80" s="816"/>
      <c r="AM80" s="816"/>
      <c r="AN80" s="715"/>
      <c r="AO80" s="817"/>
      <c r="AP80" s="816"/>
      <c r="AQ80" s="816"/>
      <c r="AR80" s="816"/>
    </row>
    <row r="81" spans="1:44" s="693" customFormat="1" ht="15.75" x14ac:dyDescent="0.25">
      <c r="A81" s="892" t="s">
        <v>2232</v>
      </c>
      <c r="B81" s="892"/>
      <c r="C81" s="892"/>
      <c r="D81" s="691"/>
      <c r="E81" s="668"/>
      <c r="G81" s="708"/>
      <c r="H81" s="717"/>
      <c r="I81" s="717"/>
      <c r="J81" s="717"/>
      <c r="K81" s="717"/>
      <c r="L81" s="719"/>
      <c r="M81" s="696"/>
      <c r="N81" s="696"/>
      <c r="O81" s="697"/>
      <c r="P81" s="698"/>
      <c r="Q81" s="711"/>
      <c r="R81" s="712"/>
      <c r="S81" s="712"/>
      <c r="T81" s="701"/>
      <c r="U81" s="702"/>
      <c r="V81" s="703"/>
      <c r="W81" s="703"/>
      <c r="X81" s="704"/>
      <c r="Y81" s="702"/>
      <c r="Z81" s="703"/>
      <c r="AA81" s="703"/>
      <c r="AB81" s="704"/>
      <c r="AC81" s="702"/>
      <c r="AD81" s="703"/>
      <c r="AE81" s="703"/>
      <c r="AF81" s="704"/>
      <c r="AG81" s="818"/>
      <c r="AH81" s="722"/>
      <c r="AI81" s="722"/>
      <c r="AJ81" s="722"/>
      <c r="AK81" s="722"/>
      <c r="AL81" s="722"/>
      <c r="AM81" s="722"/>
      <c r="AN81" s="715"/>
      <c r="AO81" s="730"/>
      <c r="AP81" s="715"/>
      <c r="AQ81" s="715"/>
      <c r="AR81" s="715"/>
    </row>
    <row r="82" spans="1:44" s="708" customFormat="1" x14ac:dyDescent="0.2">
      <c r="A82" s="708" t="s">
        <v>594</v>
      </c>
      <c r="B82" s="724"/>
      <c r="C82" s="713" t="s">
        <v>833</v>
      </c>
      <c r="D82" s="713"/>
      <c r="E82" s="819" t="s">
        <v>2205</v>
      </c>
      <c r="G82" s="708" t="s">
        <v>2568</v>
      </c>
      <c r="H82" s="725" t="s">
        <v>64</v>
      </c>
      <c r="I82" s="725" t="s">
        <v>3494</v>
      </c>
      <c r="J82" s="725" t="s">
        <v>3673</v>
      </c>
      <c r="K82" s="820" t="s">
        <v>2216</v>
      </c>
      <c r="L82" s="719" t="s">
        <v>979</v>
      </c>
      <c r="M82" s="696"/>
      <c r="N82" s="751">
        <v>4.99</v>
      </c>
      <c r="O82" s="821">
        <v>12</v>
      </c>
      <c r="P82" s="727">
        <v>360</v>
      </c>
      <c r="Q82" s="711">
        <v>5.5E-2</v>
      </c>
      <c r="R82" s="712">
        <v>2.75</v>
      </c>
      <c r="S82" s="712"/>
      <c r="T82" s="720"/>
      <c r="U82" s="705">
        <f>CONVERT(35,"g","lbm")</f>
        <v>7.7161791764707152E-2</v>
      </c>
      <c r="V82" s="713">
        <v>4.5</v>
      </c>
      <c r="W82" s="713">
        <v>0.75</v>
      </c>
      <c r="X82" s="714">
        <v>4.5</v>
      </c>
      <c r="Y82" s="705">
        <f>CONVERT(485,"g","lbm")</f>
        <v>1.0692419715966561</v>
      </c>
      <c r="Z82" s="713">
        <v>9</v>
      </c>
      <c r="AA82" s="713">
        <v>4.125</v>
      </c>
      <c r="AB82" s="714">
        <v>3</v>
      </c>
      <c r="AC82" s="705">
        <v>50.83</v>
      </c>
      <c r="AD82" s="713">
        <v>21.4</v>
      </c>
      <c r="AE82" s="713">
        <v>18.3</v>
      </c>
      <c r="AF82" s="714">
        <v>12.59</v>
      </c>
      <c r="AG82" s="702">
        <f t="shared" ref="AG82:AG102" si="3">AD82*AE82*AF82/(12^3)</f>
        <v>2.8532961805555552</v>
      </c>
      <c r="AH82" s="728" t="s">
        <v>2279</v>
      </c>
      <c r="AI82" s="728" t="s">
        <v>2272</v>
      </c>
      <c r="AJ82" s="728" t="s">
        <v>2280</v>
      </c>
      <c r="AK82" s="728" t="s">
        <v>2274</v>
      </c>
      <c r="AL82" s="708" t="s">
        <v>2275</v>
      </c>
      <c r="AM82" s="728" t="s">
        <v>92</v>
      </c>
      <c r="AN82" s="822" t="s">
        <v>2327</v>
      </c>
      <c r="AO82" s="728"/>
      <c r="AP82" s="784" t="s">
        <v>2281</v>
      </c>
      <c r="AQ82" s="722" t="s">
        <v>2255</v>
      </c>
      <c r="AR82" s="728"/>
    </row>
    <row r="83" spans="1:44" s="708" customFormat="1" x14ac:dyDescent="0.2">
      <c r="A83" s="708" t="s">
        <v>594</v>
      </c>
      <c r="B83" s="724"/>
      <c r="C83" s="713" t="s">
        <v>834</v>
      </c>
      <c r="D83" s="713"/>
      <c r="E83" s="819" t="s">
        <v>2206</v>
      </c>
      <c r="G83" s="708" t="s">
        <v>2558</v>
      </c>
      <c r="H83" s="725" t="s">
        <v>63</v>
      </c>
      <c r="I83" s="725" t="s">
        <v>3674</v>
      </c>
      <c r="J83" s="725" t="s">
        <v>3675</v>
      </c>
      <c r="K83" s="820" t="s">
        <v>2216</v>
      </c>
      <c r="L83" s="719" t="s">
        <v>979</v>
      </c>
      <c r="M83" s="696"/>
      <c r="N83" s="751">
        <v>7.99</v>
      </c>
      <c r="O83" s="821">
        <v>12</v>
      </c>
      <c r="P83" s="727">
        <v>180</v>
      </c>
      <c r="Q83" s="711">
        <v>0.11</v>
      </c>
      <c r="R83" s="712">
        <v>2.75</v>
      </c>
      <c r="S83" s="712"/>
      <c r="T83" s="720"/>
      <c r="U83" s="705">
        <f>CONVERT(76,"g","lbm")</f>
        <v>0.16755131926050695</v>
      </c>
      <c r="V83" s="713">
        <v>3.25</v>
      </c>
      <c r="W83" s="713">
        <v>1.75</v>
      </c>
      <c r="X83" s="714">
        <v>3.125</v>
      </c>
      <c r="Y83" s="705">
        <f>CONVERT(890,"g","lbm")</f>
        <v>1.9621141334454104</v>
      </c>
      <c r="Z83" s="713">
        <v>6.875</v>
      </c>
      <c r="AA83" s="713">
        <v>5.25</v>
      </c>
      <c r="AB83" s="714">
        <v>3.75</v>
      </c>
      <c r="AC83" s="705">
        <v>31.68</v>
      </c>
      <c r="AD83" s="713">
        <v>18</v>
      </c>
      <c r="AE83" s="713">
        <v>14.5</v>
      </c>
      <c r="AF83" s="714">
        <v>11.5</v>
      </c>
      <c r="AG83" s="705">
        <f t="shared" si="3"/>
        <v>1.7369791666666667</v>
      </c>
      <c r="AH83" s="728" t="s">
        <v>2279</v>
      </c>
      <c r="AI83" s="728" t="s">
        <v>2272</v>
      </c>
      <c r="AJ83" s="728" t="s">
        <v>2280</v>
      </c>
      <c r="AK83" s="728" t="s">
        <v>2274</v>
      </c>
      <c r="AL83" s="708" t="s">
        <v>2275</v>
      </c>
      <c r="AM83" s="728" t="s">
        <v>93</v>
      </c>
      <c r="AN83" s="822" t="s">
        <v>2327</v>
      </c>
      <c r="AO83" s="728"/>
      <c r="AP83" s="784" t="s">
        <v>2282</v>
      </c>
      <c r="AQ83" s="722" t="s">
        <v>2255</v>
      </c>
      <c r="AR83" s="728"/>
    </row>
    <row r="84" spans="1:44" s="693" customFormat="1" x14ac:dyDescent="0.2">
      <c r="A84" s="708" t="s">
        <v>594</v>
      </c>
      <c r="B84" s="724"/>
      <c r="C84" s="692" t="s">
        <v>1022</v>
      </c>
      <c r="D84" s="692"/>
      <c r="E84" s="668" t="s">
        <v>2217</v>
      </c>
      <c r="G84" s="708" t="s">
        <v>2520</v>
      </c>
      <c r="H84" s="717" t="s">
        <v>659</v>
      </c>
      <c r="I84" s="725" t="s">
        <v>3680</v>
      </c>
      <c r="J84" s="725" t="s">
        <v>3681</v>
      </c>
      <c r="K84" s="717" t="s">
        <v>2216</v>
      </c>
      <c r="L84" s="726" t="s">
        <v>979</v>
      </c>
      <c r="M84" s="751"/>
      <c r="N84" s="696">
        <v>4.99</v>
      </c>
      <c r="O84" s="821">
        <v>30</v>
      </c>
      <c r="P84" s="727">
        <v>360</v>
      </c>
      <c r="Q84" s="711">
        <v>5.5E-2</v>
      </c>
      <c r="R84" s="712">
        <v>2.75</v>
      </c>
      <c r="S84" s="712"/>
      <c r="T84" s="720"/>
      <c r="U84" s="705">
        <v>0.05</v>
      </c>
      <c r="V84" s="713">
        <v>3.125</v>
      </c>
      <c r="W84" s="713">
        <v>0.75</v>
      </c>
      <c r="X84" s="714">
        <v>1.5625</v>
      </c>
      <c r="Y84" s="705">
        <f>CONVERT(985,"g","lbm")</f>
        <v>2.1715532825210442</v>
      </c>
      <c r="Z84" s="713">
        <v>6.75</v>
      </c>
      <c r="AA84" s="713">
        <v>5.375</v>
      </c>
      <c r="AB84" s="714">
        <v>4.5</v>
      </c>
      <c r="AC84" s="705">
        <v>32.6</v>
      </c>
      <c r="AD84" s="713">
        <v>22.5</v>
      </c>
      <c r="AE84" s="713">
        <v>13.5</v>
      </c>
      <c r="AF84" s="714">
        <v>9.75</v>
      </c>
      <c r="AG84" s="705">
        <f t="shared" si="3"/>
        <v>1.7138671875</v>
      </c>
      <c r="AH84" s="728" t="s">
        <v>2279</v>
      </c>
      <c r="AI84" s="728" t="s">
        <v>2272</v>
      </c>
      <c r="AJ84" s="728" t="s">
        <v>2280</v>
      </c>
      <c r="AK84" s="728" t="s">
        <v>2274</v>
      </c>
      <c r="AL84" s="708" t="s">
        <v>2275</v>
      </c>
      <c r="AM84" s="728" t="s">
        <v>92</v>
      </c>
      <c r="AN84" s="822" t="s">
        <v>2327</v>
      </c>
      <c r="AO84" s="728"/>
      <c r="AP84" s="784" t="s">
        <v>2281</v>
      </c>
      <c r="AQ84" s="722" t="s">
        <v>2255</v>
      </c>
      <c r="AR84" s="715"/>
    </row>
    <row r="85" spans="1:44" s="693" customFormat="1" x14ac:dyDescent="0.2">
      <c r="A85" s="708" t="s">
        <v>594</v>
      </c>
      <c r="B85" s="724"/>
      <c r="C85" s="692" t="s">
        <v>1021</v>
      </c>
      <c r="D85" s="692"/>
      <c r="E85" s="668" t="s">
        <v>2207</v>
      </c>
      <c r="G85" s="708" t="s">
        <v>2522</v>
      </c>
      <c r="H85" s="823" t="s">
        <v>1020</v>
      </c>
      <c r="I85" s="725" t="s">
        <v>3680</v>
      </c>
      <c r="J85" s="725" t="s">
        <v>3681</v>
      </c>
      <c r="K85" s="717" t="s">
        <v>2216</v>
      </c>
      <c r="L85" s="726" t="s">
        <v>979</v>
      </c>
      <c r="M85" s="751"/>
      <c r="N85" s="696">
        <v>4.99</v>
      </c>
      <c r="O85" s="821">
        <v>30</v>
      </c>
      <c r="P85" s="727">
        <v>360</v>
      </c>
      <c r="Q85" s="711">
        <v>5.5E-2</v>
      </c>
      <c r="R85" s="712">
        <v>2.75</v>
      </c>
      <c r="S85" s="712"/>
      <c r="T85" s="720"/>
      <c r="U85" s="705">
        <v>0.05</v>
      </c>
      <c r="V85" s="713">
        <v>3.125</v>
      </c>
      <c r="W85" s="713">
        <v>0.75</v>
      </c>
      <c r="X85" s="714">
        <v>1.5625</v>
      </c>
      <c r="Y85" s="705">
        <f>CONVERT(985,"g","lbm")</f>
        <v>2.1715532825210442</v>
      </c>
      <c r="Z85" s="713">
        <v>6.75</v>
      </c>
      <c r="AA85" s="713">
        <v>5.375</v>
      </c>
      <c r="AB85" s="714">
        <v>4.5</v>
      </c>
      <c r="AC85" s="705">
        <v>32.6</v>
      </c>
      <c r="AD85" s="713">
        <v>22.5</v>
      </c>
      <c r="AE85" s="713">
        <v>13.5</v>
      </c>
      <c r="AF85" s="714">
        <v>9.75</v>
      </c>
      <c r="AG85" s="705">
        <f t="shared" si="3"/>
        <v>1.7138671875</v>
      </c>
      <c r="AH85" s="721" t="s">
        <v>2287</v>
      </c>
      <c r="AI85" s="721" t="s">
        <v>2288</v>
      </c>
      <c r="AJ85" s="721"/>
      <c r="AK85" s="723"/>
      <c r="AL85" s="721"/>
      <c r="AM85" s="721"/>
      <c r="AN85" s="728"/>
      <c r="AO85" s="729"/>
      <c r="AP85" s="728"/>
      <c r="AQ85" s="721"/>
      <c r="AR85" s="728"/>
    </row>
    <row r="86" spans="1:44" s="708" customFormat="1" x14ac:dyDescent="0.2">
      <c r="A86" s="708" t="s">
        <v>594</v>
      </c>
      <c r="B86" s="724"/>
      <c r="C86" s="713" t="s">
        <v>710</v>
      </c>
      <c r="D86" s="713" t="s">
        <v>343</v>
      </c>
      <c r="E86" s="668" t="s">
        <v>2204</v>
      </c>
      <c r="F86" s="708" t="s">
        <v>485</v>
      </c>
      <c r="G86" s="708" t="s">
        <v>2558</v>
      </c>
      <c r="H86" s="725" t="s">
        <v>711</v>
      </c>
      <c r="I86" s="725" t="s">
        <v>3708</v>
      </c>
      <c r="J86" s="725" t="s">
        <v>3709</v>
      </c>
      <c r="K86" s="717" t="s">
        <v>2216</v>
      </c>
      <c r="L86" s="719" t="s">
        <v>979</v>
      </c>
      <c r="M86" s="696"/>
      <c r="N86" s="751">
        <v>7.99</v>
      </c>
      <c r="O86" s="821">
        <v>12</v>
      </c>
      <c r="P86" s="727">
        <v>240</v>
      </c>
      <c r="Q86" s="711">
        <f>CONVERT(48,"g","lbm")</f>
        <v>0.10582188584874123</v>
      </c>
      <c r="R86" s="712">
        <v>1.5</v>
      </c>
      <c r="S86" s="712">
        <v>1.5</v>
      </c>
      <c r="T86" s="720">
        <v>3.125</v>
      </c>
      <c r="U86" s="705">
        <v>0.12</v>
      </c>
      <c r="V86" s="713">
        <v>1.625</v>
      </c>
      <c r="W86" s="713">
        <v>1.625</v>
      </c>
      <c r="X86" s="714">
        <v>4.875</v>
      </c>
      <c r="Y86" s="705">
        <v>1.7</v>
      </c>
      <c r="Z86" s="713">
        <v>7</v>
      </c>
      <c r="AA86" s="713">
        <v>5.5</v>
      </c>
      <c r="AB86" s="714">
        <v>3.6749999999999998</v>
      </c>
      <c r="AC86" s="705">
        <v>33</v>
      </c>
      <c r="AD86" s="713">
        <v>18.75</v>
      </c>
      <c r="AE86" s="713">
        <v>14.75</v>
      </c>
      <c r="AF86" s="714">
        <v>11.5</v>
      </c>
      <c r="AG86" s="705">
        <f t="shared" si="3"/>
        <v>1.8405490451388888</v>
      </c>
      <c r="AH86" s="784" t="s">
        <v>2277</v>
      </c>
      <c r="AI86" s="784" t="s">
        <v>2278</v>
      </c>
      <c r="AJ86" s="824" t="s">
        <v>2291</v>
      </c>
      <c r="AK86" s="784" t="s">
        <v>2272</v>
      </c>
      <c r="AL86" s="784" t="s">
        <v>2280</v>
      </c>
      <c r="AM86" s="728" t="s">
        <v>2274</v>
      </c>
      <c r="AN86" s="708" t="s">
        <v>2275</v>
      </c>
      <c r="AO86" s="822" t="s">
        <v>2328</v>
      </c>
      <c r="AP86" s="784" t="s">
        <v>5459</v>
      </c>
      <c r="AQ86" s="722" t="s">
        <v>2255</v>
      </c>
      <c r="AR86" s="728"/>
    </row>
    <row r="87" spans="1:44" s="693" customFormat="1" x14ac:dyDescent="0.2">
      <c r="A87" s="708" t="s">
        <v>594</v>
      </c>
      <c r="B87" s="724"/>
      <c r="C87" s="692" t="s">
        <v>710</v>
      </c>
      <c r="D87" s="692" t="s">
        <v>374</v>
      </c>
      <c r="E87" s="668" t="s">
        <v>2204</v>
      </c>
      <c r="F87" s="693" t="s">
        <v>219</v>
      </c>
      <c r="G87" s="708" t="s">
        <v>2558</v>
      </c>
      <c r="H87" s="725" t="s">
        <v>841</v>
      </c>
      <c r="I87" s="725" t="s">
        <v>3495</v>
      </c>
      <c r="J87" s="725" t="s">
        <v>3710</v>
      </c>
      <c r="K87" s="717" t="s">
        <v>2216</v>
      </c>
      <c r="L87" s="719" t="s">
        <v>979</v>
      </c>
      <c r="M87" s="696"/>
      <c r="N87" s="751">
        <v>7.99</v>
      </c>
      <c r="O87" s="821">
        <v>10</v>
      </c>
      <c r="P87" s="698">
        <v>240</v>
      </c>
      <c r="Q87" s="711">
        <f>CONVERT(48,"g","lbm")</f>
        <v>0.10582188584874123</v>
      </c>
      <c r="R87" s="712">
        <v>1.5</v>
      </c>
      <c r="S87" s="712">
        <v>1.5</v>
      </c>
      <c r="T87" s="720">
        <v>3.125</v>
      </c>
      <c r="U87" s="705">
        <f>CONVERT(60,"g","lbm")</f>
        <v>0.13227735731092655</v>
      </c>
      <c r="V87" s="713">
        <v>1.125</v>
      </c>
      <c r="W87" s="713">
        <v>1.125</v>
      </c>
      <c r="X87" s="714">
        <v>4.875</v>
      </c>
      <c r="Y87" s="705">
        <f>CONVERT(845,"g","lbm")</f>
        <v>1.8629061154622155</v>
      </c>
      <c r="Z87" s="713">
        <v>9.125</v>
      </c>
      <c r="AA87" s="713">
        <v>7.125</v>
      </c>
      <c r="AB87" s="714">
        <v>3.25</v>
      </c>
      <c r="AC87" s="705">
        <v>39</v>
      </c>
      <c r="AD87" s="713">
        <v>20</v>
      </c>
      <c r="AE87" s="713">
        <v>15</v>
      </c>
      <c r="AF87" s="714">
        <v>20.5</v>
      </c>
      <c r="AG87" s="702">
        <f t="shared" si="3"/>
        <v>3.5590277777777777</v>
      </c>
      <c r="AH87" s="784" t="s">
        <v>2277</v>
      </c>
      <c r="AI87" s="784" t="s">
        <v>2278</v>
      </c>
      <c r="AJ87" s="824" t="s">
        <v>2291</v>
      </c>
      <c r="AK87" s="784" t="s">
        <v>2272</v>
      </c>
      <c r="AL87" s="784" t="s">
        <v>2280</v>
      </c>
      <c r="AM87" s="728" t="s">
        <v>2274</v>
      </c>
      <c r="AN87" s="708" t="s">
        <v>2275</v>
      </c>
      <c r="AO87" s="822" t="s">
        <v>2328</v>
      </c>
      <c r="AP87" s="784" t="s">
        <v>5459</v>
      </c>
      <c r="AQ87" s="722" t="s">
        <v>2255</v>
      </c>
      <c r="AR87" s="715"/>
    </row>
    <row r="88" spans="1:44" s="708" customFormat="1" x14ac:dyDescent="0.2">
      <c r="A88" s="708" t="s">
        <v>594</v>
      </c>
      <c r="B88" s="724"/>
      <c r="C88" s="713" t="s">
        <v>710</v>
      </c>
      <c r="D88" s="713" t="s">
        <v>372</v>
      </c>
      <c r="E88" s="668" t="s">
        <v>2204</v>
      </c>
      <c r="F88" s="708" t="s">
        <v>483</v>
      </c>
      <c r="G88" s="708" t="s">
        <v>2558</v>
      </c>
      <c r="H88" s="725" t="s">
        <v>712</v>
      </c>
      <c r="I88" s="725" t="s">
        <v>3706</v>
      </c>
      <c r="J88" s="725" t="s">
        <v>3707</v>
      </c>
      <c r="K88" s="717" t="s">
        <v>2216</v>
      </c>
      <c r="L88" s="719" t="s">
        <v>979</v>
      </c>
      <c r="M88" s="696"/>
      <c r="N88" s="751">
        <v>7.99</v>
      </c>
      <c r="O88" s="821">
        <v>12</v>
      </c>
      <c r="P88" s="727">
        <v>240</v>
      </c>
      <c r="Q88" s="711">
        <f>CONVERT(48,"g","lbm")</f>
        <v>0.10582188584874123</v>
      </c>
      <c r="R88" s="712">
        <v>1.5</v>
      </c>
      <c r="S88" s="712">
        <v>1.5</v>
      </c>
      <c r="T88" s="720">
        <v>3.125</v>
      </c>
      <c r="U88" s="705">
        <v>0.12</v>
      </c>
      <c r="V88" s="713">
        <v>1.625</v>
      </c>
      <c r="W88" s="713">
        <v>1.625</v>
      </c>
      <c r="X88" s="714">
        <v>4.875</v>
      </c>
      <c r="Y88" s="705">
        <v>1.7</v>
      </c>
      <c r="Z88" s="713">
        <v>7</v>
      </c>
      <c r="AA88" s="713">
        <v>5.5</v>
      </c>
      <c r="AB88" s="714">
        <v>3.6749999999999998</v>
      </c>
      <c r="AC88" s="705">
        <v>33</v>
      </c>
      <c r="AD88" s="713">
        <v>18.75</v>
      </c>
      <c r="AE88" s="713">
        <v>14.75</v>
      </c>
      <c r="AF88" s="714">
        <v>11.5</v>
      </c>
      <c r="AG88" s="702">
        <f t="shared" si="3"/>
        <v>1.8405490451388888</v>
      </c>
      <c r="AH88" s="784" t="s">
        <v>2277</v>
      </c>
      <c r="AI88" s="784" t="s">
        <v>2278</v>
      </c>
      <c r="AJ88" s="824" t="s">
        <v>2291</v>
      </c>
      <c r="AK88" s="784" t="s">
        <v>2272</v>
      </c>
      <c r="AL88" s="784" t="s">
        <v>2280</v>
      </c>
      <c r="AM88" s="728" t="s">
        <v>2274</v>
      </c>
      <c r="AN88" s="708" t="s">
        <v>2275</v>
      </c>
      <c r="AO88" s="822" t="s">
        <v>2328</v>
      </c>
      <c r="AP88" s="784" t="s">
        <v>5459</v>
      </c>
      <c r="AQ88" s="722" t="s">
        <v>2255</v>
      </c>
      <c r="AR88" s="728"/>
    </row>
    <row r="89" spans="1:44" s="708" customFormat="1" x14ac:dyDescent="0.2">
      <c r="A89" s="708" t="s">
        <v>594</v>
      </c>
      <c r="B89" s="724"/>
      <c r="C89" s="713" t="s">
        <v>2084</v>
      </c>
      <c r="D89" s="713"/>
      <c r="E89" s="668" t="s">
        <v>2203</v>
      </c>
      <c r="F89" s="708" t="s">
        <v>3621</v>
      </c>
      <c r="G89" s="708" t="s">
        <v>2547</v>
      </c>
      <c r="H89" s="725" t="s">
        <v>2087</v>
      </c>
      <c r="I89" s="725"/>
      <c r="J89" s="725"/>
      <c r="K89" s="717" t="s">
        <v>2216</v>
      </c>
      <c r="L89" s="719" t="s">
        <v>979</v>
      </c>
      <c r="M89" s="696"/>
      <c r="N89" s="751">
        <v>9.99</v>
      </c>
      <c r="O89" s="821">
        <v>12</v>
      </c>
      <c r="P89" s="727">
        <v>144</v>
      </c>
      <c r="Q89" s="711">
        <v>0.18</v>
      </c>
      <c r="R89" s="712">
        <v>1.5</v>
      </c>
      <c r="S89" s="712">
        <v>1.5</v>
      </c>
      <c r="T89" s="720">
        <v>4.5</v>
      </c>
      <c r="U89" s="705">
        <f>3.1/16</f>
        <v>0.19375000000000001</v>
      </c>
      <c r="V89" s="713">
        <v>4</v>
      </c>
      <c r="W89" s="713">
        <v>1.5</v>
      </c>
      <c r="X89" s="714">
        <v>6.25</v>
      </c>
      <c r="Y89" s="705">
        <f>CONVERT(1250,"g","lbm")</f>
        <v>2.7557782773109696</v>
      </c>
      <c r="Z89" s="713">
        <v>8</v>
      </c>
      <c r="AA89" s="713">
        <v>7</v>
      </c>
      <c r="AB89" s="714">
        <v>6.5</v>
      </c>
      <c r="AC89" s="705">
        <v>39</v>
      </c>
      <c r="AD89" s="713">
        <v>21.5</v>
      </c>
      <c r="AE89" s="713">
        <v>16.5</v>
      </c>
      <c r="AF89" s="714">
        <v>14</v>
      </c>
      <c r="AG89" s="702">
        <f t="shared" si="3"/>
        <v>2.8741319444444446</v>
      </c>
      <c r="AH89" s="825" t="s">
        <v>2277</v>
      </c>
      <c r="AI89" s="825" t="s">
        <v>2278</v>
      </c>
      <c r="AJ89" s="825" t="s">
        <v>2271</v>
      </c>
      <c r="AK89" s="825" t="s">
        <v>2272</v>
      </c>
      <c r="AL89" s="825" t="s">
        <v>2273</v>
      </c>
      <c r="AM89" s="825" t="s">
        <v>2274</v>
      </c>
      <c r="AN89" s="825" t="s">
        <v>2275</v>
      </c>
      <c r="AO89" s="807" t="s">
        <v>2739</v>
      </c>
      <c r="AP89" s="822" t="s">
        <v>2276</v>
      </c>
      <c r="AQ89" s="722" t="s">
        <v>2255</v>
      </c>
      <c r="AR89" s="728"/>
    </row>
    <row r="90" spans="1:44" s="708" customFormat="1" x14ac:dyDescent="0.2">
      <c r="A90" s="708" t="s">
        <v>594</v>
      </c>
      <c r="B90" s="724"/>
      <c r="C90" s="713" t="s">
        <v>2085</v>
      </c>
      <c r="D90" s="713"/>
      <c r="E90" s="668" t="s">
        <v>2215</v>
      </c>
      <c r="G90" s="708" t="s">
        <v>2568</v>
      </c>
      <c r="H90" s="725" t="s">
        <v>2086</v>
      </c>
      <c r="I90" s="725"/>
      <c r="J90" s="725"/>
      <c r="K90" s="717" t="s">
        <v>2216</v>
      </c>
      <c r="L90" s="719" t="s">
        <v>979</v>
      </c>
      <c r="M90" s="696"/>
      <c r="N90" s="751">
        <v>9.99</v>
      </c>
      <c r="O90" s="821">
        <v>12</v>
      </c>
      <c r="P90" s="727">
        <v>180</v>
      </c>
      <c r="Q90" s="711">
        <v>0.21</v>
      </c>
      <c r="R90" s="712">
        <v>4.125</v>
      </c>
      <c r="S90" s="712"/>
      <c r="T90" s="720"/>
      <c r="U90" s="705">
        <v>0.23</v>
      </c>
      <c r="V90" s="713">
        <v>6</v>
      </c>
      <c r="W90" s="713">
        <v>1.125</v>
      </c>
      <c r="X90" s="714">
        <v>5.5</v>
      </c>
      <c r="Y90" s="705">
        <f>50.1/16</f>
        <v>3.1312500000000001</v>
      </c>
      <c r="Z90" s="713">
        <v>11.625</v>
      </c>
      <c r="AA90" s="713">
        <v>5.875</v>
      </c>
      <c r="AB90" s="714">
        <v>4</v>
      </c>
      <c r="AC90" s="705">
        <v>52</v>
      </c>
      <c r="AD90" s="713">
        <v>21</v>
      </c>
      <c r="AE90" s="713">
        <v>18.75</v>
      </c>
      <c r="AF90" s="714">
        <v>12.5</v>
      </c>
      <c r="AG90" s="702">
        <f t="shared" si="3"/>
        <v>2.8483072916666665</v>
      </c>
      <c r="AH90" s="825" t="s">
        <v>2271</v>
      </c>
      <c r="AI90" s="825" t="s">
        <v>2272</v>
      </c>
      <c r="AJ90" s="825" t="s">
        <v>2273</v>
      </c>
      <c r="AK90" s="825" t="s">
        <v>2274</v>
      </c>
      <c r="AL90" s="825" t="s">
        <v>2275</v>
      </c>
      <c r="AM90" s="807" t="s">
        <v>2738</v>
      </c>
      <c r="AN90" s="728"/>
      <c r="AP90" s="822" t="s">
        <v>2270</v>
      </c>
      <c r="AQ90" s="722" t="s">
        <v>2255</v>
      </c>
      <c r="AR90" s="728"/>
    </row>
    <row r="91" spans="1:44" s="693" customFormat="1" x14ac:dyDescent="0.2">
      <c r="A91" s="708" t="s">
        <v>594</v>
      </c>
      <c r="B91" s="724"/>
      <c r="C91" s="692" t="s">
        <v>835</v>
      </c>
      <c r="D91" s="692" t="s">
        <v>374</v>
      </c>
      <c r="E91" s="668" t="s">
        <v>1566</v>
      </c>
      <c r="F91" s="693" t="s">
        <v>219</v>
      </c>
      <c r="G91" s="708" t="s">
        <v>2547</v>
      </c>
      <c r="H91" s="717" t="s">
        <v>840</v>
      </c>
      <c r="I91" s="725" t="s">
        <v>3678</v>
      </c>
      <c r="J91" s="725" t="s">
        <v>3679</v>
      </c>
      <c r="K91" s="717" t="s">
        <v>2220</v>
      </c>
      <c r="L91" s="719" t="s">
        <v>979</v>
      </c>
      <c r="M91" s="696"/>
      <c r="N91" s="696">
        <v>2.99</v>
      </c>
      <c r="O91" s="697">
        <v>12</v>
      </c>
      <c r="P91" s="727">
        <v>360</v>
      </c>
      <c r="Q91" s="711">
        <f>CONVERT(23,"g","lbm")</f>
        <v>5.070632030252184E-2</v>
      </c>
      <c r="R91" s="712">
        <v>1.5</v>
      </c>
      <c r="S91" s="712">
        <v>1.5</v>
      </c>
      <c r="T91" s="720">
        <v>3.125</v>
      </c>
      <c r="U91" s="705">
        <f>CONVERT(35,"g","lbm")</f>
        <v>7.7161791764707152E-2</v>
      </c>
      <c r="V91" s="713">
        <v>4</v>
      </c>
      <c r="W91" s="713">
        <v>1.625</v>
      </c>
      <c r="X91" s="714">
        <v>4.875</v>
      </c>
      <c r="Y91" s="705">
        <f>CONVERT(555,"g","lbm")</f>
        <v>1.2235655551260705</v>
      </c>
      <c r="Z91" s="713">
        <v>9.75</v>
      </c>
      <c r="AA91" s="713">
        <v>8.75</v>
      </c>
      <c r="AB91" s="714">
        <v>3.625</v>
      </c>
      <c r="AC91" s="705">
        <v>43.34</v>
      </c>
      <c r="AD91" s="713">
        <v>35.4</v>
      </c>
      <c r="AE91" s="713">
        <v>19.600000000000001</v>
      </c>
      <c r="AF91" s="714">
        <v>18.5</v>
      </c>
      <c r="AG91" s="702">
        <f t="shared" si="3"/>
        <v>7.428263888888889</v>
      </c>
      <c r="AH91" s="722" t="s">
        <v>2300</v>
      </c>
      <c r="AI91" s="722" t="s">
        <v>2302</v>
      </c>
      <c r="AJ91" s="825" t="s">
        <v>2301</v>
      </c>
      <c r="AK91" s="825" t="s">
        <v>5460</v>
      </c>
      <c r="AL91" s="825" t="s">
        <v>2303</v>
      </c>
      <c r="AM91" s="822" t="s">
        <v>2329</v>
      </c>
      <c r="AN91" s="715"/>
      <c r="AP91" s="825" t="s">
        <v>2299</v>
      </c>
      <c r="AQ91" s="722" t="s">
        <v>2255</v>
      </c>
      <c r="AR91" s="715"/>
    </row>
    <row r="92" spans="1:44" s="693" customFormat="1" x14ac:dyDescent="0.2">
      <c r="A92" s="708" t="s">
        <v>594</v>
      </c>
      <c r="B92" s="724"/>
      <c r="C92" s="692" t="s">
        <v>835</v>
      </c>
      <c r="D92" s="692" t="s">
        <v>5440</v>
      </c>
      <c r="E92" s="668" t="s">
        <v>1566</v>
      </c>
      <c r="F92" s="693" t="s">
        <v>485</v>
      </c>
      <c r="G92" s="708" t="s">
        <v>2547</v>
      </c>
      <c r="H92" s="717" t="s">
        <v>4567</v>
      </c>
      <c r="I92" s="725"/>
      <c r="J92" s="725"/>
      <c r="K92" s="717" t="s">
        <v>2220</v>
      </c>
      <c r="L92" s="719" t="s">
        <v>979</v>
      </c>
      <c r="M92" s="696"/>
      <c r="N92" s="696">
        <v>2.99</v>
      </c>
      <c r="O92" s="697">
        <v>12</v>
      </c>
      <c r="P92" s="727">
        <v>360</v>
      </c>
      <c r="Q92" s="711">
        <v>5.0999999999999997E-2</v>
      </c>
      <c r="R92" s="712">
        <v>1.5</v>
      </c>
      <c r="S92" s="712">
        <v>1.5</v>
      </c>
      <c r="T92" s="720">
        <v>3.125</v>
      </c>
      <c r="U92" s="705">
        <v>0.08</v>
      </c>
      <c r="V92" s="713">
        <v>4</v>
      </c>
      <c r="W92" s="713">
        <v>1.63</v>
      </c>
      <c r="X92" s="714">
        <v>4.88</v>
      </c>
      <c r="Y92" s="705"/>
      <c r="Z92" s="713"/>
      <c r="AA92" s="713"/>
      <c r="AB92" s="714"/>
      <c r="AC92" s="705"/>
      <c r="AD92" s="713"/>
      <c r="AE92" s="713"/>
      <c r="AF92" s="714"/>
      <c r="AG92" s="702"/>
      <c r="AH92" s="722" t="s">
        <v>2300</v>
      </c>
      <c r="AI92" s="722" t="s">
        <v>2302</v>
      </c>
      <c r="AJ92" s="784" t="s">
        <v>2301</v>
      </c>
      <c r="AK92" s="784" t="s">
        <v>5461</v>
      </c>
      <c r="AL92" s="784" t="s">
        <v>2303</v>
      </c>
      <c r="AM92" s="822"/>
      <c r="AN92" s="715"/>
      <c r="AP92" s="826" t="s">
        <v>5441</v>
      </c>
      <c r="AQ92" s="722" t="s">
        <v>2255</v>
      </c>
      <c r="AR92" s="715"/>
    </row>
    <row r="93" spans="1:44" s="693" customFormat="1" x14ac:dyDescent="0.2">
      <c r="A93" s="708" t="s">
        <v>594</v>
      </c>
      <c r="B93" s="724"/>
      <c r="C93" s="713" t="s">
        <v>913</v>
      </c>
      <c r="D93" s="692"/>
      <c r="E93" s="819" t="s">
        <v>2208</v>
      </c>
      <c r="G93" s="708" t="s">
        <v>2569</v>
      </c>
      <c r="H93" s="717" t="s">
        <v>928</v>
      </c>
      <c r="I93" s="708"/>
      <c r="J93" s="708"/>
      <c r="K93" s="717" t="s">
        <v>2216</v>
      </c>
      <c r="L93" s="719" t="s">
        <v>979</v>
      </c>
      <c r="M93" s="696"/>
      <c r="N93" s="696">
        <v>1.59</v>
      </c>
      <c r="O93" s="821">
        <v>50</v>
      </c>
      <c r="P93" s="727">
        <v>1000</v>
      </c>
      <c r="Q93" s="711">
        <v>1.7999999999999999E-2</v>
      </c>
      <c r="R93" s="712">
        <v>2.125</v>
      </c>
      <c r="S93" s="712"/>
      <c r="T93" s="720"/>
      <c r="U93" s="705">
        <v>1.7999999999999999E-2</v>
      </c>
      <c r="V93" s="713">
        <v>2</v>
      </c>
      <c r="W93" s="713">
        <v>0.25</v>
      </c>
      <c r="X93" s="714">
        <v>3</v>
      </c>
      <c r="Y93" s="705">
        <v>1</v>
      </c>
      <c r="Z93" s="713">
        <v>7.25</v>
      </c>
      <c r="AA93" s="713">
        <v>6.375</v>
      </c>
      <c r="AB93" s="714">
        <v>2.125</v>
      </c>
      <c r="AC93" s="705">
        <v>21.08</v>
      </c>
      <c r="AD93" s="713">
        <v>15</v>
      </c>
      <c r="AE93" s="713">
        <v>10.75</v>
      </c>
      <c r="AF93" s="714">
        <v>13.25</v>
      </c>
      <c r="AG93" s="702">
        <f t="shared" si="3"/>
        <v>1.2364366319444444</v>
      </c>
      <c r="AH93" s="728" t="s">
        <v>2296</v>
      </c>
      <c r="AI93" s="827" t="s">
        <v>2272</v>
      </c>
      <c r="AJ93" s="827" t="s">
        <v>2297</v>
      </c>
      <c r="AK93" s="827" t="s">
        <v>2298</v>
      </c>
      <c r="AL93" s="828" t="s">
        <v>2275</v>
      </c>
      <c r="AM93" s="822" t="s">
        <v>2331</v>
      </c>
      <c r="AN93" s="715"/>
      <c r="AO93" s="730"/>
      <c r="AP93" s="668" t="s">
        <v>2294</v>
      </c>
      <c r="AQ93" s="722" t="s">
        <v>2255</v>
      </c>
      <c r="AR93" s="715"/>
    </row>
    <row r="94" spans="1:44" s="693" customFormat="1" x14ac:dyDescent="0.2">
      <c r="A94" s="708" t="s">
        <v>594</v>
      </c>
      <c r="B94" s="724"/>
      <c r="C94" s="713" t="s">
        <v>914</v>
      </c>
      <c r="D94" s="708"/>
      <c r="E94" s="819" t="s">
        <v>2209</v>
      </c>
      <c r="F94" s="693" t="s">
        <v>69</v>
      </c>
      <c r="G94" s="708" t="s">
        <v>2547</v>
      </c>
      <c r="H94" s="717" t="s">
        <v>929</v>
      </c>
      <c r="I94" s="725" t="s">
        <v>3676</v>
      </c>
      <c r="J94" s="725" t="s">
        <v>3677</v>
      </c>
      <c r="K94" s="717" t="s">
        <v>2216</v>
      </c>
      <c r="L94" s="719" t="s">
        <v>979</v>
      </c>
      <c r="M94" s="696"/>
      <c r="N94" s="696">
        <v>2.99</v>
      </c>
      <c r="O94" s="697">
        <v>12</v>
      </c>
      <c r="P94" s="727">
        <v>360</v>
      </c>
      <c r="Q94" s="711">
        <f>CONVERT(15,"g","lbm")</f>
        <v>3.3069339327731637E-2</v>
      </c>
      <c r="R94" s="712">
        <v>1.125</v>
      </c>
      <c r="S94" s="712">
        <v>1.125</v>
      </c>
      <c r="T94" s="720">
        <v>2.5</v>
      </c>
      <c r="U94" s="705">
        <f>CONVERT(25,"g","lbm")</f>
        <v>5.5115565546219394E-2</v>
      </c>
      <c r="V94" s="713">
        <v>3.5</v>
      </c>
      <c r="W94" s="713">
        <v>1.25</v>
      </c>
      <c r="X94" s="714">
        <v>4.375</v>
      </c>
      <c r="Y94" s="705">
        <f>CONVERT(340,"g","lbm")</f>
        <v>0.74957169142858371</v>
      </c>
      <c r="Z94" s="713">
        <v>6.125</v>
      </c>
      <c r="AA94" s="713">
        <v>5.25</v>
      </c>
      <c r="AB94" s="714">
        <v>4.625</v>
      </c>
      <c r="AC94" s="705">
        <v>32.450000000000003</v>
      </c>
      <c r="AD94" s="713">
        <v>27</v>
      </c>
      <c r="AE94" s="713">
        <v>13</v>
      </c>
      <c r="AF94" s="714">
        <v>19.5</v>
      </c>
      <c r="AG94" s="702">
        <f t="shared" si="3"/>
        <v>3.9609375</v>
      </c>
      <c r="AH94" s="827" t="s">
        <v>2292</v>
      </c>
      <c r="AI94" s="827" t="s">
        <v>2272</v>
      </c>
      <c r="AJ94" s="827" t="s">
        <v>2297</v>
      </c>
      <c r="AK94" s="827" t="s">
        <v>2293</v>
      </c>
      <c r="AL94" s="828" t="s">
        <v>2275</v>
      </c>
      <c r="AM94" s="822" t="s">
        <v>2330</v>
      </c>
      <c r="AN94" s="715"/>
      <c r="AO94" s="829"/>
      <c r="AP94" s="828" t="s">
        <v>2295</v>
      </c>
      <c r="AQ94" s="722" t="s">
        <v>2255</v>
      </c>
      <c r="AR94" s="715"/>
    </row>
    <row r="95" spans="1:44" s="693" customFormat="1" x14ac:dyDescent="0.2">
      <c r="A95" s="708" t="s">
        <v>594</v>
      </c>
      <c r="B95" s="724"/>
      <c r="C95" s="692" t="s">
        <v>836</v>
      </c>
      <c r="D95" s="692"/>
      <c r="E95" s="668" t="s">
        <v>2210</v>
      </c>
      <c r="G95" s="708" t="s">
        <v>2558</v>
      </c>
      <c r="H95" s="717" t="s">
        <v>839</v>
      </c>
      <c r="I95" s="725" t="s">
        <v>3704</v>
      </c>
      <c r="J95" s="725" t="s">
        <v>3705</v>
      </c>
      <c r="K95" s="717" t="s">
        <v>2216</v>
      </c>
      <c r="L95" s="719" t="s">
        <v>979</v>
      </c>
      <c r="M95" s="696"/>
      <c r="N95" s="696">
        <v>2.99</v>
      </c>
      <c r="O95" s="697">
        <v>12</v>
      </c>
      <c r="P95" s="727">
        <v>240</v>
      </c>
      <c r="Q95" s="711">
        <v>0.12</v>
      </c>
      <c r="R95" s="712">
        <v>2.125</v>
      </c>
      <c r="S95" s="712"/>
      <c r="T95" s="720"/>
      <c r="U95" s="705">
        <f>CONVERT(65,"g","lbm")</f>
        <v>0.14330047042017041</v>
      </c>
      <c r="V95" s="713">
        <v>5</v>
      </c>
      <c r="W95" s="713">
        <v>1.5</v>
      </c>
      <c r="X95" s="714">
        <v>2.875</v>
      </c>
      <c r="Y95" s="705">
        <f>CONVERT(880,"g","lbm")</f>
        <v>1.9400679072269227</v>
      </c>
      <c r="Z95" s="713">
        <v>10.25</v>
      </c>
      <c r="AA95" s="713">
        <v>5.75</v>
      </c>
      <c r="AB95" s="714">
        <v>3.25</v>
      </c>
      <c r="AC95" s="705">
        <v>42</v>
      </c>
      <c r="AD95" s="713">
        <v>21</v>
      </c>
      <c r="AE95" s="713">
        <v>16.5</v>
      </c>
      <c r="AF95" s="714">
        <v>11</v>
      </c>
      <c r="AG95" s="702">
        <f t="shared" si="3"/>
        <v>2.2057291666666665</v>
      </c>
      <c r="AH95" s="668" t="s">
        <v>2305</v>
      </c>
      <c r="AI95" s="668" t="s">
        <v>2306</v>
      </c>
      <c r="AJ95" s="668" t="s">
        <v>2307</v>
      </c>
      <c r="AK95" s="668" t="s">
        <v>2308</v>
      </c>
      <c r="AL95" s="668" t="s">
        <v>2309</v>
      </c>
      <c r="AM95" s="822" t="s">
        <v>2333</v>
      </c>
      <c r="AN95" s="715"/>
      <c r="AO95" s="730"/>
      <c r="AP95" s="668" t="s">
        <v>2304</v>
      </c>
      <c r="AQ95" s="722" t="s">
        <v>2255</v>
      </c>
      <c r="AR95" s="715"/>
    </row>
    <row r="96" spans="1:44" s="693" customFormat="1" x14ac:dyDescent="0.2">
      <c r="A96" s="708" t="s">
        <v>594</v>
      </c>
      <c r="B96" s="724"/>
      <c r="C96" s="692" t="s">
        <v>837</v>
      </c>
      <c r="D96" s="692"/>
      <c r="E96" s="668" t="s">
        <v>838</v>
      </c>
      <c r="G96" s="708" t="s">
        <v>2557</v>
      </c>
      <c r="H96" s="717" t="s">
        <v>769</v>
      </c>
      <c r="I96" s="725" t="s">
        <v>3702</v>
      </c>
      <c r="J96" s="725" t="s">
        <v>3703</v>
      </c>
      <c r="K96" s="717" t="s">
        <v>2216</v>
      </c>
      <c r="L96" s="719" t="s">
        <v>979</v>
      </c>
      <c r="M96" s="696"/>
      <c r="N96" s="696">
        <v>2.99</v>
      </c>
      <c r="O96" s="697">
        <v>12</v>
      </c>
      <c r="P96" s="727">
        <v>288</v>
      </c>
      <c r="Q96" s="711">
        <v>6.6000000000000003E-2</v>
      </c>
      <c r="R96" s="712">
        <v>3.75</v>
      </c>
      <c r="S96" s="712"/>
      <c r="T96" s="720"/>
      <c r="U96" s="705">
        <v>6.6000000000000003E-2</v>
      </c>
      <c r="V96" s="713">
        <v>4.375</v>
      </c>
      <c r="W96" s="713">
        <v>0.75</v>
      </c>
      <c r="X96" s="714">
        <v>2.5625</v>
      </c>
      <c r="Y96" s="705">
        <v>1</v>
      </c>
      <c r="Z96" s="713">
        <v>8.875</v>
      </c>
      <c r="AA96" s="713">
        <v>4.5</v>
      </c>
      <c r="AB96" s="714">
        <v>2.5625</v>
      </c>
      <c r="AC96" s="705">
        <v>25.414999999999999</v>
      </c>
      <c r="AD96" s="713">
        <v>18.5</v>
      </c>
      <c r="AE96" s="713">
        <v>14</v>
      </c>
      <c r="AF96" s="714">
        <v>11</v>
      </c>
      <c r="AG96" s="702">
        <f t="shared" si="3"/>
        <v>1.6487268518518519</v>
      </c>
      <c r="AH96" s="668" t="s">
        <v>2318</v>
      </c>
      <c r="AI96" s="668" t="s">
        <v>2319</v>
      </c>
      <c r="AJ96" s="668" t="s">
        <v>2306</v>
      </c>
      <c r="AK96" s="668" t="s">
        <v>2320</v>
      </c>
      <c r="AL96" s="668" t="s">
        <v>2321</v>
      </c>
      <c r="AM96" s="822" t="s">
        <v>2332</v>
      </c>
      <c r="AN96" s="715"/>
      <c r="AO96" s="730"/>
      <c r="AP96" s="668" t="s">
        <v>2322</v>
      </c>
      <c r="AQ96" s="722" t="s">
        <v>2255</v>
      </c>
      <c r="AR96" s="715"/>
    </row>
    <row r="97" spans="1:44" s="693" customFormat="1" x14ac:dyDescent="0.2">
      <c r="A97" s="708" t="s">
        <v>594</v>
      </c>
      <c r="B97" s="724"/>
      <c r="C97" s="779" t="s">
        <v>1027</v>
      </c>
      <c r="D97" s="692"/>
      <c r="E97" s="733" t="s">
        <v>1594</v>
      </c>
      <c r="G97" s="708" t="s">
        <v>2557</v>
      </c>
      <c r="H97" s="830" t="s">
        <v>1029</v>
      </c>
      <c r="I97" s="830"/>
      <c r="J97" s="830"/>
      <c r="K97" s="717" t="s">
        <v>2216</v>
      </c>
      <c r="L97" s="719" t="s">
        <v>979</v>
      </c>
      <c r="M97" s="696"/>
      <c r="N97" s="696">
        <v>1.59</v>
      </c>
      <c r="O97" s="697">
        <v>12</v>
      </c>
      <c r="P97" s="727">
        <v>288</v>
      </c>
      <c r="Q97" s="711">
        <v>6.3E-2</v>
      </c>
      <c r="R97" s="712">
        <v>2.125</v>
      </c>
      <c r="S97" s="712"/>
      <c r="T97" s="720"/>
      <c r="U97" s="705">
        <v>6.3E-2</v>
      </c>
      <c r="V97" s="713">
        <v>4.625</v>
      </c>
      <c r="W97" s="713">
        <v>2.625</v>
      </c>
      <c r="X97" s="714">
        <v>1.125</v>
      </c>
      <c r="Y97" s="705">
        <v>1.45</v>
      </c>
      <c r="Z97" s="713">
        <v>9.25</v>
      </c>
      <c r="AA97" s="713">
        <v>6.875</v>
      </c>
      <c r="AB97" s="714">
        <v>2.625</v>
      </c>
      <c r="AC97" s="705">
        <v>42.09</v>
      </c>
      <c r="AD97" s="713">
        <v>18.89</v>
      </c>
      <c r="AE97" s="713">
        <v>14.37</v>
      </c>
      <c r="AF97" s="714">
        <v>15.94</v>
      </c>
      <c r="AG97" s="702">
        <f t="shared" si="3"/>
        <v>2.5039941215277781</v>
      </c>
      <c r="AH97" s="668" t="s">
        <v>2324</v>
      </c>
      <c r="AI97" s="668" t="s">
        <v>2306</v>
      </c>
      <c r="AJ97" s="668" t="s">
        <v>2320</v>
      </c>
      <c r="AK97" s="668" t="s">
        <v>2314</v>
      </c>
      <c r="AL97" s="822" t="s">
        <v>2336</v>
      </c>
      <c r="AM97" s="722"/>
      <c r="AN97" s="715"/>
      <c r="AO97" s="730"/>
      <c r="AP97" s="668" t="s">
        <v>2323</v>
      </c>
      <c r="AQ97" s="722" t="s">
        <v>2255</v>
      </c>
      <c r="AR97" s="715"/>
    </row>
    <row r="98" spans="1:44" s="693" customFormat="1" x14ac:dyDescent="0.2">
      <c r="A98" s="708" t="s">
        <v>594</v>
      </c>
      <c r="B98" s="724"/>
      <c r="C98" s="779" t="s">
        <v>1126</v>
      </c>
      <c r="D98" s="692"/>
      <c r="E98" s="733" t="s">
        <v>2213</v>
      </c>
      <c r="G98" s="708" t="s">
        <v>2557</v>
      </c>
      <c r="H98" s="830" t="s">
        <v>1634</v>
      </c>
      <c r="I98" s="830"/>
      <c r="J98" s="830"/>
      <c r="K98" s="717" t="s">
        <v>2216</v>
      </c>
      <c r="L98" s="719" t="s">
        <v>1633</v>
      </c>
      <c r="M98" s="696"/>
      <c r="N98" s="696">
        <v>1.99</v>
      </c>
      <c r="O98" s="697">
        <v>1</v>
      </c>
      <c r="P98" s="727">
        <v>24</v>
      </c>
      <c r="Q98" s="711">
        <v>0.15</v>
      </c>
      <c r="R98" s="712">
        <v>1.75</v>
      </c>
      <c r="S98" s="712"/>
      <c r="T98" s="720"/>
      <c r="U98" s="705">
        <v>0.15</v>
      </c>
      <c r="V98" s="713">
        <v>2.125</v>
      </c>
      <c r="W98" s="713">
        <v>2.875</v>
      </c>
      <c r="X98" s="714">
        <v>2.5</v>
      </c>
      <c r="Y98" s="705" t="s">
        <v>259</v>
      </c>
      <c r="Z98" s="713" t="s">
        <v>259</v>
      </c>
      <c r="AA98" s="713" t="s">
        <v>259</v>
      </c>
      <c r="AB98" s="714" t="s">
        <v>259</v>
      </c>
      <c r="AC98" s="705">
        <v>3.7</v>
      </c>
      <c r="AD98" s="713">
        <v>7</v>
      </c>
      <c r="AE98" s="713">
        <v>5.375</v>
      </c>
      <c r="AF98" s="714">
        <v>12.25</v>
      </c>
      <c r="AG98" s="702">
        <f t="shared" si="3"/>
        <v>0.26672815393518517</v>
      </c>
      <c r="AH98" s="722" t="s">
        <v>2315</v>
      </c>
      <c r="AI98" s="722" t="s">
        <v>2312</v>
      </c>
      <c r="AJ98" s="722" t="s">
        <v>2306</v>
      </c>
      <c r="AK98" s="722" t="s">
        <v>2313</v>
      </c>
      <c r="AL98" s="722" t="s">
        <v>2316</v>
      </c>
      <c r="AM98" s="822" t="s">
        <v>2335</v>
      </c>
      <c r="AN98" s="715"/>
      <c r="AO98" s="730"/>
      <c r="AP98" s="668" t="s">
        <v>2317</v>
      </c>
      <c r="AQ98" s="722" t="s">
        <v>2255</v>
      </c>
      <c r="AR98" s="715"/>
    </row>
    <row r="99" spans="1:44" x14ac:dyDescent="0.2">
      <c r="A99" s="708" t="s">
        <v>594</v>
      </c>
      <c r="B99" s="731"/>
      <c r="C99" s="732" t="s">
        <v>2498</v>
      </c>
      <c r="E99" s="692" t="s">
        <v>2497</v>
      </c>
      <c r="F99" s="733" t="s">
        <v>483</v>
      </c>
      <c r="G99" s="733" t="s">
        <v>2570</v>
      </c>
      <c r="H99" s="725" t="s">
        <v>2584</v>
      </c>
      <c r="I99" s="725" t="s">
        <v>2585</v>
      </c>
      <c r="J99" s="725" t="s">
        <v>2586</v>
      </c>
      <c r="K99" s="734" t="s">
        <v>2603</v>
      </c>
      <c r="L99" s="735" t="s">
        <v>2602</v>
      </c>
      <c r="M99" s="696"/>
      <c r="N99" s="696">
        <v>19.989999999999998</v>
      </c>
      <c r="O99" s="733">
        <v>6</v>
      </c>
      <c r="P99" s="737">
        <v>36</v>
      </c>
      <c r="Q99" s="711">
        <f>CONVERT(250,"g","lbm")</f>
        <v>0.55115565546219392</v>
      </c>
      <c r="R99" s="712">
        <v>6.75</v>
      </c>
      <c r="S99" s="712">
        <v>1.75</v>
      </c>
      <c r="T99" s="738">
        <v>6.25</v>
      </c>
      <c r="U99" s="705">
        <f>CONVERT(260,"g","lbm")</f>
        <v>0.57320188168068165</v>
      </c>
      <c r="V99" s="733">
        <v>6.75</v>
      </c>
      <c r="W99" s="733">
        <v>1.75</v>
      </c>
      <c r="X99" s="737">
        <v>6.75</v>
      </c>
      <c r="Y99" s="705">
        <f>CONVERT(1655,"g","lbm")</f>
        <v>3.6486504391597236</v>
      </c>
      <c r="Z99" s="777">
        <v>9.75</v>
      </c>
      <c r="AA99" s="777">
        <v>6.5</v>
      </c>
      <c r="AB99" s="778">
        <v>6.125</v>
      </c>
      <c r="AC99" s="705">
        <f>CONVERT(7.36,"kg","lbm")</f>
        <v>16.226022496806991</v>
      </c>
      <c r="AD99" s="713">
        <f>CONVERT(50,"cm","in")</f>
        <v>19.685039370078741</v>
      </c>
      <c r="AE99" s="713">
        <f>CONVERT(26,"cm","in")</f>
        <v>10.236220472440944</v>
      </c>
      <c r="AF99" s="714">
        <f>CONVERT(33.5,"cm","in")</f>
        <v>13.188976377952756</v>
      </c>
      <c r="AG99" s="702">
        <f t="shared" si="3"/>
        <v>1.5379537357208279</v>
      </c>
      <c r="AH99" s="722" t="s">
        <v>2644</v>
      </c>
      <c r="AI99" s="722" t="s">
        <v>3388</v>
      </c>
      <c r="AJ99" s="722" t="s">
        <v>2641</v>
      </c>
      <c r="AK99" s="722" t="s">
        <v>2642</v>
      </c>
      <c r="AL99" s="828" t="s">
        <v>2643</v>
      </c>
      <c r="AM99" s="807" t="s">
        <v>3315</v>
      </c>
      <c r="AP99" s="733" t="s">
        <v>3314</v>
      </c>
      <c r="AQ99" s="722" t="s">
        <v>2255</v>
      </c>
    </row>
    <row r="100" spans="1:44" s="693" customFormat="1" x14ac:dyDescent="0.2">
      <c r="A100" s="708" t="s">
        <v>594</v>
      </c>
      <c r="B100" s="724"/>
      <c r="C100" s="779" t="s">
        <v>1511</v>
      </c>
      <c r="D100" s="692"/>
      <c r="E100" s="733" t="s">
        <v>1592</v>
      </c>
      <c r="G100" s="708" t="s">
        <v>2522</v>
      </c>
      <c r="H100" s="831" t="s">
        <v>1876</v>
      </c>
      <c r="I100" s="832" t="s">
        <v>259</v>
      </c>
      <c r="J100" s="832" t="s">
        <v>259</v>
      </c>
      <c r="K100" s="717" t="s">
        <v>2216</v>
      </c>
      <c r="L100" s="719" t="s">
        <v>979</v>
      </c>
      <c r="M100" s="696"/>
      <c r="N100" s="696">
        <v>318.48</v>
      </c>
      <c r="O100" s="697">
        <v>1</v>
      </c>
      <c r="P100" s="727">
        <v>1</v>
      </c>
      <c r="Q100" s="711" t="s">
        <v>259</v>
      </c>
      <c r="R100" s="712" t="s">
        <v>259</v>
      </c>
      <c r="S100" s="712" t="s">
        <v>259</v>
      </c>
      <c r="T100" s="720" t="s">
        <v>259</v>
      </c>
      <c r="U100" s="741"/>
      <c r="V100" s="713">
        <v>13</v>
      </c>
      <c r="W100" s="713">
        <v>6.25</v>
      </c>
      <c r="X100" s="714">
        <v>16.5</v>
      </c>
      <c r="Y100" s="705" t="s">
        <v>259</v>
      </c>
      <c r="Z100" s="713" t="s">
        <v>259</v>
      </c>
      <c r="AA100" s="713" t="s">
        <v>259</v>
      </c>
      <c r="AB100" s="714" t="s">
        <v>259</v>
      </c>
      <c r="AC100" s="705">
        <v>10.35</v>
      </c>
      <c r="AD100" s="713">
        <v>14.25</v>
      </c>
      <c r="AE100" s="713">
        <v>14.25</v>
      </c>
      <c r="AF100" s="714">
        <v>8.5</v>
      </c>
      <c r="AG100" s="702">
        <f t="shared" si="3"/>
        <v>0.99886067708333337</v>
      </c>
      <c r="AH100" s="721" t="s">
        <v>2283</v>
      </c>
      <c r="AI100" s="721" t="s">
        <v>2285</v>
      </c>
      <c r="AJ100" s="721"/>
      <c r="AK100" s="721"/>
      <c r="AL100" s="721"/>
      <c r="AM100" s="721"/>
      <c r="AN100" s="728"/>
      <c r="AO100" s="729"/>
      <c r="AP100" s="728"/>
      <c r="AQ100" s="728"/>
      <c r="AR100" s="728"/>
    </row>
    <row r="101" spans="1:44" s="693" customFormat="1" x14ac:dyDescent="0.2">
      <c r="A101" s="708" t="s">
        <v>594</v>
      </c>
      <c r="B101" s="724"/>
      <c r="C101" s="779" t="s">
        <v>1512</v>
      </c>
      <c r="D101" s="692"/>
      <c r="E101" s="733" t="s">
        <v>1593</v>
      </c>
      <c r="G101" s="708" t="s">
        <v>2522</v>
      </c>
      <c r="H101" s="780" t="s">
        <v>1877</v>
      </c>
      <c r="I101" s="833" t="s">
        <v>259</v>
      </c>
      <c r="J101" s="833" t="s">
        <v>259</v>
      </c>
      <c r="K101" s="717" t="s">
        <v>2216</v>
      </c>
      <c r="L101" s="719" t="s">
        <v>979</v>
      </c>
      <c r="M101" s="696"/>
      <c r="N101" s="696">
        <v>636.96</v>
      </c>
      <c r="O101" s="697">
        <v>1</v>
      </c>
      <c r="P101" s="727">
        <v>1</v>
      </c>
      <c r="Q101" s="711" t="s">
        <v>259</v>
      </c>
      <c r="R101" s="712" t="s">
        <v>259</v>
      </c>
      <c r="S101" s="712" t="s">
        <v>259</v>
      </c>
      <c r="T101" s="720" t="s">
        <v>259</v>
      </c>
      <c r="U101" s="741"/>
      <c r="V101" s="713">
        <v>11.5</v>
      </c>
      <c r="W101" s="713">
        <v>16</v>
      </c>
      <c r="X101" s="714">
        <v>64</v>
      </c>
      <c r="Y101" s="705" t="s">
        <v>259</v>
      </c>
      <c r="Z101" s="713" t="s">
        <v>259</v>
      </c>
      <c r="AA101" s="713" t="s">
        <v>259</v>
      </c>
      <c r="AB101" s="714" t="s">
        <v>259</v>
      </c>
      <c r="AC101" s="705">
        <v>22.5</v>
      </c>
      <c r="AD101" s="713">
        <v>38.75</v>
      </c>
      <c r="AE101" s="713">
        <v>12</v>
      </c>
      <c r="AF101" s="714">
        <v>9</v>
      </c>
      <c r="AG101" s="702">
        <f t="shared" si="3"/>
        <v>2.421875</v>
      </c>
      <c r="AH101" s="721" t="s">
        <v>2284</v>
      </c>
      <c r="AI101" s="721" t="s">
        <v>2286</v>
      </c>
      <c r="AJ101" s="721"/>
      <c r="AK101" s="721"/>
      <c r="AL101" s="721"/>
      <c r="AM101" s="721"/>
      <c r="AN101" s="728"/>
      <c r="AO101" s="729"/>
      <c r="AP101" s="728"/>
      <c r="AQ101" s="728"/>
      <c r="AR101" s="728"/>
    </row>
    <row r="102" spans="1:44" x14ac:dyDescent="0.2">
      <c r="A102" s="708" t="s">
        <v>594</v>
      </c>
      <c r="B102" s="805"/>
      <c r="C102" s="733" t="s">
        <v>3966</v>
      </c>
      <c r="E102" s="733" t="s">
        <v>3935</v>
      </c>
      <c r="G102" s="668" t="s">
        <v>2557</v>
      </c>
      <c r="H102" s="834">
        <v>54269002169</v>
      </c>
      <c r="I102" s="733"/>
      <c r="J102" s="733"/>
      <c r="K102" s="717" t="s">
        <v>2216</v>
      </c>
      <c r="L102" s="669" t="s">
        <v>979</v>
      </c>
      <c r="M102" s="696"/>
      <c r="N102" s="736">
        <v>5.99</v>
      </c>
      <c r="O102" s="733">
        <v>12</v>
      </c>
      <c r="P102" s="835">
        <v>144</v>
      </c>
      <c r="Q102" s="712">
        <v>0.28000000000000003</v>
      </c>
      <c r="R102" s="712">
        <v>0.3</v>
      </c>
      <c r="S102" s="712" t="s">
        <v>259</v>
      </c>
      <c r="T102" s="836" t="s">
        <v>259</v>
      </c>
      <c r="U102" s="806">
        <v>0.31</v>
      </c>
      <c r="V102" s="668">
        <v>6</v>
      </c>
      <c r="W102" s="668">
        <v>5.5</v>
      </c>
      <c r="X102" s="837">
        <v>1.25</v>
      </c>
      <c r="Y102" s="739">
        <f>U102*O102</f>
        <v>3.7199999999999998</v>
      </c>
      <c r="Z102" s="733">
        <v>5.125</v>
      </c>
      <c r="AA102" s="733">
        <v>8.125</v>
      </c>
      <c r="AB102" s="737">
        <v>5</v>
      </c>
      <c r="AC102" s="837">
        <v>43.65</v>
      </c>
      <c r="AD102" s="733">
        <v>16.5</v>
      </c>
      <c r="AE102" s="733">
        <v>14.96</v>
      </c>
      <c r="AF102" s="737">
        <v>10.23</v>
      </c>
      <c r="AG102" s="806">
        <f t="shared" si="3"/>
        <v>1.4613270833333334</v>
      </c>
      <c r="AH102" s="828" t="s">
        <v>3936</v>
      </c>
      <c r="AI102" s="828" t="s">
        <v>3937</v>
      </c>
      <c r="AJ102" s="828" t="s">
        <v>3938</v>
      </c>
      <c r="AK102" s="828" t="s">
        <v>4373</v>
      </c>
      <c r="AL102" s="828" t="s">
        <v>3939</v>
      </c>
      <c r="AP102" s="67" t="s">
        <v>3969</v>
      </c>
      <c r="AQ102" s="722" t="s">
        <v>2255</v>
      </c>
    </row>
    <row r="103" spans="1:44" x14ac:dyDescent="0.2">
      <c r="A103" s="708" t="s">
        <v>594</v>
      </c>
      <c r="B103" s="805"/>
      <c r="C103" s="733" t="s">
        <v>4295</v>
      </c>
      <c r="E103" s="733" t="s">
        <v>4296</v>
      </c>
      <c r="G103" s="668" t="s">
        <v>2557</v>
      </c>
      <c r="H103" s="834">
        <v>54269002428</v>
      </c>
      <c r="I103" s="733"/>
      <c r="J103" s="733"/>
      <c r="K103" s="717"/>
      <c r="L103" s="669" t="s">
        <v>979</v>
      </c>
      <c r="M103" s="696"/>
      <c r="N103" s="736"/>
      <c r="O103" s="733"/>
      <c r="P103" s="806">
        <v>288</v>
      </c>
      <c r="Q103" s="712"/>
      <c r="R103" s="712"/>
      <c r="S103" s="712"/>
      <c r="T103" s="839"/>
      <c r="U103" s="806"/>
      <c r="Y103" s="739"/>
      <c r="Z103" s="733"/>
      <c r="AA103" s="733"/>
      <c r="AB103" s="737"/>
      <c r="AD103" s="733"/>
      <c r="AE103" s="733"/>
      <c r="AF103" s="737"/>
      <c r="AG103" s="806"/>
      <c r="AH103" s="828"/>
      <c r="AI103" s="828"/>
      <c r="AJ103" s="828"/>
      <c r="AK103" s="828"/>
      <c r="AL103" s="828"/>
      <c r="AP103" s="838"/>
      <c r="AQ103" s="722"/>
    </row>
    <row r="104" spans="1:44" x14ac:dyDescent="0.2">
      <c r="A104" s="668" t="s">
        <v>594</v>
      </c>
      <c r="B104" s="733"/>
      <c r="C104" s="838" t="s">
        <v>4355</v>
      </c>
      <c r="E104" s="668" t="s">
        <v>4351</v>
      </c>
      <c r="H104" s="834">
        <v>54269002527</v>
      </c>
      <c r="I104" s="875">
        <v>10054269002524</v>
      </c>
      <c r="J104" s="875">
        <v>20054269002521</v>
      </c>
      <c r="M104" s="696"/>
      <c r="N104" s="670">
        <v>9.99</v>
      </c>
      <c r="P104" s="848"/>
      <c r="Q104" s="712"/>
      <c r="R104" s="712"/>
      <c r="S104" s="712"/>
      <c r="T104" s="849"/>
      <c r="U104" s="806">
        <v>0.4</v>
      </c>
      <c r="X104" s="848"/>
      <c r="AB104" s="848"/>
      <c r="AF104" s="848"/>
      <c r="AH104" s="20" t="s">
        <v>5408</v>
      </c>
      <c r="AI104" s="668" t="s">
        <v>5409</v>
      </c>
      <c r="AJ104" s="668" t="s">
        <v>5410</v>
      </c>
      <c r="AK104" s="20" t="s">
        <v>5411</v>
      </c>
      <c r="AQ104" s="722" t="s">
        <v>2255</v>
      </c>
    </row>
    <row r="105" spans="1:44" x14ac:dyDescent="0.2">
      <c r="A105" s="668" t="s">
        <v>594</v>
      </c>
      <c r="B105" s="733"/>
      <c r="C105" s="838" t="s">
        <v>4354</v>
      </c>
      <c r="E105" s="668" t="s">
        <v>4352</v>
      </c>
      <c r="H105" s="834">
        <v>54269002534</v>
      </c>
      <c r="I105" s="875">
        <v>10054269002531</v>
      </c>
      <c r="J105" s="875">
        <v>20054269002538</v>
      </c>
      <c r="M105" s="696"/>
      <c r="N105" s="670">
        <v>4.99</v>
      </c>
      <c r="P105" s="848"/>
      <c r="Q105" s="712"/>
      <c r="R105" s="712"/>
      <c r="S105" s="712"/>
      <c r="T105" s="849"/>
      <c r="U105" s="806">
        <v>0.23</v>
      </c>
      <c r="X105" s="848"/>
      <c r="AB105" s="848"/>
      <c r="AF105" s="848"/>
      <c r="AH105" s="20" t="s">
        <v>5408</v>
      </c>
      <c r="AI105" s="668" t="s">
        <v>5409</v>
      </c>
      <c r="AJ105" s="668" t="s">
        <v>5410</v>
      </c>
      <c r="AK105" s="668" t="s">
        <v>5411</v>
      </c>
      <c r="AQ105" s="722" t="s">
        <v>2255</v>
      </c>
    </row>
    <row r="106" spans="1:44" x14ac:dyDescent="0.2">
      <c r="B106" s="733"/>
      <c r="C106" s="838"/>
      <c r="H106" s="834"/>
      <c r="I106" s="875"/>
      <c r="J106" s="875"/>
      <c r="M106" s="696"/>
      <c r="P106" s="848"/>
      <c r="Q106" s="712"/>
      <c r="R106" s="712"/>
      <c r="S106" s="712"/>
      <c r="T106" s="849"/>
      <c r="U106" s="806"/>
      <c r="X106" s="848"/>
      <c r="AB106" s="848"/>
      <c r="AF106" s="848"/>
      <c r="AH106" s="20"/>
      <c r="AQ106" s="722"/>
    </row>
    <row r="107" spans="1:44" x14ac:dyDescent="0.2">
      <c r="B107" s="733"/>
      <c r="C107" s="838"/>
      <c r="H107" s="834"/>
      <c r="I107" s="875"/>
      <c r="J107" s="875"/>
      <c r="M107" s="696"/>
      <c r="P107" s="848"/>
      <c r="Q107" s="712"/>
      <c r="R107" s="712"/>
      <c r="S107" s="712"/>
      <c r="T107" s="849"/>
      <c r="U107" s="806"/>
      <c r="X107" s="848"/>
      <c r="AB107" s="848"/>
      <c r="AF107" s="848"/>
      <c r="AH107" s="20"/>
      <c r="AQ107" s="722"/>
    </row>
    <row r="108" spans="1:44" x14ac:dyDescent="0.2">
      <c r="B108" s="733"/>
      <c r="C108" s="838"/>
      <c r="H108" s="834"/>
      <c r="I108" s="875"/>
      <c r="J108" s="875"/>
      <c r="M108" s="696"/>
      <c r="P108" s="848"/>
      <c r="Q108" s="712"/>
      <c r="R108" s="712"/>
      <c r="S108" s="712"/>
      <c r="T108" s="849"/>
      <c r="U108" s="806"/>
      <c r="X108" s="848"/>
      <c r="AB108" s="848"/>
      <c r="AF108" s="848"/>
      <c r="AH108" s="20"/>
      <c r="AQ108" s="722"/>
    </row>
    <row r="109" spans="1:44" x14ac:dyDescent="0.2">
      <c r="B109" s="733"/>
      <c r="C109" s="838"/>
      <c r="H109" s="834"/>
      <c r="I109" s="875"/>
      <c r="J109" s="875"/>
      <c r="M109" s="696"/>
      <c r="P109" s="848"/>
      <c r="Q109" s="712"/>
      <c r="R109" s="712"/>
      <c r="S109" s="712"/>
      <c r="T109" s="849"/>
      <c r="U109" s="806"/>
      <c r="X109" s="848"/>
      <c r="AB109" s="848"/>
      <c r="AF109" s="848"/>
      <c r="AH109" s="20"/>
      <c r="AQ109" s="722"/>
    </row>
    <row r="110" spans="1:44" x14ac:dyDescent="0.2">
      <c r="A110" s="708" t="s">
        <v>594</v>
      </c>
      <c r="B110" s="805"/>
      <c r="C110" s="733" t="s">
        <v>3753</v>
      </c>
      <c r="E110" s="733" t="s">
        <v>3754</v>
      </c>
      <c r="F110" s="733" t="s">
        <v>1332</v>
      </c>
      <c r="G110" s="733" t="s">
        <v>3619</v>
      </c>
      <c r="H110" s="834">
        <v>54269001988</v>
      </c>
      <c r="I110" s="840">
        <v>10054269001985</v>
      </c>
      <c r="J110" s="840">
        <v>20054269001982</v>
      </c>
      <c r="K110" s="782" t="s">
        <v>2604</v>
      </c>
      <c r="L110" s="735" t="s">
        <v>975</v>
      </c>
      <c r="M110" s="696"/>
      <c r="N110" s="736">
        <v>24.99</v>
      </c>
      <c r="O110" s="733">
        <v>6</v>
      </c>
      <c r="P110" s="737">
        <v>24</v>
      </c>
      <c r="Q110" s="841">
        <v>0.15</v>
      </c>
      <c r="R110" s="712">
        <v>1.1875</v>
      </c>
      <c r="S110" s="712">
        <v>1.1879999999999999</v>
      </c>
      <c r="T110" s="738">
        <v>5.375</v>
      </c>
      <c r="U110" s="842">
        <v>0.23</v>
      </c>
      <c r="V110" s="733">
        <v>7.21</v>
      </c>
      <c r="W110" s="733">
        <v>5.22</v>
      </c>
      <c r="X110" s="737">
        <v>7.75</v>
      </c>
      <c r="Y110" s="739">
        <f>U110*O110</f>
        <v>1.3800000000000001</v>
      </c>
      <c r="Z110" s="733">
        <v>6.75</v>
      </c>
      <c r="AA110" s="733">
        <v>4.375</v>
      </c>
      <c r="AB110" s="737">
        <v>7.5</v>
      </c>
      <c r="AC110" s="739">
        <f>U110*P110</f>
        <v>5.5200000000000005</v>
      </c>
      <c r="AD110" s="733">
        <v>14</v>
      </c>
      <c r="AE110" s="733">
        <v>9.25</v>
      </c>
      <c r="AF110" s="737">
        <v>8.1750000000000007</v>
      </c>
      <c r="AG110" s="806">
        <f>AD110*AE110*AF110/(12^3)</f>
        <v>0.61265190972222228</v>
      </c>
      <c r="AH110" s="733" t="s">
        <v>3857</v>
      </c>
      <c r="AI110" s="843" t="s">
        <v>3858</v>
      </c>
      <c r="AJ110" s="843" t="s">
        <v>3859</v>
      </c>
      <c r="AK110" s="843" t="s">
        <v>3860</v>
      </c>
      <c r="AL110" s="843" t="s">
        <v>3861</v>
      </c>
      <c r="AM110" s="733"/>
      <c r="AN110" s="733"/>
      <c r="AO110" s="733"/>
      <c r="AP110" s="668" t="s">
        <v>3980</v>
      </c>
      <c r="AQ110" s="722" t="s">
        <v>2255</v>
      </c>
      <c r="AR110" s="733"/>
    </row>
    <row r="111" spans="1:44" x14ac:dyDescent="0.2">
      <c r="A111" s="708" t="s">
        <v>594</v>
      </c>
      <c r="B111" s="805"/>
      <c r="C111" s="733" t="s">
        <v>3753</v>
      </c>
      <c r="E111" s="733" t="s">
        <v>3754</v>
      </c>
      <c r="F111" s="733" t="s">
        <v>3817</v>
      </c>
      <c r="G111" s="733" t="s">
        <v>3619</v>
      </c>
      <c r="H111" s="834">
        <v>54269001858</v>
      </c>
      <c r="I111" s="840">
        <v>10054269001855</v>
      </c>
      <c r="J111" s="840">
        <v>20054269001852</v>
      </c>
      <c r="K111" s="782" t="s">
        <v>2604</v>
      </c>
      <c r="L111" s="735" t="s">
        <v>975</v>
      </c>
      <c r="M111" s="696"/>
      <c r="N111" s="736">
        <v>24.99</v>
      </c>
      <c r="O111" s="733">
        <v>6</v>
      </c>
      <c r="P111" s="737">
        <v>24</v>
      </c>
      <c r="Q111" s="841">
        <v>0.15</v>
      </c>
      <c r="R111" s="712">
        <v>1.1875</v>
      </c>
      <c r="S111" s="712">
        <v>1.1879999999999999</v>
      </c>
      <c r="T111" s="738">
        <v>5.375</v>
      </c>
      <c r="U111" s="842">
        <v>0.23</v>
      </c>
      <c r="V111" s="733">
        <v>7.21</v>
      </c>
      <c r="W111" s="733">
        <v>5.22</v>
      </c>
      <c r="X111" s="737">
        <v>7.75</v>
      </c>
      <c r="Y111" s="739">
        <f>U111*O111</f>
        <v>1.3800000000000001</v>
      </c>
      <c r="Z111" s="733">
        <v>6.75</v>
      </c>
      <c r="AA111" s="733">
        <v>4.375</v>
      </c>
      <c r="AB111" s="737">
        <v>7.5</v>
      </c>
      <c r="AC111" s="739">
        <f>U111*P111</f>
        <v>5.5200000000000005</v>
      </c>
      <c r="AD111" s="733">
        <v>14</v>
      </c>
      <c r="AE111" s="733">
        <v>9.25</v>
      </c>
      <c r="AF111" s="737">
        <v>8.1750000000000007</v>
      </c>
      <c r="AG111" s="806">
        <f>AD111*AE111*AF111/(12^3)</f>
        <v>0.61265190972222228</v>
      </c>
      <c r="AH111" s="733" t="s">
        <v>3857</v>
      </c>
      <c r="AI111" s="843" t="s">
        <v>3858</v>
      </c>
      <c r="AJ111" s="843" t="s">
        <v>3859</v>
      </c>
      <c r="AK111" s="843" t="s">
        <v>3860</v>
      </c>
      <c r="AL111" s="843" t="s">
        <v>3861</v>
      </c>
      <c r="AM111" s="733"/>
      <c r="AN111" s="733"/>
      <c r="AO111" s="733"/>
      <c r="AP111" s="668" t="s">
        <v>3980</v>
      </c>
      <c r="AQ111" s="722" t="s">
        <v>2255</v>
      </c>
      <c r="AR111" s="733"/>
    </row>
    <row r="112" spans="1:44" x14ac:dyDescent="0.2">
      <c r="A112" s="708" t="s">
        <v>594</v>
      </c>
      <c r="B112" s="805"/>
      <c r="C112" s="733" t="s">
        <v>3818</v>
      </c>
      <c r="E112" s="842" t="s">
        <v>3819</v>
      </c>
      <c r="F112" s="733" t="s">
        <v>1332</v>
      </c>
      <c r="G112" s="733" t="s">
        <v>3619</v>
      </c>
      <c r="H112" s="834">
        <v>54269002008</v>
      </c>
      <c r="I112" s="840">
        <v>10054269002005</v>
      </c>
      <c r="J112" s="840">
        <v>20054269002002</v>
      </c>
      <c r="K112" s="717" t="s">
        <v>2220</v>
      </c>
      <c r="L112" s="735" t="s">
        <v>975</v>
      </c>
      <c r="M112" s="696"/>
      <c r="N112" s="736">
        <v>19.989999999999998</v>
      </c>
      <c r="O112" s="733">
        <v>6</v>
      </c>
      <c r="P112" s="737">
        <v>24</v>
      </c>
      <c r="Q112" s="705">
        <v>0.09</v>
      </c>
      <c r="R112" s="842">
        <v>1.1879999999999999</v>
      </c>
      <c r="S112" s="842">
        <v>1.1879999999999999</v>
      </c>
      <c r="T112" s="738">
        <v>5.375</v>
      </c>
      <c r="U112" s="842">
        <v>0.17</v>
      </c>
      <c r="V112" s="842">
        <v>7.21</v>
      </c>
      <c r="W112" s="842">
        <v>3.47</v>
      </c>
      <c r="X112" s="842">
        <v>1.18</v>
      </c>
      <c r="Y112" s="739">
        <f>U112*O112</f>
        <v>1.02</v>
      </c>
      <c r="Z112" s="747"/>
      <c r="AA112" s="747"/>
      <c r="AB112" s="748"/>
      <c r="AC112" s="739">
        <f>U112*P112</f>
        <v>4.08</v>
      </c>
      <c r="AD112" s="747"/>
      <c r="AE112" s="747"/>
      <c r="AF112" s="748"/>
      <c r="AG112" s="844"/>
      <c r="AH112" s="733" t="s">
        <v>3857</v>
      </c>
      <c r="AI112" s="843" t="s">
        <v>3858</v>
      </c>
      <c r="AJ112" s="843" t="s">
        <v>3862</v>
      </c>
      <c r="AK112" s="843" t="s">
        <v>3860</v>
      </c>
      <c r="AL112" s="843" t="s">
        <v>3863</v>
      </c>
      <c r="AM112" s="733"/>
      <c r="AN112" s="733"/>
      <c r="AO112" s="733"/>
      <c r="AP112" s="668" t="s">
        <v>3981</v>
      </c>
      <c r="AQ112" s="722" t="s">
        <v>2255</v>
      </c>
      <c r="AR112" s="733"/>
    </row>
    <row r="113" spans="1:265" x14ac:dyDescent="0.2">
      <c r="A113" s="708" t="s">
        <v>594</v>
      </c>
      <c r="B113" s="805"/>
      <c r="C113" s="733" t="s">
        <v>3818</v>
      </c>
      <c r="E113" s="842" t="s">
        <v>3819</v>
      </c>
      <c r="F113" s="733" t="s">
        <v>3817</v>
      </c>
      <c r="G113" s="733" t="s">
        <v>3619</v>
      </c>
      <c r="H113" s="834">
        <v>54269001995</v>
      </c>
      <c r="I113" s="840">
        <v>10054269001992</v>
      </c>
      <c r="J113" s="840">
        <v>20054269001999</v>
      </c>
      <c r="K113" s="717" t="s">
        <v>2220</v>
      </c>
      <c r="L113" s="735" t="s">
        <v>975</v>
      </c>
      <c r="M113" s="696"/>
      <c r="N113" s="736">
        <v>19.989999999999998</v>
      </c>
      <c r="O113" s="733">
        <v>6</v>
      </c>
      <c r="P113" s="737">
        <v>24</v>
      </c>
      <c r="Q113" s="705">
        <v>0.09</v>
      </c>
      <c r="R113" s="842">
        <v>1.1879999999999999</v>
      </c>
      <c r="S113" s="842">
        <v>1.1879999999999999</v>
      </c>
      <c r="T113" s="738">
        <v>5.375</v>
      </c>
      <c r="U113" s="842">
        <v>0.17</v>
      </c>
      <c r="V113" s="842">
        <v>7.21</v>
      </c>
      <c r="W113" s="842">
        <v>3.47</v>
      </c>
      <c r="X113" s="842">
        <v>1.18</v>
      </c>
      <c r="Y113" s="739">
        <f>U113*O113</f>
        <v>1.02</v>
      </c>
      <c r="Z113" s="747"/>
      <c r="AA113" s="747"/>
      <c r="AB113" s="748"/>
      <c r="AC113" s="739">
        <f>U113*P113</f>
        <v>4.08</v>
      </c>
      <c r="AD113" s="747"/>
      <c r="AE113" s="747"/>
      <c r="AF113" s="748"/>
      <c r="AG113" s="844"/>
      <c r="AH113" s="733" t="s">
        <v>3857</v>
      </c>
      <c r="AI113" s="843" t="s">
        <v>3858</v>
      </c>
      <c r="AJ113" s="843" t="s">
        <v>3862</v>
      </c>
      <c r="AK113" s="843" t="s">
        <v>3860</v>
      </c>
      <c r="AL113" s="843" t="s">
        <v>3863</v>
      </c>
      <c r="AM113" s="733"/>
      <c r="AN113" s="733"/>
      <c r="AO113" s="733"/>
      <c r="AP113" s="668" t="s">
        <v>3981</v>
      </c>
      <c r="AQ113" s="722" t="s">
        <v>2255</v>
      </c>
      <c r="AR113" s="733"/>
    </row>
    <row r="114" spans="1:265" s="693" customFormat="1" x14ac:dyDescent="0.2">
      <c r="C114" s="668"/>
      <c r="D114" s="792"/>
      <c r="E114" s="668"/>
      <c r="F114" s="668"/>
      <c r="G114" s="733"/>
      <c r="H114" s="793"/>
      <c r="I114" s="793"/>
      <c r="J114" s="793"/>
      <c r="K114" s="804"/>
      <c r="L114" s="710"/>
      <c r="M114" s="800"/>
      <c r="N114" s="800"/>
      <c r="O114" s="697"/>
      <c r="P114" s="698"/>
      <c r="Q114" s="711"/>
      <c r="R114" s="712"/>
      <c r="S114" s="712"/>
      <c r="T114" s="701"/>
      <c r="U114" s="845"/>
      <c r="V114" s="846"/>
      <c r="W114" s="846"/>
      <c r="X114" s="847"/>
      <c r="Y114" s="702"/>
      <c r="Z114" s="703"/>
      <c r="AA114" s="703"/>
      <c r="AB114" s="704"/>
      <c r="AC114" s="702"/>
      <c r="AD114" s="703"/>
      <c r="AE114" s="703"/>
      <c r="AF114" s="704"/>
      <c r="AG114" s="702"/>
      <c r="AH114" s="723"/>
      <c r="AI114" s="722"/>
      <c r="AJ114" s="722"/>
      <c r="AK114" s="722"/>
      <c r="AL114" s="722"/>
      <c r="AM114" s="722"/>
      <c r="AN114" s="715"/>
      <c r="AO114" s="722"/>
      <c r="AP114" s="722"/>
      <c r="AQ114" s="722"/>
      <c r="AR114" s="722"/>
      <c r="AS114" s="668"/>
      <c r="AT114" s="668"/>
      <c r="AU114" s="792"/>
      <c r="AV114" s="668"/>
      <c r="AW114" s="668"/>
      <c r="AX114" s="668"/>
      <c r="AY114" s="792"/>
      <c r="AZ114" s="668"/>
      <c r="BA114" s="668"/>
      <c r="BB114" s="668"/>
      <c r="BC114" s="792"/>
      <c r="BD114" s="668"/>
      <c r="BE114" s="668"/>
      <c r="BF114" s="668"/>
      <c r="BG114" s="792"/>
      <c r="BH114" s="668"/>
      <c r="BI114" s="668"/>
      <c r="BJ114" s="668"/>
      <c r="BK114" s="792"/>
      <c r="BL114" s="668"/>
      <c r="BM114" s="668"/>
      <c r="BN114" s="668"/>
      <c r="BO114" s="792"/>
      <c r="BP114" s="668"/>
      <c r="BQ114" s="668"/>
      <c r="BR114" s="668"/>
      <c r="BS114" s="792"/>
      <c r="BT114" s="668"/>
      <c r="BU114" s="668"/>
      <c r="BV114" s="668"/>
      <c r="BW114" s="792"/>
      <c r="BX114" s="668"/>
      <c r="BY114" s="668"/>
      <c r="BZ114" s="668"/>
      <c r="CA114" s="792"/>
      <c r="CB114" s="668"/>
      <c r="CC114" s="668"/>
      <c r="CD114" s="668"/>
      <c r="CE114" s="792"/>
      <c r="CF114" s="668"/>
      <c r="CG114" s="668"/>
      <c r="CH114" s="668"/>
      <c r="CI114" s="792"/>
      <c r="CJ114" s="668"/>
      <c r="CK114" s="668"/>
      <c r="CL114" s="668"/>
      <c r="CM114" s="792"/>
      <c r="CN114" s="668"/>
      <c r="CO114" s="668"/>
      <c r="CP114" s="668"/>
      <c r="CQ114" s="792"/>
      <c r="CR114" s="668"/>
      <c r="CS114" s="668"/>
      <c r="CT114" s="668"/>
      <c r="CU114" s="792"/>
      <c r="CV114" s="668"/>
      <c r="CW114" s="668"/>
      <c r="CX114" s="668"/>
      <c r="CY114" s="792"/>
      <c r="CZ114" s="668"/>
      <c r="DA114" s="668"/>
      <c r="DB114" s="668"/>
      <c r="DC114" s="792"/>
      <c r="DD114" s="668"/>
      <c r="DE114" s="668"/>
      <c r="DF114" s="668"/>
      <c r="DG114" s="792"/>
      <c r="DH114" s="668"/>
      <c r="DI114" s="668"/>
      <c r="DJ114" s="668"/>
      <c r="DK114" s="792"/>
      <c r="DL114" s="668"/>
      <c r="DM114" s="668"/>
      <c r="DN114" s="668"/>
      <c r="DO114" s="792"/>
      <c r="DP114" s="668"/>
      <c r="DQ114" s="668"/>
      <c r="DR114" s="668"/>
      <c r="DS114" s="792"/>
      <c r="DT114" s="668"/>
      <c r="DU114" s="668"/>
      <c r="DV114" s="668"/>
      <c r="DW114" s="792"/>
      <c r="DX114" s="668"/>
      <c r="DY114" s="668"/>
      <c r="DZ114" s="668"/>
      <c r="EA114" s="792"/>
      <c r="EB114" s="668"/>
      <c r="EC114" s="668"/>
      <c r="ED114" s="668"/>
      <c r="EE114" s="792"/>
      <c r="EF114" s="668"/>
      <c r="EG114" s="668"/>
      <c r="EH114" s="668"/>
      <c r="EI114" s="792"/>
      <c r="EJ114" s="668"/>
      <c r="EK114" s="668"/>
      <c r="EL114" s="668"/>
      <c r="EM114" s="792"/>
      <c r="EN114" s="668"/>
      <c r="EO114" s="668"/>
      <c r="EP114" s="668"/>
      <c r="EQ114" s="792"/>
      <c r="ER114" s="668"/>
      <c r="ES114" s="668"/>
      <c r="ET114" s="668"/>
      <c r="EU114" s="792"/>
      <c r="EV114" s="668"/>
      <c r="EW114" s="668"/>
      <c r="EX114" s="668"/>
      <c r="EY114" s="792"/>
      <c r="EZ114" s="668"/>
      <c r="FA114" s="668"/>
      <c r="FB114" s="668"/>
      <c r="FC114" s="792"/>
      <c r="FD114" s="668"/>
      <c r="FE114" s="668"/>
      <c r="FF114" s="668"/>
      <c r="FG114" s="792"/>
      <c r="FH114" s="668"/>
      <c r="FI114" s="668"/>
      <c r="FJ114" s="668"/>
      <c r="FK114" s="792"/>
      <c r="FL114" s="668"/>
      <c r="FM114" s="668"/>
      <c r="FN114" s="668"/>
      <c r="FO114" s="792"/>
      <c r="FP114" s="668"/>
      <c r="FQ114" s="668"/>
      <c r="FR114" s="668"/>
      <c r="FS114" s="792"/>
      <c r="FT114" s="668"/>
      <c r="FU114" s="668"/>
      <c r="FV114" s="668"/>
      <c r="FW114" s="792"/>
      <c r="FX114" s="668"/>
      <c r="FY114" s="668"/>
      <c r="FZ114" s="668"/>
      <c r="GA114" s="792"/>
      <c r="GB114" s="668"/>
      <c r="GC114" s="668"/>
      <c r="GD114" s="668"/>
      <c r="GE114" s="792"/>
      <c r="GF114" s="668"/>
      <c r="GG114" s="668"/>
      <c r="GH114" s="668"/>
      <c r="GI114" s="792"/>
      <c r="GJ114" s="668"/>
      <c r="GK114" s="668"/>
      <c r="GL114" s="668"/>
      <c r="GM114" s="792"/>
      <c r="GN114" s="668"/>
      <c r="GO114" s="668"/>
      <c r="GP114" s="668"/>
      <c r="GQ114" s="792"/>
      <c r="GR114" s="668"/>
      <c r="GS114" s="668"/>
      <c r="GT114" s="668"/>
      <c r="GU114" s="792"/>
      <c r="GV114" s="668"/>
      <c r="GW114" s="668"/>
      <c r="GX114" s="668"/>
      <c r="GY114" s="792"/>
      <c r="GZ114" s="668"/>
      <c r="HA114" s="668"/>
      <c r="HB114" s="668"/>
      <c r="HC114" s="792"/>
      <c r="HD114" s="668"/>
      <c r="HE114" s="668"/>
      <c r="HF114" s="668"/>
      <c r="HG114" s="792"/>
      <c r="HH114" s="668"/>
      <c r="HI114" s="668"/>
      <c r="HJ114" s="668"/>
      <c r="HK114" s="792"/>
      <c r="HL114" s="668"/>
      <c r="HM114" s="668"/>
      <c r="HN114" s="668"/>
      <c r="HO114" s="792"/>
      <c r="HP114" s="668"/>
      <c r="HQ114" s="668"/>
      <c r="HR114" s="668"/>
      <c r="HS114" s="792"/>
      <c r="HT114" s="668"/>
      <c r="HU114" s="668"/>
      <c r="HV114" s="668"/>
      <c r="HW114" s="792"/>
      <c r="HX114" s="668"/>
      <c r="HY114" s="668"/>
      <c r="HZ114" s="668"/>
      <c r="IA114" s="792"/>
      <c r="IB114" s="668"/>
      <c r="IC114" s="668"/>
      <c r="ID114" s="668"/>
      <c r="IE114" s="792"/>
      <c r="IF114" s="668"/>
      <c r="IG114" s="668"/>
      <c r="IH114" s="668"/>
      <c r="II114" s="792"/>
      <c r="IJ114" s="668"/>
      <c r="IK114" s="668"/>
      <c r="IL114" s="668"/>
      <c r="IM114" s="792"/>
      <c r="IN114" s="668"/>
      <c r="IO114" s="668"/>
      <c r="IP114" s="668"/>
      <c r="IQ114" s="792"/>
      <c r="IR114" s="668"/>
      <c r="IS114" s="668"/>
      <c r="IT114" s="668"/>
      <c r="IU114" s="792"/>
      <c r="IV114" s="668"/>
      <c r="IW114" s="668"/>
      <c r="IX114" s="668"/>
      <c r="IY114" s="792"/>
      <c r="IZ114" s="668"/>
      <c r="JA114" s="668"/>
      <c r="JB114" s="668"/>
      <c r="JC114" s="792"/>
      <c r="JD114" s="668"/>
      <c r="JE114" s="668"/>
    </row>
    <row r="115" spans="1:265" s="693" customFormat="1" ht="15.75" x14ac:dyDescent="0.25">
      <c r="A115" s="892" t="s">
        <v>2233</v>
      </c>
      <c r="B115" s="892"/>
      <c r="C115" s="892"/>
      <c r="D115" s="703"/>
      <c r="E115" s="707"/>
      <c r="G115" s="708"/>
      <c r="H115" s="709"/>
      <c r="I115" s="709"/>
      <c r="J115" s="709"/>
      <c r="K115" s="709"/>
      <c r="L115" s="710"/>
      <c r="M115" s="696"/>
      <c r="N115" s="696"/>
      <c r="O115" s="697"/>
      <c r="P115" s="698"/>
      <c r="Q115" s="711"/>
      <c r="R115" s="712"/>
      <c r="S115" s="712"/>
      <c r="T115" s="701"/>
      <c r="U115" s="702"/>
      <c r="V115" s="703"/>
      <c r="W115" s="703"/>
      <c r="X115" s="704"/>
      <c r="Y115" s="702"/>
      <c r="Z115" s="703"/>
      <c r="AA115" s="703"/>
      <c r="AB115" s="704"/>
      <c r="AC115" s="702"/>
      <c r="AD115" s="703"/>
      <c r="AE115" s="703"/>
      <c r="AF115" s="704"/>
      <c r="AG115" s="702"/>
      <c r="AH115" s="715"/>
      <c r="AI115" s="715"/>
      <c r="AJ115" s="715"/>
      <c r="AK115" s="715"/>
      <c r="AL115" s="715"/>
      <c r="AM115" s="715"/>
      <c r="AN115" s="715"/>
      <c r="AO115" s="715"/>
      <c r="AP115" s="715"/>
      <c r="AQ115" s="715"/>
      <c r="AR115" s="715"/>
    </row>
    <row r="116" spans="1:265" x14ac:dyDescent="0.2">
      <c r="A116" s="708" t="s">
        <v>594</v>
      </c>
      <c r="B116" s="805"/>
      <c r="C116" s="733" t="s">
        <v>3942</v>
      </c>
      <c r="E116" s="733" t="s">
        <v>3947</v>
      </c>
      <c r="F116" s="668" t="s">
        <v>3813</v>
      </c>
      <c r="G116" s="668" t="s">
        <v>2557</v>
      </c>
      <c r="H116" s="834">
        <v>54269002220</v>
      </c>
      <c r="I116" s="820">
        <v>10054269002227</v>
      </c>
      <c r="J116" s="820">
        <v>20054269002224</v>
      </c>
      <c r="K116" s="782" t="s">
        <v>458</v>
      </c>
      <c r="L116" s="735" t="s">
        <v>975</v>
      </c>
      <c r="M116" s="696"/>
      <c r="N116" s="736">
        <v>79.989999999999995</v>
      </c>
      <c r="O116" s="668">
        <v>2</v>
      </c>
      <c r="P116" s="848">
        <v>4</v>
      </c>
      <c r="Q116" s="712">
        <v>4.2</v>
      </c>
      <c r="R116" s="712">
        <v>7</v>
      </c>
      <c r="S116" s="712">
        <v>6</v>
      </c>
      <c r="T116" s="849">
        <v>12.5</v>
      </c>
      <c r="U116" s="806">
        <v>2.89</v>
      </c>
      <c r="V116" s="733">
        <v>8.25</v>
      </c>
      <c r="W116" s="733">
        <v>5.875</v>
      </c>
      <c r="X116" s="714">
        <v>12.75</v>
      </c>
      <c r="Y116" s="739">
        <v>6.83</v>
      </c>
      <c r="Z116" s="668">
        <v>12.5</v>
      </c>
      <c r="AA116" s="668">
        <v>9</v>
      </c>
      <c r="AB116" s="737">
        <v>14.5</v>
      </c>
      <c r="AC116" s="705">
        <v>14.1</v>
      </c>
      <c r="AD116" s="733">
        <v>13</v>
      </c>
      <c r="AE116" s="733">
        <v>18.5</v>
      </c>
      <c r="AF116" s="737">
        <v>14.5</v>
      </c>
      <c r="AG116" s="702">
        <f t="shared" ref="AG116:AG122" si="4">AD116*AE116*AF116/(12^3)</f>
        <v>2.0180844907407409</v>
      </c>
      <c r="AH116" s="733" t="s">
        <v>4189</v>
      </c>
      <c r="AI116" s="733" t="s">
        <v>4190</v>
      </c>
      <c r="AJ116" s="733" t="s">
        <v>3831</v>
      </c>
      <c r="AK116" s="733" t="s">
        <v>4191</v>
      </c>
      <c r="AL116" s="733" t="s">
        <v>4193</v>
      </c>
      <c r="AM116" s="733"/>
      <c r="AN116" s="733"/>
      <c r="AO116" s="733"/>
      <c r="AP116" s="668" t="s">
        <v>3972</v>
      </c>
      <c r="AQ116" s="722" t="s">
        <v>2255</v>
      </c>
    </row>
    <row r="117" spans="1:265" x14ac:dyDescent="0.2">
      <c r="A117" s="708" t="s">
        <v>594</v>
      </c>
      <c r="B117" s="805"/>
      <c r="C117" s="733" t="s">
        <v>3943</v>
      </c>
      <c r="E117" s="733" t="s">
        <v>3974</v>
      </c>
      <c r="F117" s="733" t="s">
        <v>484</v>
      </c>
      <c r="G117" s="733" t="s">
        <v>2557</v>
      </c>
      <c r="H117" s="834">
        <v>54269002237</v>
      </c>
      <c r="I117" s="820">
        <v>10054269002234</v>
      </c>
      <c r="J117" s="820">
        <v>20054269002231</v>
      </c>
      <c r="K117" s="782" t="s">
        <v>458</v>
      </c>
      <c r="L117" s="735" t="s">
        <v>975</v>
      </c>
      <c r="M117" s="696"/>
      <c r="N117" s="736">
        <v>99.99</v>
      </c>
      <c r="O117" s="668">
        <v>2</v>
      </c>
      <c r="P117" s="848">
        <v>4</v>
      </c>
      <c r="Q117" s="712">
        <v>2.2000000000000002</v>
      </c>
      <c r="R117" s="712">
        <v>7</v>
      </c>
      <c r="S117" s="712">
        <v>6</v>
      </c>
      <c r="T117" s="849">
        <v>12.5</v>
      </c>
      <c r="U117" s="806">
        <v>2.92</v>
      </c>
      <c r="V117" s="733">
        <v>8.25</v>
      </c>
      <c r="W117" s="733">
        <v>5.875</v>
      </c>
      <c r="X117" s="714">
        <v>12.75</v>
      </c>
      <c r="Y117" s="739">
        <v>7.88</v>
      </c>
      <c r="Z117" s="668">
        <v>12.5</v>
      </c>
      <c r="AA117" s="668">
        <v>9</v>
      </c>
      <c r="AB117" s="737">
        <v>14.5</v>
      </c>
      <c r="AC117" s="705">
        <v>15.77</v>
      </c>
      <c r="AD117" s="733">
        <v>13</v>
      </c>
      <c r="AE117" s="733">
        <v>18.5</v>
      </c>
      <c r="AF117" s="737">
        <v>14.5</v>
      </c>
      <c r="AG117" s="702">
        <f t="shared" si="4"/>
        <v>2.0180844907407409</v>
      </c>
      <c r="AH117" s="733" t="s">
        <v>4189</v>
      </c>
      <c r="AI117" s="733" t="s">
        <v>4190</v>
      </c>
      <c r="AJ117" s="733" t="s">
        <v>3831</v>
      </c>
      <c r="AK117" s="733" t="s">
        <v>4263</v>
      </c>
      <c r="AL117" s="733" t="s">
        <v>4264</v>
      </c>
      <c r="AM117" s="733" t="s">
        <v>4192</v>
      </c>
      <c r="AN117" s="733"/>
      <c r="AO117" s="733"/>
      <c r="AP117" s="668" t="s">
        <v>4265</v>
      </c>
      <c r="AQ117" s="722" t="s">
        <v>2255</v>
      </c>
    </row>
    <row r="118" spans="1:265" x14ac:dyDescent="0.2">
      <c r="A118" s="708" t="s">
        <v>594</v>
      </c>
      <c r="B118" s="805"/>
      <c r="C118" s="733" t="s">
        <v>3944</v>
      </c>
      <c r="E118" s="733" t="s">
        <v>3973</v>
      </c>
      <c r="F118" s="733" t="s">
        <v>484</v>
      </c>
      <c r="G118" s="733" t="s">
        <v>2558</v>
      </c>
      <c r="H118" s="834">
        <v>54269002244</v>
      </c>
      <c r="I118" s="820">
        <v>10054269002241</v>
      </c>
      <c r="J118" s="820">
        <v>20054269002248</v>
      </c>
      <c r="K118" s="782" t="s">
        <v>458</v>
      </c>
      <c r="L118" s="735" t="s">
        <v>975</v>
      </c>
      <c r="M118" s="696"/>
      <c r="N118" s="736">
        <v>59.99</v>
      </c>
      <c r="O118" s="668">
        <v>4</v>
      </c>
      <c r="P118" s="850">
        <v>16</v>
      </c>
      <c r="Q118" s="712">
        <v>1</v>
      </c>
      <c r="R118" s="712">
        <v>3.75</v>
      </c>
      <c r="S118" s="712">
        <v>3.75</v>
      </c>
      <c r="T118" s="849">
        <v>9</v>
      </c>
      <c r="U118" s="806">
        <v>1.1599999999999999</v>
      </c>
      <c r="V118" s="733">
        <v>3.75</v>
      </c>
      <c r="W118" s="733">
        <v>3.75</v>
      </c>
      <c r="X118" s="737">
        <v>9</v>
      </c>
      <c r="Y118" s="739">
        <v>5.33</v>
      </c>
      <c r="Z118" s="668">
        <v>8.125</v>
      </c>
      <c r="AA118" s="668">
        <v>8.125</v>
      </c>
      <c r="AB118" s="737">
        <v>9.875</v>
      </c>
      <c r="AC118" s="705">
        <v>22.5</v>
      </c>
      <c r="AD118" s="733">
        <v>17</v>
      </c>
      <c r="AE118" s="733">
        <v>17</v>
      </c>
      <c r="AF118" s="737">
        <v>10.875</v>
      </c>
      <c r="AG118" s="702">
        <f t="shared" si="4"/>
        <v>1.8187934027777777</v>
      </c>
      <c r="AH118" s="733" t="s">
        <v>3829</v>
      </c>
      <c r="AI118" s="733" t="s">
        <v>4195</v>
      </c>
      <c r="AJ118" s="733" t="s">
        <v>3831</v>
      </c>
      <c r="AK118" s="733" t="s">
        <v>4196</v>
      </c>
      <c r="AL118" s="733" t="s">
        <v>4194</v>
      </c>
      <c r="AM118" s="733"/>
      <c r="AN118" s="733"/>
      <c r="AO118" s="733"/>
      <c r="AP118" s="826" t="s">
        <v>4013</v>
      </c>
      <c r="AQ118" s="722" t="s">
        <v>2255</v>
      </c>
    </row>
    <row r="119" spans="1:265" x14ac:dyDescent="0.2">
      <c r="A119" s="708" t="s">
        <v>594</v>
      </c>
      <c r="B119" s="805"/>
      <c r="C119" s="733" t="s">
        <v>3945</v>
      </c>
      <c r="E119" s="733" t="s">
        <v>3948</v>
      </c>
      <c r="F119" s="668" t="s">
        <v>3813</v>
      </c>
      <c r="G119" s="733" t="s">
        <v>2558</v>
      </c>
      <c r="H119" s="834">
        <v>54269002251</v>
      </c>
      <c r="I119" s="820">
        <v>10054269002258</v>
      </c>
      <c r="J119" s="820">
        <v>20054269002255</v>
      </c>
      <c r="K119" s="782" t="s">
        <v>458</v>
      </c>
      <c r="L119" s="735" t="s">
        <v>975</v>
      </c>
      <c r="M119" s="696"/>
      <c r="N119" s="736">
        <v>29.99</v>
      </c>
      <c r="O119" s="733">
        <v>4</v>
      </c>
      <c r="P119" s="850">
        <v>16</v>
      </c>
      <c r="Q119" s="712">
        <v>0.67</v>
      </c>
      <c r="R119" s="712">
        <v>3.25</v>
      </c>
      <c r="S119" s="712">
        <v>3.75</v>
      </c>
      <c r="T119" s="849">
        <v>5</v>
      </c>
      <c r="U119" s="806">
        <v>0.62</v>
      </c>
      <c r="V119" s="733">
        <v>3.75</v>
      </c>
      <c r="W119" s="733">
        <v>3.75</v>
      </c>
      <c r="X119" s="737">
        <v>5.1749999999999998</v>
      </c>
      <c r="Y119" s="739">
        <v>2.96</v>
      </c>
      <c r="Z119" s="806">
        <v>8</v>
      </c>
      <c r="AA119" s="806">
        <v>8</v>
      </c>
      <c r="AB119" s="737">
        <v>6.25</v>
      </c>
      <c r="AC119" s="705">
        <v>12.1</v>
      </c>
      <c r="AD119" s="733">
        <v>8.5</v>
      </c>
      <c r="AE119" s="733">
        <v>16.5</v>
      </c>
      <c r="AF119" s="737">
        <v>12.75</v>
      </c>
      <c r="AG119" s="702">
        <f t="shared" si="4"/>
        <v>1.0348307291666667</v>
      </c>
      <c r="AH119" s="733" t="s">
        <v>3829</v>
      </c>
      <c r="AI119" s="733" t="s">
        <v>3831</v>
      </c>
      <c r="AJ119" s="733" t="s">
        <v>4196</v>
      </c>
      <c r="AK119" s="733" t="s">
        <v>4197</v>
      </c>
      <c r="AL119" s="733"/>
      <c r="AM119" s="733"/>
      <c r="AN119" s="733"/>
      <c r="AO119" s="733"/>
      <c r="AP119" s="838" t="s">
        <v>3976</v>
      </c>
      <c r="AQ119" s="722" t="s">
        <v>2255</v>
      </c>
    </row>
    <row r="120" spans="1:265" x14ac:dyDescent="0.2">
      <c r="A120" s="708" t="s">
        <v>594</v>
      </c>
      <c r="B120" s="805"/>
      <c r="C120" s="733" t="s">
        <v>3946</v>
      </c>
      <c r="E120" s="733" t="s">
        <v>3975</v>
      </c>
      <c r="F120" s="733" t="s">
        <v>484</v>
      </c>
      <c r="G120" s="668" t="s">
        <v>2558</v>
      </c>
      <c r="H120" s="834">
        <v>54269002275</v>
      </c>
      <c r="I120" s="820">
        <v>10054269002272</v>
      </c>
      <c r="J120" s="820">
        <v>20054269002279</v>
      </c>
      <c r="K120" s="782" t="s">
        <v>458</v>
      </c>
      <c r="L120" s="735" t="s">
        <v>975</v>
      </c>
      <c r="M120" s="696"/>
      <c r="N120" s="736">
        <v>49.99</v>
      </c>
      <c r="O120" s="733">
        <v>4</v>
      </c>
      <c r="P120" s="850">
        <v>16</v>
      </c>
      <c r="Q120" s="712">
        <v>0.74</v>
      </c>
      <c r="R120" s="712">
        <v>3.25</v>
      </c>
      <c r="S120" s="712">
        <v>3.75</v>
      </c>
      <c r="T120" s="849">
        <v>5</v>
      </c>
      <c r="U120" s="806">
        <v>0.88</v>
      </c>
      <c r="V120" s="733">
        <v>3.75</v>
      </c>
      <c r="W120" s="733">
        <v>3.75</v>
      </c>
      <c r="X120" s="737">
        <v>5.1749999999999998</v>
      </c>
      <c r="Y120" s="739">
        <v>3.97</v>
      </c>
      <c r="Z120" s="806">
        <v>8</v>
      </c>
      <c r="AA120" s="806">
        <v>8</v>
      </c>
      <c r="AB120" s="737">
        <v>6.25</v>
      </c>
      <c r="AC120" s="705">
        <v>16.2</v>
      </c>
      <c r="AD120" s="733">
        <v>8.5</v>
      </c>
      <c r="AE120" s="733">
        <v>16.5</v>
      </c>
      <c r="AF120" s="737">
        <v>12.75</v>
      </c>
      <c r="AG120" s="702">
        <f t="shared" si="4"/>
        <v>1.0348307291666667</v>
      </c>
      <c r="AH120" s="733" t="s">
        <v>3829</v>
      </c>
      <c r="AI120" s="733" t="s">
        <v>3831</v>
      </c>
      <c r="AJ120" s="733" t="s">
        <v>4196</v>
      </c>
      <c r="AK120" s="733" t="s">
        <v>4198</v>
      </c>
      <c r="AL120" s="733"/>
      <c r="AM120" s="733"/>
      <c r="AN120" s="733"/>
      <c r="AO120" s="733"/>
      <c r="AP120" s="668" t="s">
        <v>3978</v>
      </c>
      <c r="AQ120" s="722" t="s">
        <v>2255</v>
      </c>
    </row>
    <row r="121" spans="1:265" ht="13.5" customHeight="1" x14ac:dyDescent="0.2">
      <c r="A121" s="708" t="s">
        <v>594</v>
      </c>
      <c r="B121" s="805"/>
      <c r="C121" s="733" t="s">
        <v>3742</v>
      </c>
      <c r="D121" s="703"/>
      <c r="E121" s="733" t="s">
        <v>3743</v>
      </c>
      <c r="F121" s="733"/>
      <c r="G121" s="733" t="s">
        <v>3619</v>
      </c>
      <c r="H121" s="725" t="s">
        <v>3745</v>
      </c>
      <c r="I121" s="733"/>
      <c r="J121" s="733"/>
      <c r="K121" s="782" t="s">
        <v>458</v>
      </c>
      <c r="L121" s="786" t="s">
        <v>975</v>
      </c>
      <c r="M121" s="696"/>
      <c r="N121" s="736">
        <v>29.99</v>
      </c>
      <c r="O121" s="733">
        <v>6</v>
      </c>
      <c r="P121" s="737">
        <v>24</v>
      </c>
      <c r="Q121" s="711">
        <v>0.35199999999999998</v>
      </c>
      <c r="R121" s="712">
        <v>5.7</v>
      </c>
      <c r="S121" s="712">
        <v>2.25</v>
      </c>
      <c r="T121" s="738">
        <v>2.25</v>
      </c>
      <c r="U121" s="739">
        <v>0.4</v>
      </c>
      <c r="V121" s="733">
        <v>7.6</v>
      </c>
      <c r="W121" s="733">
        <v>5.0999999999999996</v>
      </c>
      <c r="X121" s="737">
        <v>2.5</v>
      </c>
      <c r="Y121" s="733">
        <v>2.8</v>
      </c>
      <c r="Z121" s="733">
        <v>7.8</v>
      </c>
      <c r="AA121" s="733">
        <v>6.5</v>
      </c>
      <c r="AB121" s="737">
        <v>7.1</v>
      </c>
      <c r="AC121" s="739">
        <v>12.3</v>
      </c>
      <c r="AD121" s="733">
        <v>14</v>
      </c>
      <c r="AE121" s="733">
        <v>8.3000000000000007</v>
      </c>
      <c r="AF121" s="737">
        <v>15</v>
      </c>
      <c r="AG121" s="702">
        <f t="shared" si="4"/>
        <v>1.0086805555555556</v>
      </c>
      <c r="AH121" s="826" t="s">
        <v>3823</v>
      </c>
      <c r="AI121" s="826" t="s">
        <v>3824</v>
      </c>
      <c r="AJ121" s="826" t="s">
        <v>3825</v>
      </c>
      <c r="AK121" s="826" t="s">
        <v>3826</v>
      </c>
      <c r="AL121" s="826" t="s">
        <v>3827</v>
      </c>
      <c r="AM121" s="733"/>
      <c r="AN121" s="733"/>
      <c r="AO121" s="733"/>
      <c r="AP121" s="668" t="s">
        <v>3968</v>
      </c>
      <c r="AQ121" s="722" t="s">
        <v>2255</v>
      </c>
      <c r="AR121" s="733"/>
    </row>
    <row r="122" spans="1:265" x14ac:dyDescent="0.2">
      <c r="A122" s="708" t="s">
        <v>594</v>
      </c>
      <c r="B122" s="805"/>
      <c r="C122" s="733" t="s">
        <v>3749</v>
      </c>
      <c r="D122" s="733"/>
      <c r="E122" s="733" t="s">
        <v>3750</v>
      </c>
      <c r="F122" s="733" t="s">
        <v>3813</v>
      </c>
      <c r="G122" s="733" t="s">
        <v>2558</v>
      </c>
      <c r="H122" s="725" t="s">
        <v>3793</v>
      </c>
      <c r="I122" s="851">
        <v>10054269001978</v>
      </c>
      <c r="J122" s="851">
        <v>20054269001975</v>
      </c>
      <c r="K122" s="782" t="s">
        <v>458</v>
      </c>
      <c r="L122" s="786" t="s">
        <v>975</v>
      </c>
      <c r="M122" s="696"/>
      <c r="N122" s="736">
        <v>39.99</v>
      </c>
      <c r="O122" s="733">
        <v>4</v>
      </c>
      <c r="P122" s="737">
        <v>16</v>
      </c>
      <c r="Q122" s="711">
        <v>0.84</v>
      </c>
      <c r="R122" s="712">
        <v>3.7</v>
      </c>
      <c r="S122" s="712">
        <v>3.7</v>
      </c>
      <c r="T122" s="738">
        <v>8.8000000000000007</v>
      </c>
      <c r="U122" s="739">
        <v>0.98</v>
      </c>
      <c r="V122" s="733">
        <v>3.75</v>
      </c>
      <c r="W122" s="733">
        <v>3.75</v>
      </c>
      <c r="X122" s="737">
        <v>9</v>
      </c>
      <c r="Y122" s="733">
        <v>4.6399999999999997</v>
      </c>
      <c r="Z122" s="733">
        <v>8.125</v>
      </c>
      <c r="AA122" s="733">
        <v>8.125</v>
      </c>
      <c r="AB122" s="737">
        <v>9.875</v>
      </c>
      <c r="AC122" s="739">
        <v>20.72</v>
      </c>
      <c r="AD122" s="733">
        <v>17</v>
      </c>
      <c r="AE122" s="733">
        <v>17</v>
      </c>
      <c r="AF122" s="737">
        <v>10.875</v>
      </c>
      <c r="AG122" s="702">
        <f t="shared" si="4"/>
        <v>1.8187934027777777</v>
      </c>
      <c r="AH122" s="842" t="s">
        <v>3829</v>
      </c>
      <c r="AI122" s="842" t="s">
        <v>3830</v>
      </c>
      <c r="AJ122" s="842" t="s">
        <v>3831</v>
      </c>
      <c r="AK122" s="842" t="s">
        <v>3832</v>
      </c>
      <c r="AL122" s="842" t="s">
        <v>3833</v>
      </c>
      <c r="AM122" s="733"/>
      <c r="AN122" s="733"/>
      <c r="AO122" s="733"/>
      <c r="AP122" s="826" t="s">
        <v>3828</v>
      </c>
      <c r="AQ122" s="722" t="s">
        <v>2255</v>
      </c>
      <c r="AR122" s="733"/>
    </row>
    <row r="123" spans="1:265" x14ac:dyDescent="0.2">
      <c r="A123" s="708" t="s">
        <v>594</v>
      </c>
      <c r="B123" s="731"/>
      <c r="C123" s="692" t="s">
        <v>3727</v>
      </c>
      <c r="D123" s="733" t="s">
        <v>3728</v>
      </c>
      <c r="E123" s="733" t="s">
        <v>3744</v>
      </c>
      <c r="F123" s="733" t="s">
        <v>3730</v>
      </c>
      <c r="G123" s="733" t="s">
        <v>3619</v>
      </c>
      <c r="H123" s="725" t="s">
        <v>3746</v>
      </c>
      <c r="I123" s="851">
        <v>10054269001787</v>
      </c>
      <c r="J123" s="851">
        <v>20054269001784</v>
      </c>
      <c r="K123" s="782" t="s">
        <v>458</v>
      </c>
      <c r="L123" s="786" t="s">
        <v>975</v>
      </c>
      <c r="M123" s="696"/>
      <c r="N123" s="736">
        <v>14.99</v>
      </c>
      <c r="O123" s="733">
        <v>6</v>
      </c>
      <c r="P123" s="737">
        <v>24</v>
      </c>
      <c r="Q123" s="711">
        <f>CONVERT(45,"g","lbm")</f>
        <v>9.920801798319491E-2</v>
      </c>
      <c r="R123" s="712">
        <v>1.6</v>
      </c>
      <c r="S123" s="712">
        <v>1.6</v>
      </c>
      <c r="T123" s="740" t="s">
        <v>3775</v>
      </c>
      <c r="U123" s="705">
        <f>CONVERT(65,"g","lbm")</f>
        <v>0.14330047042017041</v>
      </c>
      <c r="V123" s="777">
        <v>4.5</v>
      </c>
      <c r="W123" s="777">
        <v>1.375</v>
      </c>
      <c r="X123" s="778">
        <v>7</v>
      </c>
      <c r="Y123" s="739">
        <v>0.95</v>
      </c>
      <c r="Z123" s="733">
        <v>7.5</v>
      </c>
      <c r="AA123" s="733">
        <v>4.5</v>
      </c>
      <c r="AB123" s="737">
        <v>4.5</v>
      </c>
      <c r="AC123" s="739">
        <v>3.85</v>
      </c>
      <c r="AD123" s="733">
        <v>10</v>
      </c>
      <c r="AE123" s="733">
        <v>9.25</v>
      </c>
      <c r="AF123" s="737">
        <v>8</v>
      </c>
      <c r="AG123" s="739">
        <v>0.42</v>
      </c>
      <c r="AH123" s="733" t="s">
        <v>3791</v>
      </c>
      <c r="AI123" s="733" t="s">
        <v>2374</v>
      </c>
      <c r="AJ123" s="733" t="s">
        <v>3766</v>
      </c>
      <c r="AK123" s="733" t="s">
        <v>3767</v>
      </c>
      <c r="AL123" s="733" t="s">
        <v>3768</v>
      </c>
      <c r="AM123" s="733" t="s">
        <v>3776</v>
      </c>
      <c r="AN123" s="728" t="s">
        <v>3777</v>
      </c>
      <c r="AO123" s="728"/>
      <c r="AP123" s="668" t="s">
        <v>3841</v>
      </c>
      <c r="AQ123" s="721" t="s">
        <v>2255</v>
      </c>
      <c r="AR123" s="728"/>
    </row>
    <row r="124" spans="1:265" x14ac:dyDescent="0.2">
      <c r="A124" s="708" t="s">
        <v>594</v>
      </c>
      <c r="B124" s="731"/>
      <c r="C124" s="692" t="s">
        <v>3727</v>
      </c>
      <c r="D124" s="733" t="s">
        <v>369</v>
      </c>
      <c r="E124" s="733" t="s">
        <v>3744</v>
      </c>
      <c r="F124" s="733" t="s">
        <v>222</v>
      </c>
      <c r="G124" s="733" t="s">
        <v>3619</v>
      </c>
      <c r="H124" s="725" t="s">
        <v>3747</v>
      </c>
      <c r="I124" s="851">
        <v>10054269001794</v>
      </c>
      <c r="J124" s="851">
        <v>20054269001791</v>
      </c>
      <c r="K124" s="782" t="s">
        <v>458</v>
      </c>
      <c r="L124" s="786" t="s">
        <v>975</v>
      </c>
      <c r="M124" s="696"/>
      <c r="N124" s="736">
        <v>14.99</v>
      </c>
      <c r="O124" s="733">
        <v>6</v>
      </c>
      <c r="P124" s="737">
        <v>24</v>
      </c>
      <c r="Q124" s="711">
        <f>CONVERT(45,"g","lbm")</f>
        <v>9.920801798319491E-2</v>
      </c>
      <c r="R124" s="712">
        <v>1.6</v>
      </c>
      <c r="S124" s="712">
        <v>1.6</v>
      </c>
      <c r="T124" s="740" t="s">
        <v>3775</v>
      </c>
      <c r="U124" s="705">
        <f>CONVERT(65,"g","lbm")</f>
        <v>0.14330047042017041</v>
      </c>
      <c r="V124" s="777">
        <v>4.5</v>
      </c>
      <c r="W124" s="777">
        <v>1.375</v>
      </c>
      <c r="X124" s="778">
        <v>7</v>
      </c>
      <c r="Y124" s="739">
        <v>0.95</v>
      </c>
      <c r="Z124" s="733">
        <v>7.5</v>
      </c>
      <c r="AA124" s="733">
        <v>4.5</v>
      </c>
      <c r="AB124" s="737">
        <v>4.5</v>
      </c>
      <c r="AC124" s="739">
        <v>3.85</v>
      </c>
      <c r="AD124" s="733">
        <v>10</v>
      </c>
      <c r="AE124" s="733">
        <v>9.25</v>
      </c>
      <c r="AF124" s="737">
        <v>8</v>
      </c>
      <c r="AG124" s="739">
        <v>0.42</v>
      </c>
      <c r="AH124" s="733" t="s">
        <v>3791</v>
      </c>
      <c r="AI124" s="733" t="s">
        <v>2374</v>
      </c>
      <c r="AJ124" s="733" t="s">
        <v>3766</v>
      </c>
      <c r="AK124" s="733" t="s">
        <v>3767</v>
      </c>
      <c r="AL124" s="733" t="s">
        <v>3768</v>
      </c>
      <c r="AM124" s="733" t="s">
        <v>3776</v>
      </c>
      <c r="AN124" s="728" t="s">
        <v>3777</v>
      </c>
      <c r="AO124" s="728"/>
      <c r="AP124" s="843" t="s">
        <v>3841</v>
      </c>
      <c r="AQ124" s="721" t="s">
        <v>2255</v>
      </c>
      <c r="AR124" s="728"/>
    </row>
    <row r="125" spans="1:265" x14ac:dyDescent="0.2">
      <c r="A125" s="708" t="s">
        <v>594</v>
      </c>
      <c r="B125" s="731"/>
      <c r="C125" s="692" t="s">
        <v>3727</v>
      </c>
      <c r="D125" s="733" t="s">
        <v>3729</v>
      </c>
      <c r="E125" s="733" t="s">
        <v>3744</v>
      </c>
      <c r="F125" s="733" t="s">
        <v>3731</v>
      </c>
      <c r="G125" s="733" t="s">
        <v>3619</v>
      </c>
      <c r="H125" s="725" t="s">
        <v>3748</v>
      </c>
      <c r="I125" s="851">
        <v>10054269001800</v>
      </c>
      <c r="J125" s="851">
        <v>20054269001807</v>
      </c>
      <c r="K125" s="782" t="s">
        <v>458</v>
      </c>
      <c r="L125" s="786" t="s">
        <v>975</v>
      </c>
      <c r="M125" s="696"/>
      <c r="N125" s="736">
        <v>14.99</v>
      </c>
      <c r="O125" s="733">
        <v>6</v>
      </c>
      <c r="P125" s="737">
        <v>24</v>
      </c>
      <c r="Q125" s="711">
        <f>CONVERT(45,"g","lbm")</f>
        <v>9.920801798319491E-2</v>
      </c>
      <c r="R125" s="712">
        <v>1.6</v>
      </c>
      <c r="S125" s="712">
        <v>1.6</v>
      </c>
      <c r="T125" s="740" t="s">
        <v>3775</v>
      </c>
      <c r="U125" s="705">
        <f>CONVERT(65,"g","lbm")</f>
        <v>0.14330047042017041</v>
      </c>
      <c r="V125" s="777">
        <v>4.5</v>
      </c>
      <c r="W125" s="777">
        <v>1.375</v>
      </c>
      <c r="X125" s="778">
        <v>7</v>
      </c>
      <c r="Y125" s="739">
        <v>0.95</v>
      </c>
      <c r="Z125" s="733">
        <v>7.5</v>
      </c>
      <c r="AA125" s="733">
        <v>4.5</v>
      </c>
      <c r="AB125" s="737">
        <v>4.5</v>
      </c>
      <c r="AC125" s="739">
        <v>3.85</v>
      </c>
      <c r="AD125" s="733">
        <v>10</v>
      </c>
      <c r="AE125" s="733">
        <v>9.25</v>
      </c>
      <c r="AF125" s="737">
        <v>8</v>
      </c>
      <c r="AG125" s="739">
        <v>0.42</v>
      </c>
      <c r="AH125" s="733" t="s">
        <v>3791</v>
      </c>
      <c r="AI125" s="733" t="s">
        <v>2374</v>
      </c>
      <c r="AJ125" s="733" t="s">
        <v>3766</v>
      </c>
      <c r="AK125" s="733" t="s">
        <v>3767</v>
      </c>
      <c r="AL125" s="733" t="s">
        <v>3768</v>
      </c>
      <c r="AM125" s="733" t="s">
        <v>3776</v>
      </c>
      <c r="AN125" s="728" t="s">
        <v>3777</v>
      </c>
      <c r="AO125" s="728"/>
      <c r="AP125" s="843" t="s">
        <v>3841</v>
      </c>
      <c r="AQ125" s="721" t="s">
        <v>2255</v>
      </c>
      <c r="AR125" s="728"/>
    </row>
    <row r="126" spans="1:265" x14ac:dyDescent="0.2">
      <c r="A126" s="708" t="s">
        <v>594</v>
      </c>
      <c r="B126" s="805"/>
      <c r="C126" s="732" t="s">
        <v>2499</v>
      </c>
      <c r="D126" s="733" t="s">
        <v>2248</v>
      </c>
      <c r="E126" s="692" t="s">
        <v>3770</v>
      </c>
      <c r="F126" s="733" t="s">
        <v>2251</v>
      </c>
      <c r="G126" s="733" t="s">
        <v>2558</v>
      </c>
      <c r="H126" s="725" t="s">
        <v>2587</v>
      </c>
      <c r="I126" s="725" t="s">
        <v>2588</v>
      </c>
      <c r="J126" s="725" t="s">
        <v>2589</v>
      </c>
      <c r="K126" s="709" t="s">
        <v>458</v>
      </c>
      <c r="L126" s="735" t="s">
        <v>975</v>
      </c>
      <c r="M126" s="696"/>
      <c r="N126" s="696">
        <v>59.99</v>
      </c>
      <c r="O126" s="733">
        <v>3</v>
      </c>
      <c r="P126" s="737">
        <v>24</v>
      </c>
      <c r="Q126" s="711">
        <f>4.9/16</f>
        <v>0.30625000000000002</v>
      </c>
      <c r="R126" s="852">
        <v>2.2999999999999998</v>
      </c>
      <c r="S126" s="852">
        <v>1.3</v>
      </c>
      <c r="T126" s="738">
        <v>1.8</v>
      </c>
      <c r="U126" s="739">
        <v>0.48599999999999999</v>
      </c>
      <c r="V126" s="733">
        <v>7.87</v>
      </c>
      <c r="W126" s="733">
        <v>5.125</v>
      </c>
      <c r="X126" s="737">
        <v>2.375</v>
      </c>
      <c r="Y126" s="739">
        <v>1.95</v>
      </c>
      <c r="Z126" s="733">
        <v>7.75</v>
      </c>
      <c r="AA126" s="733">
        <v>8.25</v>
      </c>
      <c r="AB126" s="737">
        <v>5.5</v>
      </c>
      <c r="AC126" s="739">
        <v>8.74</v>
      </c>
      <c r="AD126" s="733">
        <v>16.100000000000001</v>
      </c>
      <c r="AE126" s="733">
        <v>9.1</v>
      </c>
      <c r="AF126" s="737">
        <v>12.4</v>
      </c>
      <c r="AG126" s="702">
        <f t="shared" ref="AG126:AG137" si="5">AD126*AE126*AF126/(12^3)</f>
        <v>1.0513449074074077</v>
      </c>
      <c r="AH126" s="853" t="s">
        <v>3772</v>
      </c>
      <c r="AI126" s="733" t="s">
        <v>2487</v>
      </c>
      <c r="AJ126" s="733" t="s">
        <v>3056</v>
      </c>
      <c r="AK126" s="806" t="s">
        <v>3057</v>
      </c>
      <c r="AL126" s="854" t="s">
        <v>2458</v>
      </c>
      <c r="AM126" s="728" t="s">
        <v>3773</v>
      </c>
      <c r="AN126" s="729"/>
      <c r="AO126" s="733"/>
      <c r="AP126" s="826" t="s">
        <v>3834</v>
      </c>
      <c r="AQ126" s="721" t="s">
        <v>2255</v>
      </c>
      <c r="AR126" s="733"/>
    </row>
    <row r="127" spans="1:265" x14ac:dyDescent="0.2">
      <c r="A127" s="708" t="s">
        <v>594</v>
      </c>
      <c r="B127" s="805"/>
      <c r="C127" s="732" t="s">
        <v>2499</v>
      </c>
      <c r="D127" s="733" t="s">
        <v>383</v>
      </c>
      <c r="E127" s="692" t="s">
        <v>3770</v>
      </c>
      <c r="F127" s="733" t="s">
        <v>484</v>
      </c>
      <c r="G127" s="733" t="s">
        <v>2558</v>
      </c>
      <c r="H127" s="725" t="s">
        <v>2590</v>
      </c>
      <c r="I127" s="725" t="s">
        <v>2591</v>
      </c>
      <c r="J127" s="725" t="s">
        <v>2592</v>
      </c>
      <c r="K127" s="709" t="s">
        <v>458</v>
      </c>
      <c r="L127" s="735" t="s">
        <v>975</v>
      </c>
      <c r="M127" s="696"/>
      <c r="N127" s="696">
        <v>59.99</v>
      </c>
      <c r="O127" s="733">
        <v>3</v>
      </c>
      <c r="P127" s="737">
        <v>24</v>
      </c>
      <c r="Q127" s="711">
        <f>4.9/16</f>
        <v>0.30625000000000002</v>
      </c>
      <c r="R127" s="852">
        <v>2.2999999999999998</v>
      </c>
      <c r="S127" s="852">
        <v>1.3</v>
      </c>
      <c r="T127" s="738">
        <v>1.8</v>
      </c>
      <c r="U127" s="739">
        <v>0.48599999999999999</v>
      </c>
      <c r="V127" s="733">
        <v>7.87</v>
      </c>
      <c r="W127" s="733">
        <v>5.125</v>
      </c>
      <c r="X127" s="737">
        <v>2.375</v>
      </c>
      <c r="Y127" s="739">
        <v>1.95</v>
      </c>
      <c r="Z127" s="733">
        <v>7.75</v>
      </c>
      <c r="AA127" s="733">
        <v>8.25</v>
      </c>
      <c r="AB127" s="737">
        <v>5.5</v>
      </c>
      <c r="AC127" s="739">
        <v>8.74</v>
      </c>
      <c r="AD127" s="733">
        <v>16.100000000000001</v>
      </c>
      <c r="AE127" s="733">
        <v>9.1</v>
      </c>
      <c r="AF127" s="737">
        <v>12.4</v>
      </c>
      <c r="AG127" s="702">
        <f t="shared" si="5"/>
        <v>1.0513449074074077</v>
      </c>
      <c r="AH127" s="853" t="s">
        <v>3772</v>
      </c>
      <c r="AI127" s="733" t="s">
        <v>2487</v>
      </c>
      <c r="AJ127" s="733" t="s">
        <v>3056</v>
      </c>
      <c r="AK127" s="806" t="s">
        <v>3057</v>
      </c>
      <c r="AL127" s="854" t="s">
        <v>2458</v>
      </c>
      <c r="AM127" s="728" t="s">
        <v>3773</v>
      </c>
      <c r="AN127" s="729"/>
      <c r="AO127" s="733"/>
      <c r="AP127" s="826" t="s">
        <v>3834</v>
      </c>
      <c r="AQ127" s="721" t="s">
        <v>2255</v>
      </c>
      <c r="AR127" s="733"/>
    </row>
    <row r="128" spans="1:265" x14ac:dyDescent="0.2">
      <c r="A128" s="708" t="s">
        <v>594</v>
      </c>
      <c r="B128" s="805"/>
      <c r="C128" s="732" t="s">
        <v>2500</v>
      </c>
      <c r="D128" s="733" t="s">
        <v>383</v>
      </c>
      <c r="E128" s="692" t="s">
        <v>3771</v>
      </c>
      <c r="F128" s="733" t="s">
        <v>484</v>
      </c>
      <c r="G128" s="733" t="s">
        <v>2558</v>
      </c>
      <c r="H128" s="725" t="s">
        <v>2593</v>
      </c>
      <c r="I128" s="725" t="s">
        <v>2594</v>
      </c>
      <c r="J128" s="725" t="s">
        <v>2595</v>
      </c>
      <c r="K128" s="709" t="s">
        <v>458</v>
      </c>
      <c r="L128" s="735" t="s">
        <v>975</v>
      </c>
      <c r="M128" s="696"/>
      <c r="N128" s="696">
        <v>79.989999999999995</v>
      </c>
      <c r="O128" s="733">
        <v>3</v>
      </c>
      <c r="P128" s="737">
        <v>24</v>
      </c>
      <c r="Q128" s="711">
        <f>4.9/16</f>
        <v>0.30625000000000002</v>
      </c>
      <c r="R128" s="852">
        <v>2.2999999999999998</v>
      </c>
      <c r="S128" s="852">
        <v>1.3</v>
      </c>
      <c r="T128" s="738">
        <v>1.8</v>
      </c>
      <c r="U128" s="739">
        <v>0.48599999999999999</v>
      </c>
      <c r="V128" s="733">
        <v>7.87</v>
      </c>
      <c r="W128" s="733">
        <v>5.125</v>
      </c>
      <c r="X128" s="737">
        <v>2.375</v>
      </c>
      <c r="Y128" s="739">
        <v>1.8</v>
      </c>
      <c r="Z128" s="733">
        <v>7.75</v>
      </c>
      <c r="AA128" s="733">
        <v>8.25</v>
      </c>
      <c r="AB128" s="737">
        <v>5.5</v>
      </c>
      <c r="AC128" s="739">
        <v>8.17</v>
      </c>
      <c r="AD128" s="733">
        <v>16.100000000000001</v>
      </c>
      <c r="AE128" s="733">
        <v>9.1</v>
      </c>
      <c r="AF128" s="737">
        <v>12.4</v>
      </c>
      <c r="AG128" s="702">
        <f t="shared" si="5"/>
        <v>1.0513449074074077</v>
      </c>
      <c r="AH128" s="853" t="s">
        <v>3055</v>
      </c>
      <c r="AI128" s="733" t="s">
        <v>2487</v>
      </c>
      <c r="AJ128" s="733" t="s">
        <v>3056</v>
      </c>
      <c r="AK128" s="806" t="s">
        <v>3057</v>
      </c>
      <c r="AL128" s="854" t="s">
        <v>3059</v>
      </c>
      <c r="AM128" s="728" t="s">
        <v>3060</v>
      </c>
      <c r="AN128" s="729"/>
      <c r="AO128" s="733"/>
      <c r="AP128" s="826" t="s">
        <v>3835</v>
      </c>
      <c r="AQ128" s="721" t="s">
        <v>2255</v>
      </c>
      <c r="AR128" s="733"/>
    </row>
    <row r="129" spans="1:44" x14ac:dyDescent="0.2">
      <c r="A129" s="855" t="s">
        <v>594</v>
      </c>
      <c r="B129" s="856"/>
      <c r="C129" s="857" t="s">
        <v>2494</v>
      </c>
      <c r="D129" s="668" t="s">
        <v>383</v>
      </c>
      <c r="E129" s="692" t="s">
        <v>2359</v>
      </c>
      <c r="F129" s="668" t="s">
        <v>484</v>
      </c>
      <c r="G129" s="713" t="s">
        <v>3619</v>
      </c>
      <c r="H129" s="725" t="s">
        <v>2573</v>
      </c>
      <c r="I129" s="820">
        <v>10054269001534</v>
      </c>
      <c r="J129" s="725" t="s">
        <v>2574</v>
      </c>
      <c r="K129" s="709" t="s">
        <v>458</v>
      </c>
      <c r="L129" s="735" t="s">
        <v>975</v>
      </c>
      <c r="M129" s="696"/>
      <c r="N129" s="696">
        <v>14.99</v>
      </c>
      <c r="O129" s="733">
        <v>4</v>
      </c>
      <c r="P129" s="737">
        <v>16</v>
      </c>
      <c r="Q129" s="711">
        <f>CONVERT(70.9,"g","lbm")</f>
        <v>0.1563077438890782</v>
      </c>
      <c r="R129" s="712">
        <v>1.875</v>
      </c>
      <c r="S129" s="712">
        <v>1.875</v>
      </c>
      <c r="T129" s="740" t="s">
        <v>2686</v>
      </c>
      <c r="U129" s="705">
        <f>CONVERT(90,"g","lbm")</f>
        <v>0.19841603596638982</v>
      </c>
      <c r="V129" s="777">
        <v>4.5</v>
      </c>
      <c r="W129" s="777">
        <v>2.125</v>
      </c>
      <c r="X129" s="778">
        <v>7</v>
      </c>
      <c r="Y129" s="705">
        <f>CONVERT(430,"g","lbm")</f>
        <v>0.94798772739497361</v>
      </c>
      <c r="Z129" s="777">
        <v>7.5</v>
      </c>
      <c r="AA129" s="777">
        <v>5.5</v>
      </c>
      <c r="AB129" s="778">
        <v>4.625</v>
      </c>
      <c r="AC129" s="705">
        <v>4.5999999999999996</v>
      </c>
      <c r="AD129" s="713">
        <f>CONVERT(30,"cm","in")</f>
        <v>11.811023622047244</v>
      </c>
      <c r="AE129" s="713">
        <f>CONVERT(21,"cm","in")</f>
        <v>8.2677165354330722</v>
      </c>
      <c r="AF129" s="714">
        <f>CONVERT(25,"cm","in")</f>
        <v>9.8425196850393704</v>
      </c>
      <c r="AG129" s="702">
        <f t="shared" si="5"/>
        <v>0.5562060008634454</v>
      </c>
      <c r="AH129" s="733" t="s">
        <v>2373</v>
      </c>
      <c r="AI129" s="733" t="s">
        <v>2374</v>
      </c>
      <c r="AJ129" s="733" t="s">
        <v>2633</v>
      </c>
      <c r="AK129" s="733" t="s">
        <v>2634</v>
      </c>
      <c r="AL129" s="733" t="s">
        <v>2460</v>
      </c>
      <c r="AM129" s="733" t="s">
        <v>2635</v>
      </c>
      <c r="AN129" s="733" t="s">
        <v>2378</v>
      </c>
      <c r="AO129" s="728" t="s">
        <v>3779</v>
      </c>
      <c r="AP129" s="733" t="s">
        <v>3313</v>
      </c>
      <c r="AQ129" s="722" t="s">
        <v>2255</v>
      </c>
    </row>
    <row r="130" spans="1:44" x14ac:dyDescent="0.2">
      <c r="A130" s="855" t="s">
        <v>594</v>
      </c>
      <c r="B130" s="856"/>
      <c r="C130" s="857" t="s">
        <v>2494</v>
      </c>
      <c r="D130" s="668" t="s">
        <v>370</v>
      </c>
      <c r="E130" s="692" t="s">
        <v>2359</v>
      </c>
      <c r="F130" s="668" t="s">
        <v>217</v>
      </c>
      <c r="G130" s="713" t="s">
        <v>3619</v>
      </c>
      <c r="H130" s="725" t="s">
        <v>2575</v>
      </c>
      <c r="I130" s="725" t="s">
        <v>2576</v>
      </c>
      <c r="J130" s="725" t="s">
        <v>2577</v>
      </c>
      <c r="K130" s="709" t="s">
        <v>458</v>
      </c>
      <c r="L130" s="735" t="s">
        <v>975</v>
      </c>
      <c r="M130" s="696"/>
      <c r="N130" s="696">
        <v>14.99</v>
      </c>
      <c r="O130" s="733">
        <v>4</v>
      </c>
      <c r="P130" s="737">
        <v>16</v>
      </c>
      <c r="Q130" s="711">
        <f>CONVERT(70.9,"g","lbm")</f>
        <v>0.1563077438890782</v>
      </c>
      <c r="R130" s="712">
        <v>1.875</v>
      </c>
      <c r="S130" s="712">
        <v>1.875</v>
      </c>
      <c r="T130" s="740" t="s">
        <v>2686</v>
      </c>
      <c r="U130" s="705">
        <f>CONVERT(90,"g","lbm")</f>
        <v>0.19841603596638982</v>
      </c>
      <c r="V130" s="777">
        <v>4.5</v>
      </c>
      <c r="W130" s="777">
        <v>2.125</v>
      </c>
      <c r="X130" s="778">
        <v>7</v>
      </c>
      <c r="Y130" s="705">
        <f>CONVERT(430,"g","lbm")</f>
        <v>0.94798772739497361</v>
      </c>
      <c r="Z130" s="777">
        <v>7.5</v>
      </c>
      <c r="AA130" s="777">
        <v>5.5</v>
      </c>
      <c r="AB130" s="778">
        <v>4.625</v>
      </c>
      <c r="AC130" s="705">
        <v>4.5999999999999996</v>
      </c>
      <c r="AD130" s="713">
        <f>CONVERT(30,"cm","in")</f>
        <v>11.811023622047244</v>
      </c>
      <c r="AE130" s="713">
        <f>CONVERT(21,"cm","in")</f>
        <v>8.2677165354330722</v>
      </c>
      <c r="AF130" s="714">
        <f>CONVERT(25,"cm","in")</f>
        <v>9.8425196850393704</v>
      </c>
      <c r="AG130" s="702">
        <f t="shared" si="5"/>
        <v>0.5562060008634454</v>
      </c>
      <c r="AH130" s="733" t="s">
        <v>2373</v>
      </c>
      <c r="AI130" s="733" t="s">
        <v>2374</v>
      </c>
      <c r="AJ130" s="733" t="s">
        <v>2633</v>
      </c>
      <c r="AK130" s="733" t="s">
        <v>2634</v>
      </c>
      <c r="AL130" s="733" t="s">
        <v>2460</v>
      </c>
      <c r="AM130" s="733" t="s">
        <v>2635</v>
      </c>
      <c r="AN130" s="733" t="s">
        <v>2378</v>
      </c>
      <c r="AO130" s="728" t="s">
        <v>3779</v>
      </c>
      <c r="AP130" s="733" t="s">
        <v>3313</v>
      </c>
      <c r="AQ130" s="722" t="s">
        <v>2255</v>
      </c>
    </row>
    <row r="131" spans="1:44" x14ac:dyDescent="0.2">
      <c r="A131" s="855" t="s">
        <v>594</v>
      </c>
      <c r="B131" s="856"/>
      <c r="C131" s="857" t="s">
        <v>2494</v>
      </c>
      <c r="D131" s="668" t="s">
        <v>374</v>
      </c>
      <c r="E131" s="692" t="s">
        <v>2359</v>
      </c>
      <c r="F131" s="668" t="s">
        <v>219</v>
      </c>
      <c r="G131" s="713" t="s">
        <v>3619</v>
      </c>
      <c r="H131" s="725" t="s">
        <v>2578</v>
      </c>
      <c r="I131" s="725" t="s">
        <v>2579</v>
      </c>
      <c r="J131" s="725" t="s">
        <v>2580</v>
      </c>
      <c r="K131" s="709" t="s">
        <v>458</v>
      </c>
      <c r="L131" s="735" t="s">
        <v>975</v>
      </c>
      <c r="M131" s="696"/>
      <c r="N131" s="696">
        <v>14.99</v>
      </c>
      <c r="O131" s="733">
        <v>4</v>
      </c>
      <c r="P131" s="737">
        <v>16</v>
      </c>
      <c r="Q131" s="711">
        <f>CONVERT(70.9,"g","lbm")</f>
        <v>0.1563077438890782</v>
      </c>
      <c r="R131" s="712">
        <v>1.875</v>
      </c>
      <c r="S131" s="712">
        <v>1.875</v>
      </c>
      <c r="T131" s="740" t="s">
        <v>2686</v>
      </c>
      <c r="U131" s="705">
        <f>CONVERT(90,"g","lbm")</f>
        <v>0.19841603596638982</v>
      </c>
      <c r="V131" s="777">
        <v>4.5</v>
      </c>
      <c r="W131" s="777">
        <v>2.125</v>
      </c>
      <c r="X131" s="778">
        <v>7</v>
      </c>
      <c r="Y131" s="705">
        <f>CONVERT(430,"g","lbm")</f>
        <v>0.94798772739497361</v>
      </c>
      <c r="Z131" s="777">
        <v>7.5</v>
      </c>
      <c r="AA131" s="777">
        <v>5.5</v>
      </c>
      <c r="AB131" s="778">
        <v>4.625</v>
      </c>
      <c r="AC131" s="705">
        <v>4.5999999999999996</v>
      </c>
      <c r="AD131" s="713">
        <f>CONVERT(30,"cm","in")</f>
        <v>11.811023622047244</v>
      </c>
      <c r="AE131" s="713">
        <f>CONVERT(21,"cm","in")</f>
        <v>8.2677165354330722</v>
      </c>
      <c r="AF131" s="714">
        <f>CONVERT(25,"cm","in")</f>
        <v>9.8425196850393704</v>
      </c>
      <c r="AG131" s="702">
        <f t="shared" si="5"/>
        <v>0.5562060008634454</v>
      </c>
      <c r="AH131" s="733" t="s">
        <v>2373</v>
      </c>
      <c r="AI131" s="733" t="s">
        <v>2374</v>
      </c>
      <c r="AJ131" s="733" t="s">
        <v>2633</v>
      </c>
      <c r="AK131" s="733" t="s">
        <v>2634</v>
      </c>
      <c r="AL131" s="733" t="s">
        <v>2460</v>
      </c>
      <c r="AM131" s="733" t="s">
        <v>2635</v>
      </c>
      <c r="AN131" s="733" t="s">
        <v>2378</v>
      </c>
      <c r="AO131" s="728" t="s">
        <v>3779</v>
      </c>
      <c r="AP131" s="733" t="s">
        <v>3313</v>
      </c>
      <c r="AQ131" s="722" t="s">
        <v>2255</v>
      </c>
    </row>
    <row r="132" spans="1:44" s="693" customFormat="1" x14ac:dyDescent="0.2">
      <c r="A132" s="708" t="s">
        <v>594</v>
      </c>
      <c r="B132" s="724"/>
      <c r="C132" s="713" t="s">
        <v>2088</v>
      </c>
      <c r="D132" s="713"/>
      <c r="E132" s="819" t="s">
        <v>2221</v>
      </c>
      <c r="F132" s="713" t="s">
        <v>3620</v>
      </c>
      <c r="G132" s="713" t="s">
        <v>3619</v>
      </c>
      <c r="H132" s="858" t="s">
        <v>2089</v>
      </c>
      <c r="I132" s="859" t="s">
        <v>2571</v>
      </c>
      <c r="J132" s="859" t="s">
        <v>2572</v>
      </c>
      <c r="K132" s="709" t="s">
        <v>458</v>
      </c>
      <c r="L132" s="710" t="s">
        <v>975</v>
      </c>
      <c r="M132" s="696"/>
      <c r="N132" s="696">
        <v>19.989999999999998</v>
      </c>
      <c r="O132" s="821">
        <v>6</v>
      </c>
      <c r="P132" s="727">
        <v>72</v>
      </c>
      <c r="Q132" s="711">
        <f>CONVERT(90.8,"g","lbm")</f>
        <v>0.20017973406386882</v>
      </c>
      <c r="R132" s="712">
        <v>1.875</v>
      </c>
      <c r="S132" s="712">
        <v>1.875</v>
      </c>
      <c r="T132" s="860" t="s">
        <v>2726</v>
      </c>
      <c r="U132" s="705">
        <v>0.25</v>
      </c>
      <c r="V132" s="713">
        <v>4.5</v>
      </c>
      <c r="W132" s="713">
        <v>2</v>
      </c>
      <c r="X132" s="714">
        <v>7</v>
      </c>
      <c r="Y132" s="705">
        <f>42.2/16</f>
        <v>2.6375000000000002</v>
      </c>
      <c r="Z132" s="713">
        <v>7.75</v>
      </c>
      <c r="AA132" s="713">
        <v>5.25</v>
      </c>
      <c r="AB132" s="714">
        <v>6.625</v>
      </c>
      <c r="AC132" s="705">
        <f>CONVERT(9890,"g","lbm")</f>
        <v>21.803717730084394</v>
      </c>
      <c r="AD132" s="713">
        <f>CONVERT(0.42,"m","in")</f>
        <v>16.535433070866141</v>
      </c>
      <c r="AE132" s="713">
        <f>CONVERT(0.4,"m","in")</f>
        <v>15.748031496062993</v>
      </c>
      <c r="AF132" s="714">
        <f>CONVERT(0.35,"m","in")</f>
        <v>13.779527559055119</v>
      </c>
      <c r="AG132" s="702">
        <f t="shared" si="5"/>
        <v>2.0765024032235289</v>
      </c>
      <c r="AH132" s="668" t="s">
        <v>3788</v>
      </c>
      <c r="AI132" s="668" t="s">
        <v>2374</v>
      </c>
      <c r="AJ132" s="668" t="s">
        <v>2375</v>
      </c>
      <c r="AK132" s="668" t="s">
        <v>2376</v>
      </c>
      <c r="AL132" s="668" t="s">
        <v>2381</v>
      </c>
      <c r="AM132" s="668" t="s">
        <v>3769</v>
      </c>
      <c r="AN132" s="728" t="s">
        <v>3782</v>
      </c>
      <c r="AO132" s="715"/>
      <c r="AP132" s="668" t="s">
        <v>2380</v>
      </c>
      <c r="AQ132" s="722" t="s">
        <v>2255</v>
      </c>
      <c r="AR132" s="715"/>
    </row>
    <row r="133" spans="1:44" x14ac:dyDescent="0.2">
      <c r="A133" s="708" t="s">
        <v>594</v>
      </c>
      <c r="B133" s="731"/>
      <c r="C133" s="732" t="s">
        <v>2501</v>
      </c>
      <c r="E133" s="692" t="s">
        <v>2502</v>
      </c>
      <c r="F133" s="668" t="s">
        <v>484</v>
      </c>
      <c r="G133" s="713" t="s">
        <v>3619</v>
      </c>
      <c r="H133" s="725" t="s">
        <v>2596</v>
      </c>
      <c r="I133" s="725" t="s">
        <v>2597</v>
      </c>
      <c r="J133" s="725" t="s">
        <v>2598</v>
      </c>
      <c r="K133" s="709" t="s">
        <v>458</v>
      </c>
      <c r="L133" s="735" t="s">
        <v>975</v>
      </c>
      <c r="M133" s="696"/>
      <c r="N133" s="696">
        <v>29.99</v>
      </c>
      <c r="O133" s="733">
        <v>4</v>
      </c>
      <c r="P133" s="737">
        <v>16</v>
      </c>
      <c r="Q133" s="711">
        <f>CONVERT(116.08,"g","lbm")</f>
        <v>0.2559125939442059</v>
      </c>
      <c r="R133" s="712">
        <v>2</v>
      </c>
      <c r="S133" s="712">
        <v>2</v>
      </c>
      <c r="T133" s="860" t="s">
        <v>2726</v>
      </c>
      <c r="U133" s="705">
        <f>CONVERT(155,"g","lbm")</f>
        <v>0.34171650638656026</v>
      </c>
      <c r="V133" s="777">
        <v>4.5</v>
      </c>
      <c r="W133" s="777">
        <v>2.375</v>
      </c>
      <c r="X133" s="778">
        <v>7</v>
      </c>
      <c r="Y133" s="705">
        <f>CONVERT(675,"g","lbm")</f>
        <v>1.4881202697479237</v>
      </c>
      <c r="Z133" s="777">
        <v>7.5</v>
      </c>
      <c r="AA133" s="777">
        <v>5.5</v>
      </c>
      <c r="AB133" s="778">
        <v>5</v>
      </c>
      <c r="AC133" s="705">
        <v>6.7</v>
      </c>
      <c r="AD133" s="713">
        <f>CONVERT(30,"cm","in")</f>
        <v>11.811023622047244</v>
      </c>
      <c r="AE133" s="713">
        <f>CONVERT(21,"cm","in")</f>
        <v>8.2677165354330722</v>
      </c>
      <c r="AF133" s="714">
        <f>CONVERT(27,"cm","in")</f>
        <v>10.62992125984252</v>
      </c>
      <c r="AG133" s="702">
        <f t="shared" si="5"/>
        <v>0.6007024809325211</v>
      </c>
      <c r="AH133" s="861" t="s">
        <v>3787</v>
      </c>
      <c r="AI133" s="861" t="s">
        <v>3299</v>
      </c>
      <c r="AJ133" s="861" t="s">
        <v>3307</v>
      </c>
      <c r="AK133" s="861" t="s">
        <v>1950</v>
      </c>
      <c r="AL133" s="668" t="s">
        <v>3308</v>
      </c>
      <c r="AM133" s="862" t="s">
        <v>3309</v>
      </c>
      <c r="AN133" s="668" t="s">
        <v>3304</v>
      </c>
      <c r="AO133" s="715" t="s">
        <v>3783</v>
      </c>
      <c r="AP133" s="733" t="s">
        <v>3310</v>
      </c>
      <c r="AQ133" s="722" t="s">
        <v>2255</v>
      </c>
      <c r="AR133" s="715"/>
    </row>
    <row r="134" spans="1:44" s="693" customFormat="1" x14ac:dyDescent="0.2">
      <c r="A134" s="708" t="s">
        <v>594</v>
      </c>
      <c r="B134" s="724"/>
      <c r="C134" s="708" t="s">
        <v>1900</v>
      </c>
      <c r="D134" s="713"/>
      <c r="E134" s="692" t="s">
        <v>3792</v>
      </c>
      <c r="F134" s="703" t="s">
        <v>218</v>
      </c>
      <c r="G134" s="713" t="s">
        <v>3619</v>
      </c>
      <c r="H134" s="858" t="s">
        <v>1901</v>
      </c>
      <c r="I134" s="859" t="s">
        <v>3341</v>
      </c>
      <c r="J134" s="859" t="s">
        <v>3342</v>
      </c>
      <c r="K134" s="709" t="s">
        <v>458</v>
      </c>
      <c r="L134" s="710" t="s">
        <v>975</v>
      </c>
      <c r="M134" s="696"/>
      <c r="N134" s="696">
        <v>49.99</v>
      </c>
      <c r="O134" s="733">
        <v>4</v>
      </c>
      <c r="P134" s="737">
        <v>16</v>
      </c>
      <c r="Q134" s="711">
        <f>CONVERT(128,"g","lbm")</f>
        <v>0.28219169559664331</v>
      </c>
      <c r="R134" s="712">
        <v>1.7</v>
      </c>
      <c r="S134" s="712">
        <v>1.7</v>
      </c>
      <c r="T134" s="740" t="s">
        <v>2687</v>
      </c>
      <c r="U134" s="705">
        <f>CONVERT(160,"g","lbm")</f>
        <v>0.35273961949580412</v>
      </c>
      <c r="V134" s="713">
        <v>4.5</v>
      </c>
      <c r="W134" s="713">
        <v>2.375</v>
      </c>
      <c r="X134" s="714">
        <v>7</v>
      </c>
      <c r="Y134" s="705">
        <f>CONVERT(690,"g","lbm")</f>
        <v>1.5211896090756551</v>
      </c>
      <c r="Z134" s="713">
        <v>7.75</v>
      </c>
      <c r="AA134" s="713">
        <v>5.625</v>
      </c>
      <c r="AB134" s="714">
        <v>5</v>
      </c>
      <c r="AC134" s="705">
        <v>6.85</v>
      </c>
      <c r="AD134" s="713">
        <v>11.75</v>
      </c>
      <c r="AE134" s="713">
        <v>8.5</v>
      </c>
      <c r="AF134" s="714">
        <v>10.75</v>
      </c>
      <c r="AG134" s="702">
        <f t="shared" si="5"/>
        <v>0.62132884837962965</v>
      </c>
      <c r="AH134" s="861" t="s">
        <v>3787</v>
      </c>
      <c r="AI134" s="861" t="s">
        <v>3300</v>
      </c>
      <c r="AJ134" s="861" t="s">
        <v>2435</v>
      </c>
      <c r="AK134" s="861" t="s">
        <v>1950</v>
      </c>
      <c r="AL134" s="668" t="s">
        <v>2436</v>
      </c>
      <c r="AM134" s="862" t="s">
        <v>2438</v>
      </c>
      <c r="AN134" s="668" t="s">
        <v>3304</v>
      </c>
      <c r="AO134" s="715" t="s">
        <v>3784</v>
      </c>
      <c r="AP134" s="715" t="s">
        <v>2437</v>
      </c>
      <c r="AQ134" s="722" t="s">
        <v>2255</v>
      </c>
      <c r="AR134" s="715"/>
    </row>
    <row r="135" spans="1:44" s="693" customFormat="1" x14ac:dyDescent="0.2">
      <c r="A135" s="693" t="s">
        <v>594</v>
      </c>
      <c r="B135" s="716"/>
      <c r="C135" s="713" t="s">
        <v>1871</v>
      </c>
      <c r="D135" s="713"/>
      <c r="E135" s="707" t="s">
        <v>2224</v>
      </c>
      <c r="G135" s="708" t="s">
        <v>2547</v>
      </c>
      <c r="H135" s="709" t="s">
        <v>1869</v>
      </c>
      <c r="I135" s="782" t="s">
        <v>3323</v>
      </c>
      <c r="J135" s="782" t="s">
        <v>3324</v>
      </c>
      <c r="K135" s="709" t="s">
        <v>458</v>
      </c>
      <c r="L135" s="710" t="s">
        <v>975</v>
      </c>
      <c r="M135" s="696"/>
      <c r="N135" s="751">
        <v>12.99</v>
      </c>
      <c r="O135" s="697">
        <v>12</v>
      </c>
      <c r="P135" s="698">
        <v>48</v>
      </c>
      <c r="Q135" s="711">
        <f>CONVERT(36,"g","lbm")</f>
        <v>7.9366414386555922E-2</v>
      </c>
      <c r="R135" s="712">
        <v>9</v>
      </c>
      <c r="S135" s="712">
        <v>1</v>
      </c>
      <c r="T135" s="720">
        <v>0.875</v>
      </c>
      <c r="U135" s="705">
        <v>0.16</v>
      </c>
      <c r="V135" s="713">
        <v>3.375</v>
      </c>
      <c r="W135" s="713">
        <v>1</v>
      </c>
      <c r="X135" s="714">
        <v>10.25</v>
      </c>
      <c r="Y135" s="705">
        <f>CONVERT(900,"g","lbm")</f>
        <v>1.9841603596638981</v>
      </c>
      <c r="Z135" s="713">
        <f>CONVERT(0.26,"m","in")</f>
        <v>10.236220472440944</v>
      </c>
      <c r="AA135" s="713">
        <f>CONVERT(0.16,"m","in")</f>
        <v>6.2992125984251972</v>
      </c>
      <c r="AB135" s="714">
        <f>CONVERT(0.11,"m","in")</f>
        <v>4.3307086614173231</v>
      </c>
      <c r="AC135" s="705">
        <f>CONVERT(4200,"g","lbm")</f>
        <v>9.2594150117648581</v>
      </c>
      <c r="AD135" s="713">
        <f>CONVERT(0.35,"m","in")</f>
        <v>13.779527559055119</v>
      </c>
      <c r="AE135" s="713">
        <f>CONVERT(0.28,"m","in")</f>
        <v>11.023622047244096</v>
      </c>
      <c r="AF135" s="714">
        <f>CONVERT(0.24,"m","in")</f>
        <v>9.4488188976377945</v>
      </c>
      <c r="AG135" s="702">
        <f t="shared" si="5"/>
        <v>0.83060096128941163</v>
      </c>
      <c r="AH135" s="715" t="s">
        <v>2449</v>
      </c>
      <c r="AI135" s="715" t="s">
        <v>3302</v>
      </c>
      <c r="AJ135" s="715" t="s">
        <v>2444</v>
      </c>
      <c r="AK135" s="715" t="s">
        <v>2445</v>
      </c>
      <c r="AL135" s="715" t="s">
        <v>2446</v>
      </c>
      <c r="AM135" s="715" t="s">
        <v>2447</v>
      </c>
      <c r="AN135" s="715" t="s">
        <v>2450</v>
      </c>
      <c r="AO135" s="715"/>
      <c r="AP135" s="715" t="s">
        <v>2448</v>
      </c>
      <c r="AQ135" s="722" t="s">
        <v>2255</v>
      </c>
      <c r="AR135" s="715"/>
    </row>
    <row r="136" spans="1:44" s="693" customFormat="1" x14ac:dyDescent="0.2">
      <c r="A136" s="693" t="s">
        <v>594</v>
      </c>
      <c r="B136" s="716"/>
      <c r="C136" s="713" t="s">
        <v>1506</v>
      </c>
      <c r="D136" s="713"/>
      <c r="E136" s="707" t="s">
        <v>2226</v>
      </c>
      <c r="G136" s="708" t="s">
        <v>2547</v>
      </c>
      <c r="H136" s="709" t="s">
        <v>1508</v>
      </c>
      <c r="I136" s="782" t="s">
        <v>3325</v>
      </c>
      <c r="J136" s="782" t="s">
        <v>3326</v>
      </c>
      <c r="K136" s="709" t="s">
        <v>458</v>
      </c>
      <c r="L136" s="710" t="s">
        <v>975</v>
      </c>
      <c r="M136" s="696"/>
      <c r="N136" s="696">
        <v>19.989999999999998</v>
      </c>
      <c r="O136" s="697">
        <v>6</v>
      </c>
      <c r="P136" s="698">
        <v>36</v>
      </c>
      <c r="Q136" s="711">
        <f>CONVERT(36,"g","lbm")</f>
        <v>7.9366414386555922E-2</v>
      </c>
      <c r="R136" s="712">
        <v>9</v>
      </c>
      <c r="S136" s="712">
        <v>1</v>
      </c>
      <c r="T136" s="720">
        <v>0.875</v>
      </c>
      <c r="U136" s="705">
        <v>0.32</v>
      </c>
      <c r="V136" s="713">
        <v>4.5</v>
      </c>
      <c r="W136" s="713">
        <v>1</v>
      </c>
      <c r="X136" s="714">
        <v>10.625</v>
      </c>
      <c r="Y136" s="705">
        <f>CONVERT(900,"g","lbm")</f>
        <v>1.9841603596638981</v>
      </c>
      <c r="Z136" s="713">
        <f>CONVERT(0.29,"m","in")</f>
        <v>11.417322834645669</v>
      </c>
      <c r="AA136" s="713">
        <f>CONVERT(0.11,"m","in")</f>
        <v>4.3307086614173231</v>
      </c>
      <c r="AB136" s="714">
        <f>CONVERT(0.11,"m","in")</f>
        <v>4.3307086614173231</v>
      </c>
      <c r="AC136" s="705">
        <f>CONVERT(6000,"g","lbm")</f>
        <v>13.227735731092654</v>
      </c>
      <c r="AD136" s="713">
        <f>CONVERT(0.39,"m","in")</f>
        <v>15.354330708661417</v>
      </c>
      <c r="AE136" s="713">
        <f>CONVERT(0.29,"m","in")</f>
        <v>11.417322834645669</v>
      </c>
      <c r="AF136" s="714">
        <f>CONVERT(0.24,"m","in")</f>
        <v>9.4488188976377945</v>
      </c>
      <c r="AG136" s="702">
        <f t="shared" si="5"/>
        <v>0.95858131348808606</v>
      </c>
      <c r="AH136" s="715" t="s">
        <v>2449</v>
      </c>
      <c r="AI136" s="715" t="s">
        <v>3302</v>
      </c>
      <c r="AJ136" s="715" t="s">
        <v>2444</v>
      </c>
      <c r="AK136" s="715" t="s">
        <v>2445</v>
      </c>
      <c r="AL136" s="715" t="s">
        <v>2446</v>
      </c>
      <c r="AM136" s="715" t="s">
        <v>2447</v>
      </c>
      <c r="AN136" s="715" t="s">
        <v>2450</v>
      </c>
      <c r="AO136" s="715"/>
      <c r="AP136" s="715" t="s">
        <v>2448</v>
      </c>
      <c r="AQ136" s="722" t="s">
        <v>2255</v>
      </c>
      <c r="AR136" s="715"/>
    </row>
    <row r="137" spans="1:44" s="693" customFormat="1" x14ac:dyDescent="0.2">
      <c r="A137" s="693" t="s">
        <v>594</v>
      </c>
      <c r="B137" s="716"/>
      <c r="C137" s="713" t="s">
        <v>1883</v>
      </c>
      <c r="D137" s="713"/>
      <c r="E137" s="707" t="s">
        <v>2225</v>
      </c>
      <c r="G137" s="708" t="s">
        <v>2547</v>
      </c>
      <c r="H137" s="709" t="s">
        <v>1884</v>
      </c>
      <c r="I137" s="782" t="s">
        <v>3327</v>
      </c>
      <c r="J137" s="782" t="s">
        <v>3328</v>
      </c>
      <c r="K137" s="709" t="s">
        <v>458</v>
      </c>
      <c r="L137" s="710" t="s">
        <v>975</v>
      </c>
      <c r="M137" s="696"/>
      <c r="N137" s="696">
        <v>14.99</v>
      </c>
      <c r="O137" s="697">
        <v>12</v>
      </c>
      <c r="P137" s="698">
        <v>48</v>
      </c>
      <c r="Q137" s="711">
        <f>CONVERT(36,"g","lbm")</f>
        <v>7.9366414386555922E-2</v>
      </c>
      <c r="R137" s="712">
        <v>9</v>
      </c>
      <c r="S137" s="712">
        <v>1</v>
      </c>
      <c r="T137" s="720">
        <v>0.875</v>
      </c>
      <c r="U137" s="705">
        <v>0.16</v>
      </c>
      <c r="V137" s="713">
        <v>3.375</v>
      </c>
      <c r="W137" s="713">
        <v>1</v>
      </c>
      <c r="X137" s="714">
        <v>10.25</v>
      </c>
      <c r="Y137" s="705">
        <f>CONVERT(900,"g","lbm")</f>
        <v>1.9841603596638981</v>
      </c>
      <c r="Z137" s="713">
        <f>CONVERT(0.26,"m","in")</f>
        <v>10.236220472440944</v>
      </c>
      <c r="AA137" s="713">
        <f>CONVERT(0.16,"m","in")</f>
        <v>6.2992125984251972</v>
      </c>
      <c r="AB137" s="714">
        <f>CONVERT(0.11,"m","in")</f>
        <v>4.3307086614173231</v>
      </c>
      <c r="AC137" s="705">
        <f>CONVERT(4200,"g","lbm")</f>
        <v>9.2594150117648581</v>
      </c>
      <c r="AD137" s="713">
        <f>CONVERT(0.35,"m","in")</f>
        <v>13.779527559055119</v>
      </c>
      <c r="AE137" s="713">
        <f>CONVERT(0.28,"m","in")</f>
        <v>11.023622047244096</v>
      </c>
      <c r="AF137" s="714">
        <f>CONVERT(0.24,"m","in")</f>
        <v>9.4488188976377945</v>
      </c>
      <c r="AG137" s="702">
        <f t="shared" si="5"/>
        <v>0.83060096128941163</v>
      </c>
      <c r="AH137" s="693" t="s">
        <v>2452</v>
      </c>
      <c r="AI137" s="825" t="s">
        <v>3303</v>
      </c>
      <c r="AJ137" s="715" t="s">
        <v>2445</v>
      </c>
      <c r="AK137" s="715" t="s">
        <v>2446</v>
      </c>
      <c r="AL137" s="715" t="s">
        <v>2447</v>
      </c>
      <c r="AM137" s="693" t="s">
        <v>2453</v>
      </c>
      <c r="AN137" s="715" t="s">
        <v>2450</v>
      </c>
      <c r="AP137" s="693" t="s">
        <v>2454</v>
      </c>
      <c r="AQ137" s="722" t="s">
        <v>2255</v>
      </c>
      <c r="AR137" s="715"/>
    </row>
    <row r="138" spans="1:44" s="693" customFormat="1" x14ac:dyDescent="0.2">
      <c r="C138" s="703"/>
      <c r="D138" s="703"/>
      <c r="E138" s="707"/>
      <c r="H138" s="709"/>
      <c r="I138" s="709"/>
      <c r="J138" s="709"/>
      <c r="K138" s="668"/>
      <c r="L138" s="710"/>
      <c r="M138" s="696"/>
      <c r="N138" s="696"/>
      <c r="O138" s="697"/>
      <c r="P138" s="698"/>
      <c r="Q138" s="711"/>
      <c r="R138" s="712"/>
      <c r="S138" s="712"/>
      <c r="T138" s="701"/>
      <c r="U138" s="702"/>
      <c r="V138" s="703"/>
      <c r="W138" s="703"/>
      <c r="X138" s="704"/>
      <c r="Y138" s="705"/>
      <c r="Z138" s="713"/>
      <c r="AA138" s="713"/>
      <c r="AB138" s="714"/>
      <c r="AC138" s="702"/>
      <c r="AD138" s="703"/>
      <c r="AE138" s="703"/>
      <c r="AF138" s="704"/>
      <c r="AG138" s="702"/>
      <c r="AH138" s="715"/>
      <c r="AI138" s="715"/>
      <c r="AJ138" s="715"/>
      <c r="AK138" s="715"/>
      <c r="AL138" s="715"/>
      <c r="AM138" s="715"/>
      <c r="AN138" s="715"/>
      <c r="AO138" s="715"/>
      <c r="AP138" s="715"/>
      <c r="AQ138" s="715"/>
      <c r="AR138" s="715"/>
    </row>
    <row r="139" spans="1:44" s="693" customFormat="1" ht="15.75" x14ac:dyDescent="0.25">
      <c r="A139" s="892" t="s">
        <v>2230</v>
      </c>
      <c r="B139" s="892"/>
      <c r="C139" s="892"/>
      <c r="D139" s="691"/>
      <c r="E139" s="692"/>
      <c r="H139" s="717"/>
      <c r="I139" s="717"/>
      <c r="J139" s="717"/>
      <c r="K139" s="717"/>
      <c r="L139" s="710"/>
      <c r="M139" s="696"/>
      <c r="N139" s="696"/>
      <c r="O139" s="697"/>
      <c r="P139" s="698"/>
      <c r="Q139" s="711"/>
      <c r="R139" s="712"/>
      <c r="S139" s="712"/>
      <c r="T139" s="720"/>
      <c r="U139" s="702"/>
      <c r="V139" s="703"/>
      <c r="W139" s="703"/>
      <c r="X139" s="704"/>
      <c r="Y139" s="702"/>
      <c r="Z139" s="703"/>
      <c r="AA139" s="703"/>
      <c r="AB139" s="704"/>
      <c r="AC139" s="702"/>
      <c r="AD139" s="703"/>
      <c r="AE139" s="703"/>
      <c r="AF139" s="704"/>
      <c r="AG139" s="702"/>
      <c r="AH139" s="722"/>
      <c r="AI139" s="722"/>
      <c r="AJ139" s="861"/>
      <c r="AK139" s="861"/>
      <c r="AL139" s="863"/>
      <c r="AM139" s="863"/>
      <c r="AN139" s="715"/>
      <c r="AO139" s="730"/>
      <c r="AP139" s="715"/>
      <c r="AQ139" s="715"/>
      <c r="AR139" s="715"/>
    </row>
    <row r="140" spans="1:44" s="693" customFormat="1" x14ac:dyDescent="0.2">
      <c r="A140" s="693" t="s">
        <v>594</v>
      </c>
      <c r="B140" s="724"/>
      <c r="C140" s="692" t="s">
        <v>2237</v>
      </c>
      <c r="D140" s="692" t="s">
        <v>383</v>
      </c>
      <c r="E140" s="692" t="s">
        <v>2362</v>
      </c>
      <c r="F140" s="693" t="s">
        <v>484</v>
      </c>
      <c r="G140" s="708" t="s">
        <v>3619</v>
      </c>
      <c r="H140" s="717" t="s">
        <v>2243</v>
      </c>
      <c r="I140" s="725" t="s">
        <v>2545</v>
      </c>
      <c r="J140" s="725" t="s">
        <v>2546</v>
      </c>
      <c r="K140" s="709" t="s">
        <v>458</v>
      </c>
      <c r="L140" s="710" t="s">
        <v>975</v>
      </c>
      <c r="M140" s="696"/>
      <c r="N140" s="696">
        <v>29.99</v>
      </c>
      <c r="O140" s="821">
        <v>3</v>
      </c>
      <c r="P140" s="698">
        <v>24</v>
      </c>
      <c r="Q140" s="711">
        <f>1.6/16</f>
        <v>0.1</v>
      </c>
      <c r="R140" s="852" t="s">
        <v>2720</v>
      </c>
      <c r="S140" s="852" t="s">
        <v>2719</v>
      </c>
      <c r="T140" s="720"/>
      <c r="U140" s="705">
        <v>0.15</v>
      </c>
      <c r="V140" s="713">
        <v>7</v>
      </c>
      <c r="W140" s="713">
        <v>2</v>
      </c>
      <c r="X140" s="714">
        <v>3.75</v>
      </c>
      <c r="Y140" s="705">
        <f>10.8/16</f>
        <v>0.67500000000000004</v>
      </c>
      <c r="Z140" s="713">
        <v>7.375</v>
      </c>
      <c r="AA140" s="713">
        <v>6</v>
      </c>
      <c r="AB140" s="714">
        <v>4.125</v>
      </c>
      <c r="AC140" s="705">
        <f>CONVERT(2860,"g","lbm")</f>
        <v>6.3052206984874983</v>
      </c>
      <c r="AD140" s="713">
        <f>CONVERT(0.395,"m","in")</f>
        <v>15.551181102362206</v>
      </c>
      <c r="AE140" s="713">
        <f>CONVERT(0.318,"m","in")</f>
        <v>12.51968503937008</v>
      </c>
      <c r="AF140" s="714">
        <f>CONVERT(0.235,"m","in")</f>
        <v>9.2519685039370074</v>
      </c>
      <c r="AG140" s="702">
        <f t="shared" ref="AG140:AG147" si="6">AD140*AE140*AF140/(12^3)</f>
        <v>1.0424306924182529</v>
      </c>
      <c r="AH140" s="864" t="s">
        <v>2455</v>
      </c>
      <c r="AI140" s="864" t="s">
        <v>2487</v>
      </c>
      <c r="AJ140" s="864" t="s">
        <v>2488</v>
      </c>
      <c r="AK140" s="864" t="s">
        <v>2541</v>
      </c>
      <c r="AL140" s="864" t="s">
        <v>2456</v>
      </c>
      <c r="AM140" s="728" t="s">
        <v>3774</v>
      </c>
      <c r="AO140" s="730"/>
      <c r="AP140" s="715" t="s">
        <v>2542</v>
      </c>
      <c r="AQ140" s="722" t="s">
        <v>2255</v>
      </c>
      <c r="AR140" s="715"/>
    </row>
    <row r="141" spans="1:44" s="693" customFormat="1" x14ac:dyDescent="0.2">
      <c r="A141" s="693" t="s">
        <v>594</v>
      </c>
      <c r="B141" s="724"/>
      <c r="C141" s="692" t="s">
        <v>2237</v>
      </c>
      <c r="D141" s="692" t="s">
        <v>2239</v>
      </c>
      <c r="E141" s="692" t="s">
        <v>2362</v>
      </c>
      <c r="F141" s="693" t="s">
        <v>2241</v>
      </c>
      <c r="G141" s="708" t="s">
        <v>3619</v>
      </c>
      <c r="H141" s="717" t="s">
        <v>2244</v>
      </c>
      <c r="I141" s="725" t="s">
        <v>2548</v>
      </c>
      <c r="J141" s="725" t="s">
        <v>2549</v>
      </c>
      <c r="K141" s="709" t="s">
        <v>458</v>
      </c>
      <c r="L141" s="710" t="s">
        <v>975</v>
      </c>
      <c r="M141" s="696"/>
      <c r="N141" s="696">
        <v>29.99</v>
      </c>
      <c r="O141" s="821">
        <v>3</v>
      </c>
      <c r="P141" s="698">
        <v>24</v>
      </c>
      <c r="Q141" s="711">
        <f>1.6/16</f>
        <v>0.1</v>
      </c>
      <c r="R141" s="852" t="s">
        <v>2720</v>
      </c>
      <c r="S141" s="852" t="s">
        <v>2719</v>
      </c>
      <c r="T141" s="720"/>
      <c r="U141" s="705">
        <v>0.15</v>
      </c>
      <c r="V141" s="713">
        <v>7</v>
      </c>
      <c r="W141" s="713">
        <v>2</v>
      </c>
      <c r="X141" s="714">
        <v>3.75</v>
      </c>
      <c r="Y141" s="705">
        <f>10.8/16</f>
        <v>0.67500000000000004</v>
      </c>
      <c r="Z141" s="713">
        <v>7.375</v>
      </c>
      <c r="AA141" s="713">
        <v>6</v>
      </c>
      <c r="AB141" s="714">
        <v>4.125</v>
      </c>
      <c r="AC141" s="705">
        <f>CONVERT(2860,"g","lbm")</f>
        <v>6.3052206984874983</v>
      </c>
      <c r="AD141" s="713">
        <f>CONVERT(0.395,"m","in")</f>
        <v>15.551181102362206</v>
      </c>
      <c r="AE141" s="713">
        <f>CONVERT(0.318,"m","in")</f>
        <v>12.51968503937008</v>
      </c>
      <c r="AF141" s="714">
        <f>CONVERT(0.235,"m","in")</f>
        <v>9.2519685039370074</v>
      </c>
      <c r="AG141" s="702">
        <f t="shared" si="6"/>
        <v>1.0424306924182529</v>
      </c>
      <c r="AH141" s="864" t="s">
        <v>2455</v>
      </c>
      <c r="AI141" s="864" t="s">
        <v>2487</v>
      </c>
      <c r="AJ141" s="864" t="s">
        <v>2488</v>
      </c>
      <c r="AK141" s="864" t="s">
        <v>2541</v>
      </c>
      <c r="AL141" s="864" t="s">
        <v>2456</v>
      </c>
      <c r="AM141" s="728" t="s">
        <v>3774</v>
      </c>
      <c r="AO141" s="730"/>
      <c r="AP141" s="715" t="s">
        <v>2542</v>
      </c>
      <c r="AQ141" s="722" t="s">
        <v>2255</v>
      </c>
      <c r="AR141" s="715"/>
    </row>
    <row r="142" spans="1:44" s="693" customFormat="1" x14ac:dyDescent="0.2">
      <c r="A142" s="693" t="s">
        <v>594</v>
      </c>
      <c r="B142" s="724"/>
      <c r="C142" s="692" t="s">
        <v>2237</v>
      </c>
      <c r="D142" s="692" t="s">
        <v>2240</v>
      </c>
      <c r="E142" s="692" t="s">
        <v>2362</v>
      </c>
      <c r="F142" s="693" t="s">
        <v>2242</v>
      </c>
      <c r="G142" s="708" t="s">
        <v>3619</v>
      </c>
      <c r="H142" s="717" t="s">
        <v>2245</v>
      </c>
      <c r="I142" s="725" t="s">
        <v>2605</v>
      </c>
      <c r="J142" s="725" t="s">
        <v>2550</v>
      </c>
      <c r="K142" s="709" t="s">
        <v>458</v>
      </c>
      <c r="L142" s="710" t="s">
        <v>975</v>
      </c>
      <c r="M142" s="696"/>
      <c r="N142" s="696">
        <v>29.99</v>
      </c>
      <c r="O142" s="821">
        <v>3</v>
      </c>
      <c r="P142" s="698">
        <v>24</v>
      </c>
      <c r="Q142" s="711">
        <f>1.6/16</f>
        <v>0.1</v>
      </c>
      <c r="R142" s="852" t="s">
        <v>2720</v>
      </c>
      <c r="S142" s="852" t="s">
        <v>2719</v>
      </c>
      <c r="T142" s="720"/>
      <c r="U142" s="705">
        <v>0.15</v>
      </c>
      <c r="V142" s="713">
        <v>7</v>
      </c>
      <c r="W142" s="713">
        <v>2</v>
      </c>
      <c r="X142" s="714">
        <v>3.75</v>
      </c>
      <c r="Y142" s="705">
        <f>10.8/16</f>
        <v>0.67500000000000004</v>
      </c>
      <c r="Z142" s="713">
        <v>7.375</v>
      </c>
      <c r="AA142" s="713">
        <v>6</v>
      </c>
      <c r="AB142" s="714">
        <v>4.125</v>
      </c>
      <c r="AC142" s="705">
        <f>CONVERT(2860,"g","lbm")</f>
        <v>6.3052206984874983</v>
      </c>
      <c r="AD142" s="713">
        <f>CONVERT(0.395,"m","in")</f>
        <v>15.551181102362206</v>
      </c>
      <c r="AE142" s="713">
        <f>CONVERT(0.318,"m","in")</f>
        <v>12.51968503937008</v>
      </c>
      <c r="AF142" s="714">
        <f>CONVERT(0.235,"m","in")</f>
        <v>9.2519685039370074</v>
      </c>
      <c r="AG142" s="702">
        <f t="shared" si="6"/>
        <v>1.0424306924182529</v>
      </c>
      <c r="AH142" s="864" t="s">
        <v>2455</v>
      </c>
      <c r="AI142" s="864" t="s">
        <v>2487</v>
      </c>
      <c r="AJ142" s="864" t="s">
        <v>2488</v>
      </c>
      <c r="AK142" s="864" t="s">
        <v>2541</v>
      </c>
      <c r="AL142" s="864" t="s">
        <v>2456</v>
      </c>
      <c r="AM142" s="728" t="s">
        <v>3774</v>
      </c>
      <c r="AO142" s="730"/>
      <c r="AP142" s="715" t="s">
        <v>2542</v>
      </c>
      <c r="AQ142" s="722" t="s">
        <v>2255</v>
      </c>
      <c r="AR142" s="715"/>
    </row>
    <row r="143" spans="1:44" x14ac:dyDescent="0.2">
      <c r="A143" s="708" t="s">
        <v>594</v>
      </c>
      <c r="B143" s="805"/>
      <c r="C143" s="733" t="s">
        <v>3751</v>
      </c>
      <c r="D143" s="692" t="s">
        <v>383</v>
      </c>
      <c r="E143" s="733" t="s">
        <v>3752</v>
      </c>
      <c r="F143" s="733" t="s">
        <v>484</v>
      </c>
      <c r="G143" s="733" t="s">
        <v>2558</v>
      </c>
      <c r="H143" s="834">
        <v>54269001964</v>
      </c>
      <c r="I143" s="851">
        <v>10054269001961</v>
      </c>
      <c r="J143" s="851">
        <v>20054269001968</v>
      </c>
      <c r="K143" s="782" t="s">
        <v>458</v>
      </c>
      <c r="L143" s="735" t="s">
        <v>975</v>
      </c>
      <c r="M143" s="696"/>
      <c r="N143" s="736">
        <v>29.99</v>
      </c>
      <c r="O143" s="733">
        <v>3</v>
      </c>
      <c r="P143" s="737">
        <v>24</v>
      </c>
      <c r="Q143" s="711">
        <v>0.112</v>
      </c>
      <c r="R143" s="712">
        <v>2.4</v>
      </c>
      <c r="S143" s="712">
        <v>1.7</v>
      </c>
      <c r="T143" s="738">
        <v>1.7</v>
      </c>
      <c r="U143" s="842">
        <v>0.27</v>
      </c>
      <c r="V143" s="842">
        <v>4.12</v>
      </c>
      <c r="W143" s="842">
        <v>4.6900000000000004</v>
      </c>
      <c r="X143" s="842">
        <v>1.65</v>
      </c>
      <c r="Y143" s="739">
        <f t="shared" ref="Y143:Y162" si="7">U143*O143</f>
        <v>0.81</v>
      </c>
      <c r="Z143" s="733">
        <v>5</v>
      </c>
      <c r="AA143" s="733">
        <v>5.5</v>
      </c>
      <c r="AB143" s="737">
        <v>4.5</v>
      </c>
      <c r="AC143" s="739">
        <f t="shared" ref="AC143:AC162" si="8">U143*P143</f>
        <v>6.48</v>
      </c>
      <c r="AD143" s="733">
        <v>10.9</v>
      </c>
      <c r="AE143" s="733">
        <v>6.4</v>
      </c>
      <c r="AF143" s="737">
        <v>10.3</v>
      </c>
      <c r="AG143" s="702">
        <f t="shared" si="6"/>
        <v>0.41581481481481491</v>
      </c>
      <c r="AH143" s="733" t="s">
        <v>3836</v>
      </c>
      <c r="AI143" s="843" t="s">
        <v>3837</v>
      </c>
      <c r="AJ143" s="843" t="s">
        <v>3838</v>
      </c>
      <c r="AK143" s="843" t="s">
        <v>3839</v>
      </c>
      <c r="AL143" s="843" t="s">
        <v>3840</v>
      </c>
      <c r="AM143" s="733"/>
      <c r="AN143" s="733"/>
      <c r="AO143" s="733"/>
      <c r="AP143" s="668" t="s">
        <v>3979</v>
      </c>
      <c r="AQ143" s="722" t="s">
        <v>2255</v>
      </c>
      <c r="AR143" s="733"/>
    </row>
    <row r="144" spans="1:44" x14ac:dyDescent="0.2">
      <c r="A144" s="708" t="s">
        <v>594</v>
      </c>
      <c r="B144" s="805"/>
      <c r="C144" s="733" t="s">
        <v>3751</v>
      </c>
      <c r="D144" s="692" t="s">
        <v>4181</v>
      </c>
      <c r="E144" s="733" t="s">
        <v>3752</v>
      </c>
      <c r="F144" s="733" t="s">
        <v>3814</v>
      </c>
      <c r="G144" s="733" t="s">
        <v>2558</v>
      </c>
      <c r="H144" s="834">
        <v>54269002022</v>
      </c>
      <c r="I144" s="851">
        <v>10054269002029</v>
      </c>
      <c r="J144" s="851">
        <v>20054269002026</v>
      </c>
      <c r="K144" s="782" t="s">
        <v>458</v>
      </c>
      <c r="L144" s="735" t="s">
        <v>975</v>
      </c>
      <c r="M144" s="696"/>
      <c r="N144" s="736">
        <v>29.99</v>
      </c>
      <c r="O144" s="733">
        <v>3</v>
      </c>
      <c r="P144" s="737">
        <v>24</v>
      </c>
      <c r="Q144" s="711">
        <v>0.112</v>
      </c>
      <c r="R144" s="712">
        <v>2.4</v>
      </c>
      <c r="S144" s="712">
        <v>1.7</v>
      </c>
      <c r="T144" s="738">
        <v>1.7</v>
      </c>
      <c r="U144" s="842">
        <v>0.27</v>
      </c>
      <c r="V144" s="842">
        <v>4.12</v>
      </c>
      <c r="W144" s="842">
        <v>4.6900000000000004</v>
      </c>
      <c r="X144" s="842">
        <v>1.65</v>
      </c>
      <c r="Y144" s="739">
        <f t="shared" si="7"/>
        <v>0.81</v>
      </c>
      <c r="Z144" s="733">
        <v>5</v>
      </c>
      <c r="AA144" s="733">
        <v>5.5</v>
      </c>
      <c r="AB144" s="737">
        <v>4.5</v>
      </c>
      <c r="AC144" s="739">
        <f t="shared" si="8"/>
        <v>6.48</v>
      </c>
      <c r="AD144" s="733">
        <v>10.9</v>
      </c>
      <c r="AE144" s="733">
        <v>6.4</v>
      </c>
      <c r="AF144" s="737">
        <v>10.3</v>
      </c>
      <c r="AG144" s="702">
        <f t="shared" si="6"/>
        <v>0.41581481481481491</v>
      </c>
      <c r="AH144" s="733" t="s">
        <v>3836</v>
      </c>
      <c r="AI144" s="843" t="s">
        <v>3837</v>
      </c>
      <c r="AJ144" s="843" t="s">
        <v>3838</v>
      </c>
      <c r="AK144" s="843" t="s">
        <v>3839</v>
      </c>
      <c r="AL144" s="843" t="s">
        <v>3840</v>
      </c>
      <c r="AM144" s="733"/>
      <c r="AN144" s="733"/>
      <c r="AO144" s="733"/>
      <c r="AP144" s="668" t="s">
        <v>3979</v>
      </c>
      <c r="AQ144" s="722" t="s">
        <v>2255</v>
      </c>
      <c r="AR144" s="733"/>
    </row>
    <row r="145" spans="1:44" x14ac:dyDescent="0.2">
      <c r="A145" s="708" t="s">
        <v>594</v>
      </c>
      <c r="B145" s="805"/>
      <c r="C145" s="733" t="s">
        <v>3751</v>
      </c>
      <c r="D145" s="692" t="s">
        <v>293</v>
      </c>
      <c r="E145" s="733" t="s">
        <v>3752</v>
      </c>
      <c r="F145" s="733" t="s">
        <v>1332</v>
      </c>
      <c r="G145" s="733" t="s">
        <v>2558</v>
      </c>
      <c r="H145" s="834">
        <v>54269002039</v>
      </c>
      <c r="I145" s="851">
        <v>10054269002036</v>
      </c>
      <c r="J145" s="851">
        <v>20054269002033</v>
      </c>
      <c r="K145" s="782" t="s">
        <v>458</v>
      </c>
      <c r="L145" s="735" t="s">
        <v>975</v>
      </c>
      <c r="M145" s="696"/>
      <c r="N145" s="736">
        <v>29.99</v>
      </c>
      <c r="O145" s="733">
        <v>3</v>
      </c>
      <c r="P145" s="737">
        <v>24</v>
      </c>
      <c r="Q145" s="711">
        <v>0.112</v>
      </c>
      <c r="R145" s="712">
        <v>2.4</v>
      </c>
      <c r="S145" s="712">
        <v>1.7</v>
      </c>
      <c r="T145" s="738">
        <v>1.7</v>
      </c>
      <c r="U145" s="842">
        <v>0.27</v>
      </c>
      <c r="V145" s="842">
        <v>4.12</v>
      </c>
      <c r="W145" s="842">
        <v>4.6900000000000004</v>
      </c>
      <c r="X145" s="842">
        <v>1.65</v>
      </c>
      <c r="Y145" s="739">
        <f t="shared" si="7"/>
        <v>0.81</v>
      </c>
      <c r="Z145" s="733">
        <v>5</v>
      </c>
      <c r="AA145" s="733">
        <v>5.5</v>
      </c>
      <c r="AB145" s="737">
        <v>4.5</v>
      </c>
      <c r="AC145" s="739">
        <f t="shared" si="8"/>
        <v>6.48</v>
      </c>
      <c r="AD145" s="733">
        <v>10.9</v>
      </c>
      <c r="AE145" s="733">
        <v>6.4</v>
      </c>
      <c r="AF145" s="737">
        <v>10.3</v>
      </c>
      <c r="AG145" s="702">
        <f t="shared" si="6"/>
        <v>0.41581481481481491</v>
      </c>
      <c r="AH145" s="733" t="s">
        <v>3836</v>
      </c>
      <c r="AI145" s="843" t="s">
        <v>3837</v>
      </c>
      <c r="AJ145" s="843" t="s">
        <v>3838</v>
      </c>
      <c r="AK145" s="843" t="s">
        <v>3839</v>
      </c>
      <c r="AL145" s="843" t="s">
        <v>3840</v>
      </c>
      <c r="AM145" s="733"/>
      <c r="AN145" s="733"/>
      <c r="AO145" s="733"/>
      <c r="AP145" s="668" t="s">
        <v>3979</v>
      </c>
      <c r="AQ145" s="722" t="s">
        <v>2255</v>
      </c>
      <c r="AR145" s="733"/>
    </row>
    <row r="146" spans="1:44" x14ac:dyDescent="0.2">
      <c r="A146" s="708" t="s">
        <v>594</v>
      </c>
      <c r="B146" s="805"/>
      <c r="C146" s="733" t="s">
        <v>3751</v>
      </c>
      <c r="D146" s="692" t="s">
        <v>4183</v>
      </c>
      <c r="E146" s="733" t="s">
        <v>3752</v>
      </c>
      <c r="F146" s="733" t="s">
        <v>3815</v>
      </c>
      <c r="G146" s="733" t="s">
        <v>2558</v>
      </c>
      <c r="H146" s="834">
        <v>54269002046</v>
      </c>
      <c r="I146" s="851">
        <v>10054269002043</v>
      </c>
      <c r="J146" s="851">
        <v>20054269002040</v>
      </c>
      <c r="K146" s="782" t="s">
        <v>458</v>
      </c>
      <c r="L146" s="735" t="s">
        <v>975</v>
      </c>
      <c r="M146" s="696"/>
      <c r="N146" s="736">
        <v>29.99</v>
      </c>
      <c r="O146" s="733">
        <v>3</v>
      </c>
      <c r="P146" s="737">
        <v>24</v>
      </c>
      <c r="Q146" s="711">
        <v>0.112</v>
      </c>
      <c r="R146" s="712">
        <v>2.4</v>
      </c>
      <c r="S146" s="712">
        <v>1.7</v>
      </c>
      <c r="T146" s="738">
        <v>1.7</v>
      </c>
      <c r="U146" s="842">
        <v>0.27</v>
      </c>
      <c r="V146" s="842">
        <v>4.12</v>
      </c>
      <c r="W146" s="842">
        <v>4.6900000000000004</v>
      </c>
      <c r="X146" s="842">
        <v>1.65</v>
      </c>
      <c r="Y146" s="739">
        <f t="shared" si="7"/>
        <v>0.81</v>
      </c>
      <c r="Z146" s="733">
        <v>5</v>
      </c>
      <c r="AA146" s="733">
        <v>5.5</v>
      </c>
      <c r="AB146" s="737">
        <v>4.5</v>
      </c>
      <c r="AC146" s="739">
        <f t="shared" si="8"/>
        <v>6.48</v>
      </c>
      <c r="AD146" s="733">
        <v>10.9</v>
      </c>
      <c r="AE146" s="733">
        <v>6.4</v>
      </c>
      <c r="AF146" s="737">
        <v>10.3</v>
      </c>
      <c r="AG146" s="702">
        <f t="shared" si="6"/>
        <v>0.41581481481481491</v>
      </c>
      <c r="AH146" s="733" t="s">
        <v>3836</v>
      </c>
      <c r="AI146" s="843" t="s">
        <v>3837</v>
      </c>
      <c r="AJ146" s="843" t="s">
        <v>3838</v>
      </c>
      <c r="AK146" s="843" t="s">
        <v>3839</v>
      </c>
      <c r="AL146" s="843" t="s">
        <v>3840</v>
      </c>
      <c r="AM146" s="733"/>
      <c r="AN146" s="733"/>
      <c r="AO146" s="733"/>
      <c r="AP146" s="668" t="s">
        <v>3979</v>
      </c>
      <c r="AQ146" s="722" t="s">
        <v>2255</v>
      </c>
      <c r="AR146" s="733"/>
    </row>
    <row r="147" spans="1:44" x14ac:dyDescent="0.2">
      <c r="A147" s="708" t="s">
        <v>594</v>
      </c>
      <c r="B147" s="805"/>
      <c r="C147" s="733" t="s">
        <v>3751</v>
      </c>
      <c r="D147" s="692" t="s">
        <v>4182</v>
      </c>
      <c r="E147" s="733" t="s">
        <v>3752</v>
      </c>
      <c r="F147" s="733" t="s">
        <v>3816</v>
      </c>
      <c r="G147" s="733" t="s">
        <v>2558</v>
      </c>
      <c r="H147" s="834">
        <v>54269002053</v>
      </c>
      <c r="I147" s="851">
        <v>10054269002050</v>
      </c>
      <c r="J147" s="851">
        <v>20054269002057</v>
      </c>
      <c r="K147" s="782" t="s">
        <v>458</v>
      </c>
      <c r="L147" s="735" t="s">
        <v>975</v>
      </c>
      <c r="M147" s="696"/>
      <c r="N147" s="736">
        <v>29.99</v>
      </c>
      <c r="O147" s="733">
        <v>3</v>
      </c>
      <c r="P147" s="737">
        <v>24</v>
      </c>
      <c r="Q147" s="711">
        <v>0.112</v>
      </c>
      <c r="R147" s="712">
        <v>2.4</v>
      </c>
      <c r="S147" s="712">
        <v>1.7</v>
      </c>
      <c r="T147" s="738">
        <v>1.7</v>
      </c>
      <c r="U147" s="842">
        <v>0.27</v>
      </c>
      <c r="V147" s="842">
        <v>4.12</v>
      </c>
      <c r="W147" s="842">
        <v>4.6900000000000004</v>
      </c>
      <c r="X147" s="842">
        <v>1.65</v>
      </c>
      <c r="Y147" s="739">
        <f t="shared" si="7"/>
        <v>0.81</v>
      </c>
      <c r="Z147" s="733">
        <v>5</v>
      </c>
      <c r="AA147" s="733">
        <v>5.5</v>
      </c>
      <c r="AB147" s="737">
        <v>4.5</v>
      </c>
      <c r="AC147" s="739">
        <f t="shared" si="8"/>
        <v>6.48</v>
      </c>
      <c r="AD147" s="733">
        <v>10.9</v>
      </c>
      <c r="AE147" s="733">
        <v>6.4</v>
      </c>
      <c r="AF147" s="737">
        <v>10.3</v>
      </c>
      <c r="AG147" s="702">
        <f t="shared" si="6"/>
        <v>0.41581481481481491</v>
      </c>
      <c r="AH147" s="733" t="s">
        <v>3836</v>
      </c>
      <c r="AI147" s="843" t="s">
        <v>3837</v>
      </c>
      <c r="AJ147" s="843" t="s">
        <v>3838</v>
      </c>
      <c r="AK147" s="843" t="s">
        <v>3839</v>
      </c>
      <c r="AL147" s="843" t="s">
        <v>3840</v>
      </c>
      <c r="AM147" s="733"/>
      <c r="AN147" s="733"/>
      <c r="AO147" s="733"/>
      <c r="AP147" s="668" t="s">
        <v>3979</v>
      </c>
      <c r="AQ147" s="722" t="s">
        <v>2255</v>
      </c>
      <c r="AR147" s="733"/>
    </row>
    <row r="148" spans="1:44" x14ac:dyDescent="0.2">
      <c r="A148" s="668" t="s">
        <v>594</v>
      </c>
      <c r="B148" s="733"/>
      <c r="C148" s="838" t="s">
        <v>4330</v>
      </c>
      <c r="D148" s="874" t="s">
        <v>484</v>
      </c>
      <c r="E148" s="668" t="s">
        <v>4339</v>
      </c>
      <c r="F148" s="668" t="s">
        <v>4331</v>
      </c>
      <c r="G148" s="733" t="s">
        <v>2558</v>
      </c>
      <c r="H148" s="834">
        <v>54269002688</v>
      </c>
      <c r="I148" s="875">
        <v>10054269002685</v>
      </c>
      <c r="J148" s="875">
        <v>20054269002682</v>
      </c>
      <c r="K148" s="782" t="s">
        <v>458</v>
      </c>
      <c r="L148" s="710" t="s">
        <v>975</v>
      </c>
      <c r="M148" s="696"/>
      <c r="N148" s="670">
        <v>34.99</v>
      </c>
      <c r="O148" s="668">
        <v>3</v>
      </c>
      <c r="P148" s="848">
        <v>24</v>
      </c>
      <c r="Q148" s="712">
        <v>0.1</v>
      </c>
      <c r="R148" s="712">
        <v>2.25</v>
      </c>
      <c r="S148" s="712">
        <v>1.25</v>
      </c>
      <c r="T148" s="849">
        <v>0.65</v>
      </c>
      <c r="U148" s="837">
        <v>0.25</v>
      </c>
      <c r="V148" s="668">
        <v>5</v>
      </c>
      <c r="W148" s="668">
        <v>5.125</v>
      </c>
      <c r="X148" s="848">
        <v>2.25</v>
      </c>
      <c r="Y148" s="739">
        <f t="shared" si="7"/>
        <v>0.75</v>
      </c>
      <c r="AB148" s="848"/>
      <c r="AC148" s="739">
        <f t="shared" si="8"/>
        <v>6</v>
      </c>
      <c r="AF148" s="848"/>
      <c r="AH148" s="668" t="s">
        <v>5395</v>
      </c>
      <c r="AI148" s="668" t="s">
        <v>5400</v>
      </c>
      <c r="AJ148" s="668" t="s">
        <v>5401</v>
      </c>
      <c r="AK148" s="668" t="s">
        <v>5397</v>
      </c>
      <c r="AQ148" s="722" t="s">
        <v>2255</v>
      </c>
    </row>
    <row r="149" spans="1:44" x14ac:dyDescent="0.2">
      <c r="A149" s="668" t="s">
        <v>594</v>
      </c>
      <c r="B149" s="733"/>
      <c r="C149" s="838" t="s">
        <v>4330</v>
      </c>
      <c r="D149" s="874" t="s">
        <v>4325</v>
      </c>
      <c r="E149" s="668" t="s">
        <v>4339</v>
      </c>
      <c r="F149" s="668" t="s">
        <v>4325</v>
      </c>
      <c r="G149" s="733" t="s">
        <v>2558</v>
      </c>
      <c r="H149" s="834">
        <v>54269002695</v>
      </c>
      <c r="I149" s="875">
        <v>10054269002692</v>
      </c>
      <c r="J149" s="875">
        <v>20054269002699</v>
      </c>
      <c r="K149" s="782" t="s">
        <v>458</v>
      </c>
      <c r="L149" s="710" t="s">
        <v>975</v>
      </c>
      <c r="M149" s="696"/>
      <c r="N149" s="670">
        <v>34.99</v>
      </c>
      <c r="O149" s="668">
        <v>3</v>
      </c>
      <c r="P149" s="848">
        <v>24</v>
      </c>
      <c r="Q149" s="712">
        <v>0.12</v>
      </c>
      <c r="R149" s="712">
        <v>2.25</v>
      </c>
      <c r="S149" s="712">
        <v>1.25</v>
      </c>
      <c r="T149" s="849">
        <v>0.65</v>
      </c>
      <c r="U149" s="837">
        <v>0.27</v>
      </c>
      <c r="V149" s="668">
        <v>5</v>
      </c>
      <c r="W149" s="668">
        <v>5.125</v>
      </c>
      <c r="X149" s="848">
        <v>2.25</v>
      </c>
      <c r="Y149" s="739">
        <f t="shared" si="7"/>
        <v>0.81</v>
      </c>
      <c r="AB149" s="848"/>
      <c r="AC149" s="739">
        <f t="shared" si="8"/>
        <v>6.48</v>
      </c>
      <c r="AF149" s="848"/>
      <c r="AH149" s="668" t="s">
        <v>5395</v>
      </c>
      <c r="AI149" s="668" t="s">
        <v>5400</v>
      </c>
      <c r="AJ149" s="668" t="s">
        <v>5401</v>
      </c>
      <c r="AK149" s="668" t="s">
        <v>5397</v>
      </c>
      <c r="AQ149" s="722" t="s">
        <v>2255</v>
      </c>
    </row>
    <row r="150" spans="1:44" x14ac:dyDescent="0.2">
      <c r="A150" s="668" t="s">
        <v>594</v>
      </c>
      <c r="B150" s="733"/>
      <c r="C150" s="838" t="s">
        <v>4330</v>
      </c>
      <c r="D150" s="874" t="s">
        <v>4328</v>
      </c>
      <c r="E150" s="668" t="s">
        <v>4339</v>
      </c>
      <c r="F150" s="668" t="s">
        <v>4332</v>
      </c>
      <c r="G150" s="733" t="s">
        <v>2558</v>
      </c>
      <c r="H150" s="834">
        <v>54269002701</v>
      </c>
      <c r="I150" s="875">
        <v>10054269002708</v>
      </c>
      <c r="J150" s="875">
        <v>20054269002705</v>
      </c>
      <c r="K150" s="782" t="s">
        <v>458</v>
      </c>
      <c r="L150" s="710" t="s">
        <v>975</v>
      </c>
      <c r="M150" s="696"/>
      <c r="N150" s="670">
        <v>34.99</v>
      </c>
      <c r="O150" s="668">
        <v>3</v>
      </c>
      <c r="P150" s="848">
        <v>24</v>
      </c>
      <c r="Q150" s="712">
        <v>0.12</v>
      </c>
      <c r="R150" s="712">
        <v>2.25</v>
      </c>
      <c r="S150" s="712">
        <v>1.25</v>
      </c>
      <c r="T150" s="849">
        <v>0.65</v>
      </c>
      <c r="U150" s="837">
        <v>0.27</v>
      </c>
      <c r="V150" s="668">
        <v>5</v>
      </c>
      <c r="W150" s="668">
        <v>5.125</v>
      </c>
      <c r="X150" s="848">
        <v>2.25</v>
      </c>
      <c r="Y150" s="739">
        <f t="shared" si="7"/>
        <v>0.81</v>
      </c>
      <c r="AB150" s="848"/>
      <c r="AC150" s="739">
        <f t="shared" si="8"/>
        <v>6.48</v>
      </c>
      <c r="AF150" s="848"/>
      <c r="AH150" s="668" t="s">
        <v>5395</v>
      </c>
      <c r="AI150" s="668" t="s">
        <v>5400</v>
      </c>
      <c r="AJ150" s="668" t="s">
        <v>5401</v>
      </c>
      <c r="AK150" s="668" t="s">
        <v>5397</v>
      </c>
      <c r="AQ150" s="722" t="s">
        <v>2255</v>
      </c>
    </row>
    <row r="151" spans="1:44" x14ac:dyDescent="0.2">
      <c r="A151" s="668" t="s">
        <v>594</v>
      </c>
      <c r="B151" s="733"/>
      <c r="C151" s="838" t="s">
        <v>4330</v>
      </c>
      <c r="D151" s="874" t="s">
        <v>4327</v>
      </c>
      <c r="E151" s="668" t="s">
        <v>4339</v>
      </c>
      <c r="F151" s="668" t="s">
        <v>4334</v>
      </c>
      <c r="G151" s="733" t="s">
        <v>2558</v>
      </c>
      <c r="H151" s="834">
        <v>54269002718</v>
      </c>
      <c r="I151" s="875">
        <v>10054269002715</v>
      </c>
      <c r="J151" s="875">
        <v>20054269002712</v>
      </c>
      <c r="K151" s="782" t="s">
        <v>458</v>
      </c>
      <c r="L151" s="710" t="s">
        <v>975</v>
      </c>
      <c r="M151" s="696"/>
      <c r="N151" s="670">
        <v>34.99</v>
      </c>
      <c r="O151" s="668">
        <v>3</v>
      </c>
      <c r="P151" s="848">
        <v>24</v>
      </c>
      <c r="Q151" s="712">
        <v>0.12</v>
      </c>
      <c r="R151" s="712">
        <v>2.25</v>
      </c>
      <c r="S151" s="712">
        <v>1.25</v>
      </c>
      <c r="T151" s="849">
        <v>0.65</v>
      </c>
      <c r="U151" s="806">
        <v>0.27</v>
      </c>
      <c r="V151" s="668">
        <v>5</v>
      </c>
      <c r="W151" s="668">
        <v>5.125</v>
      </c>
      <c r="X151" s="848">
        <v>2.25</v>
      </c>
      <c r="Y151" s="739">
        <f t="shared" si="7"/>
        <v>0.81</v>
      </c>
      <c r="AB151" s="848"/>
      <c r="AC151" s="739">
        <f t="shared" si="8"/>
        <v>6.48</v>
      </c>
      <c r="AF151" s="848"/>
      <c r="AH151" s="668" t="s">
        <v>5395</v>
      </c>
      <c r="AI151" s="668" t="s">
        <v>5400</v>
      </c>
      <c r="AJ151" s="668" t="s">
        <v>5401</v>
      </c>
      <c r="AK151" s="668" t="s">
        <v>5397</v>
      </c>
      <c r="AQ151" s="722" t="s">
        <v>2255</v>
      </c>
    </row>
    <row r="152" spans="1:44" x14ac:dyDescent="0.2">
      <c r="A152" s="668" t="s">
        <v>594</v>
      </c>
      <c r="B152" s="733"/>
      <c r="C152" s="838" t="s">
        <v>4330</v>
      </c>
      <c r="D152" s="874" t="s">
        <v>4329</v>
      </c>
      <c r="E152" s="668" t="s">
        <v>4339</v>
      </c>
      <c r="F152" s="668" t="s">
        <v>4333</v>
      </c>
      <c r="G152" s="733" t="s">
        <v>2558</v>
      </c>
      <c r="H152" s="834">
        <v>54269002725</v>
      </c>
      <c r="I152" s="875">
        <v>10054269002722</v>
      </c>
      <c r="J152" s="875">
        <v>20054269002729</v>
      </c>
      <c r="K152" s="782" t="s">
        <v>458</v>
      </c>
      <c r="L152" s="710" t="s">
        <v>975</v>
      </c>
      <c r="M152" s="696"/>
      <c r="N152" s="670">
        <v>34.99</v>
      </c>
      <c r="O152" s="668">
        <v>3</v>
      </c>
      <c r="P152" s="848">
        <v>24</v>
      </c>
      <c r="Q152" s="712">
        <v>0.12</v>
      </c>
      <c r="R152" s="712">
        <v>2.25</v>
      </c>
      <c r="S152" s="712">
        <v>1.25</v>
      </c>
      <c r="T152" s="849">
        <v>0.65</v>
      </c>
      <c r="U152" s="806">
        <v>0.27</v>
      </c>
      <c r="V152" s="668">
        <v>5</v>
      </c>
      <c r="W152" s="668">
        <v>5.125</v>
      </c>
      <c r="X152" s="848">
        <v>2.25</v>
      </c>
      <c r="Y152" s="739">
        <f t="shared" si="7"/>
        <v>0.81</v>
      </c>
      <c r="AB152" s="848"/>
      <c r="AC152" s="739">
        <f t="shared" si="8"/>
        <v>6.48</v>
      </c>
      <c r="AF152" s="848"/>
      <c r="AH152" s="668" t="s">
        <v>5395</v>
      </c>
      <c r="AI152" s="668" t="s">
        <v>5400</v>
      </c>
      <c r="AJ152" s="668" t="s">
        <v>5401</v>
      </c>
      <c r="AK152" s="668" t="s">
        <v>5397</v>
      </c>
      <c r="AQ152" s="722" t="s">
        <v>2255</v>
      </c>
    </row>
    <row r="153" spans="1:44" x14ac:dyDescent="0.2">
      <c r="A153" s="668" t="s">
        <v>594</v>
      </c>
      <c r="B153" s="733"/>
      <c r="C153" s="838" t="s">
        <v>4342</v>
      </c>
      <c r="D153" s="874" t="s">
        <v>484</v>
      </c>
      <c r="E153" s="668" t="s">
        <v>4338</v>
      </c>
      <c r="F153" s="668" t="s">
        <v>4331</v>
      </c>
      <c r="G153" s="733" t="s">
        <v>2558</v>
      </c>
      <c r="H153" s="834">
        <v>54269002589</v>
      </c>
      <c r="I153" s="875">
        <v>10054269002586</v>
      </c>
      <c r="J153" s="875">
        <v>20054269002583</v>
      </c>
      <c r="K153" s="782" t="s">
        <v>458</v>
      </c>
      <c r="L153" s="710" t="s">
        <v>975</v>
      </c>
      <c r="M153" s="696"/>
      <c r="N153" s="670">
        <v>39.99</v>
      </c>
      <c r="O153" s="668">
        <v>3</v>
      </c>
      <c r="P153" s="848">
        <v>24</v>
      </c>
      <c r="Q153" s="712">
        <v>0.23</v>
      </c>
      <c r="R153" s="712">
        <v>2.25</v>
      </c>
      <c r="S153" s="712">
        <v>1.25</v>
      </c>
      <c r="T153" s="849">
        <v>0.65</v>
      </c>
      <c r="U153" s="806">
        <v>0.4</v>
      </c>
      <c r="V153" s="668">
        <v>5</v>
      </c>
      <c r="W153" s="668">
        <v>5.125</v>
      </c>
      <c r="X153" s="848">
        <v>2.25</v>
      </c>
      <c r="Y153" s="739">
        <f t="shared" si="7"/>
        <v>1.2000000000000002</v>
      </c>
      <c r="AB153" s="848"/>
      <c r="AC153" s="739">
        <f t="shared" si="8"/>
        <v>9.6000000000000014</v>
      </c>
      <c r="AF153" s="848"/>
      <c r="AH153" s="668" t="s">
        <v>5388</v>
      </c>
      <c r="AI153" s="828" t="s">
        <v>5396</v>
      </c>
      <c r="AJ153" s="668" t="s">
        <v>5389</v>
      </c>
      <c r="AK153" s="668" t="s">
        <v>5390</v>
      </c>
      <c r="AL153" s="668" t="s">
        <v>5391</v>
      </c>
      <c r="AM153" s="862" t="s">
        <v>5392</v>
      </c>
      <c r="AQ153" s="722" t="s">
        <v>2255</v>
      </c>
    </row>
    <row r="154" spans="1:44" x14ac:dyDescent="0.2">
      <c r="A154" s="668" t="s">
        <v>594</v>
      </c>
      <c r="B154" s="733"/>
      <c r="C154" s="838" t="s">
        <v>4342</v>
      </c>
      <c r="D154" s="874" t="s">
        <v>4325</v>
      </c>
      <c r="E154" s="668" t="s">
        <v>4338</v>
      </c>
      <c r="F154" s="668" t="s">
        <v>4325</v>
      </c>
      <c r="G154" s="733" t="s">
        <v>2558</v>
      </c>
      <c r="H154" s="834">
        <v>54269002596</v>
      </c>
      <c r="I154" s="875">
        <v>10054269002593</v>
      </c>
      <c r="J154" s="875">
        <v>20054269002590</v>
      </c>
      <c r="K154" s="782" t="s">
        <v>458</v>
      </c>
      <c r="L154" s="710" t="s">
        <v>975</v>
      </c>
      <c r="M154" s="696"/>
      <c r="N154" s="670">
        <v>39.99</v>
      </c>
      <c r="O154" s="668">
        <v>3</v>
      </c>
      <c r="P154" s="848">
        <v>24</v>
      </c>
      <c r="Q154" s="712">
        <v>0.25</v>
      </c>
      <c r="R154" s="712">
        <v>2.25</v>
      </c>
      <c r="S154" s="712">
        <v>1.25</v>
      </c>
      <c r="T154" s="849">
        <v>0.65</v>
      </c>
      <c r="U154" s="806">
        <v>0.4</v>
      </c>
      <c r="V154" s="668">
        <v>5</v>
      </c>
      <c r="W154" s="668">
        <v>5.125</v>
      </c>
      <c r="X154" s="848">
        <v>2.25</v>
      </c>
      <c r="Y154" s="739">
        <f t="shared" si="7"/>
        <v>1.2000000000000002</v>
      </c>
      <c r="AB154" s="848"/>
      <c r="AC154" s="739">
        <f t="shared" si="8"/>
        <v>9.6000000000000014</v>
      </c>
      <c r="AF154" s="848"/>
      <c r="AH154" s="668" t="s">
        <v>5388</v>
      </c>
      <c r="AI154" s="828" t="s">
        <v>5396</v>
      </c>
      <c r="AJ154" s="668" t="s">
        <v>5389</v>
      </c>
      <c r="AK154" s="668" t="s">
        <v>5390</v>
      </c>
      <c r="AL154" s="668" t="s">
        <v>5391</v>
      </c>
      <c r="AM154" s="862" t="s">
        <v>5392</v>
      </c>
      <c r="AQ154" s="722" t="s">
        <v>2255</v>
      </c>
    </row>
    <row r="155" spans="1:44" x14ac:dyDescent="0.2">
      <c r="A155" s="668" t="s">
        <v>594</v>
      </c>
      <c r="B155" s="733"/>
      <c r="C155" s="838" t="s">
        <v>4342</v>
      </c>
      <c r="D155" s="874" t="s">
        <v>4326</v>
      </c>
      <c r="E155" s="668" t="s">
        <v>4338</v>
      </c>
      <c r="F155" s="668" t="s">
        <v>4326</v>
      </c>
      <c r="G155" s="733" t="s">
        <v>2558</v>
      </c>
      <c r="H155" s="834">
        <v>54269002602</v>
      </c>
      <c r="I155" s="875">
        <v>10054269002609</v>
      </c>
      <c r="J155" s="875">
        <v>20054269002606</v>
      </c>
      <c r="K155" s="782" t="s">
        <v>458</v>
      </c>
      <c r="L155" s="710" t="s">
        <v>975</v>
      </c>
      <c r="M155" s="696"/>
      <c r="N155" s="670">
        <v>39.99</v>
      </c>
      <c r="O155" s="668">
        <v>3</v>
      </c>
      <c r="P155" s="848">
        <v>24</v>
      </c>
      <c r="Q155" s="712">
        <v>0.25</v>
      </c>
      <c r="R155" s="712">
        <v>2.25</v>
      </c>
      <c r="S155" s="712">
        <v>1.25</v>
      </c>
      <c r="T155" s="849">
        <v>0.65</v>
      </c>
      <c r="U155" s="806">
        <v>0.4</v>
      </c>
      <c r="V155" s="668">
        <v>5</v>
      </c>
      <c r="W155" s="668">
        <v>5.125</v>
      </c>
      <c r="X155" s="848">
        <v>2.25</v>
      </c>
      <c r="Y155" s="739">
        <f t="shared" si="7"/>
        <v>1.2000000000000002</v>
      </c>
      <c r="AB155" s="848"/>
      <c r="AC155" s="739">
        <f t="shared" si="8"/>
        <v>9.6000000000000014</v>
      </c>
      <c r="AF155" s="848"/>
      <c r="AH155" s="668" t="s">
        <v>5388</v>
      </c>
      <c r="AI155" s="828" t="s">
        <v>5396</v>
      </c>
      <c r="AJ155" s="668" t="s">
        <v>5389</v>
      </c>
      <c r="AK155" s="668" t="s">
        <v>5390</v>
      </c>
      <c r="AL155" s="668" t="s">
        <v>5391</v>
      </c>
      <c r="AM155" s="862" t="s">
        <v>5392</v>
      </c>
      <c r="AQ155" s="722" t="s">
        <v>2255</v>
      </c>
    </row>
    <row r="156" spans="1:44" x14ac:dyDescent="0.2">
      <c r="A156" s="668" t="s">
        <v>594</v>
      </c>
      <c r="B156" s="733"/>
      <c r="C156" s="838" t="s">
        <v>4342</v>
      </c>
      <c r="D156" s="874" t="s">
        <v>4327</v>
      </c>
      <c r="E156" s="668" t="s">
        <v>4338</v>
      </c>
      <c r="F156" s="668" t="s">
        <v>4334</v>
      </c>
      <c r="G156" s="733" t="s">
        <v>2558</v>
      </c>
      <c r="H156" s="834">
        <v>54269002619</v>
      </c>
      <c r="I156" s="875">
        <v>10054269002616</v>
      </c>
      <c r="J156" s="875">
        <v>20054269002613</v>
      </c>
      <c r="K156" s="782" t="s">
        <v>458</v>
      </c>
      <c r="L156" s="710" t="s">
        <v>975</v>
      </c>
      <c r="M156" s="696"/>
      <c r="N156" s="670">
        <v>39.99</v>
      </c>
      <c r="O156" s="668">
        <v>3</v>
      </c>
      <c r="P156" s="848">
        <v>24</v>
      </c>
      <c r="Q156" s="712">
        <v>0.25</v>
      </c>
      <c r="R156" s="712">
        <v>2.25</v>
      </c>
      <c r="S156" s="712">
        <v>1.25</v>
      </c>
      <c r="T156" s="849">
        <v>0.65</v>
      </c>
      <c r="U156" s="806">
        <v>0.4</v>
      </c>
      <c r="V156" s="668">
        <v>5</v>
      </c>
      <c r="W156" s="668">
        <v>5.125</v>
      </c>
      <c r="X156" s="848">
        <v>2.25</v>
      </c>
      <c r="Y156" s="739">
        <f t="shared" si="7"/>
        <v>1.2000000000000002</v>
      </c>
      <c r="AB156" s="848"/>
      <c r="AC156" s="739">
        <f t="shared" si="8"/>
        <v>9.6000000000000014</v>
      </c>
      <c r="AF156" s="848"/>
      <c r="AH156" s="668" t="s">
        <v>5388</v>
      </c>
      <c r="AI156" s="828" t="s">
        <v>5396</v>
      </c>
      <c r="AJ156" s="668" t="s">
        <v>5389</v>
      </c>
      <c r="AK156" s="668" t="s">
        <v>5390</v>
      </c>
      <c r="AL156" s="668" t="s">
        <v>5391</v>
      </c>
      <c r="AM156" s="862" t="s">
        <v>5392</v>
      </c>
      <c r="AQ156" s="722" t="s">
        <v>2255</v>
      </c>
    </row>
    <row r="157" spans="1:44" x14ac:dyDescent="0.2">
      <c r="A157" s="668" t="s">
        <v>594</v>
      </c>
      <c r="B157" s="733"/>
      <c r="C157" s="838" t="s">
        <v>4342</v>
      </c>
      <c r="D157" s="874" t="s">
        <v>4324</v>
      </c>
      <c r="E157" s="668" t="s">
        <v>4338</v>
      </c>
      <c r="F157" s="668" t="s">
        <v>4335</v>
      </c>
      <c r="G157" s="733" t="s">
        <v>2558</v>
      </c>
      <c r="H157" s="834">
        <v>54269002626</v>
      </c>
      <c r="I157" s="875">
        <v>10054269002623</v>
      </c>
      <c r="J157" s="875">
        <v>20054269002620</v>
      </c>
      <c r="K157" s="782" t="s">
        <v>458</v>
      </c>
      <c r="L157" s="710" t="s">
        <v>975</v>
      </c>
      <c r="M157" s="696"/>
      <c r="N157" s="670">
        <v>39.99</v>
      </c>
      <c r="O157" s="668">
        <v>3</v>
      </c>
      <c r="P157" s="848">
        <v>24</v>
      </c>
      <c r="Q157" s="712">
        <v>0.25</v>
      </c>
      <c r="R157" s="712">
        <v>2.25</v>
      </c>
      <c r="S157" s="712">
        <v>1.25</v>
      </c>
      <c r="T157" s="849">
        <v>0.65</v>
      </c>
      <c r="U157" s="806">
        <v>0.4</v>
      </c>
      <c r="V157" s="668">
        <v>5</v>
      </c>
      <c r="W157" s="668">
        <v>5.125</v>
      </c>
      <c r="X157" s="848">
        <v>2.25</v>
      </c>
      <c r="Y157" s="739">
        <f t="shared" si="7"/>
        <v>1.2000000000000002</v>
      </c>
      <c r="AB157" s="848"/>
      <c r="AC157" s="739">
        <f t="shared" si="8"/>
        <v>9.6000000000000014</v>
      </c>
      <c r="AF157" s="848"/>
      <c r="AH157" s="668" t="s">
        <v>5388</v>
      </c>
      <c r="AI157" s="828" t="s">
        <v>5396</v>
      </c>
      <c r="AJ157" s="668" t="s">
        <v>5389</v>
      </c>
      <c r="AK157" s="668" t="s">
        <v>5390</v>
      </c>
      <c r="AL157" s="668" t="s">
        <v>5391</v>
      </c>
      <c r="AM157" s="862" t="s">
        <v>5392</v>
      </c>
      <c r="AQ157" s="722" t="s">
        <v>2255</v>
      </c>
    </row>
    <row r="158" spans="1:44" x14ac:dyDescent="0.2">
      <c r="A158" s="668" t="s">
        <v>594</v>
      </c>
      <c r="B158" s="733"/>
      <c r="C158" s="838" t="s">
        <v>4341</v>
      </c>
      <c r="D158" s="874" t="s">
        <v>484</v>
      </c>
      <c r="E158" s="668" t="s">
        <v>4336</v>
      </c>
      <c r="F158" s="668" t="s">
        <v>4331</v>
      </c>
      <c r="G158" s="733" t="s">
        <v>2558</v>
      </c>
      <c r="H158" s="834">
        <v>54269002633</v>
      </c>
      <c r="I158" s="875">
        <v>10054269002630</v>
      </c>
      <c r="J158" s="875">
        <v>20054269002637</v>
      </c>
      <c r="K158" s="782" t="s">
        <v>458</v>
      </c>
      <c r="L158" s="710" t="s">
        <v>975</v>
      </c>
      <c r="M158" s="696"/>
      <c r="N158" s="670">
        <v>49.99</v>
      </c>
      <c r="O158" s="668">
        <v>3</v>
      </c>
      <c r="P158" s="848">
        <v>24</v>
      </c>
      <c r="Q158" s="712">
        <v>0.18</v>
      </c>
      <c r="R158" s="712">
        <v>2.25</v>
      </c>
      <c r="S158" s="712">
        <v>1.25</v>
      </c>
      <c r="T158" s="849">
        <v>0.65</v>
      </c>
      <c r="U158" s="806">
        <v>0.4</v>
      </c>
      <c r="V158" s="668">
        <v>5</v>
      </c>
      <c r="W158" s="668">
        <v>5.125</v>
      </c>
      <c r="X158" s="848">
        <v>2.25</v>
      </c>
      <c r="Y158" s="739">
        <f t="shared" si="7"/>
        <v>1.2000000000000002</v>
      </c>
      <c r="AB158" s="848"/>
      <c r="AC158" s="739">
        <f t="shared" si="8"/>
        <v>9.6000000000000014</v>
      </c>
      <c r="AF158" s="848"/>
      <c r="AH158" s="838" t="s">
        <v>5393</v>
      </c>
      <c r="AI158" s="828" t="s">
        <v>5394</v>
      </c>
      <c r="AJ158" s="828" t="s">
        <v>5396</v>
      </c>
      <c r="AK158" s="668" t="s">
        <v>5389</v>
      </c>
      <c r="AL158" s="668" t="s">
        <v>5390</v>
      </c>
      <c r="AM158" s="668" t="s">
        <v>5391</v>
      </c>
      <c r="AN158" s="862" t="s">
        <v>5392</v>
      </c>
      <c r="AQ158" s="722" t="s">
        <v>2255</v>
      </c>
    </row>
    <row r="159" spans="1:44" x14ac:dyDescent="0.2">
      <c r="A159" s="668" t="s">
        <v>594</v>
      </c>
      <c r="B159" s="733"/>
      <c r="C159" s="838" t="s">
        <v>4341</v>
      </c>
      <c r="D159" s="874" t="s">
        <v>4325</v>
      </c>
      <c r="E159" s="668" t="s">
        <v>4336</v>
      </c>
      <c r="F159" s="668" t="s">
        <v>4325</v>
      </c>
      <c r="G159" s="733" t="s">
        <v>2558</v>
      </c>
      <c r="H159" s="834">
        <v>54269002640</v>
      </c>
      <c r="I159" s="875">
        <v>10054269002647</v>
      </c>
      <c r="J159" s="875">
        <v>20054269002644</v>
      </c>
      <c r="K159" s="782" t="s">
        <v>458</v>
      </c>
      <c r="L159" s="710" t="s">
        <v>975</v>
      </c>
      <c r="M159" s="696"/>
      <c r="N159" s="670">
        <v>49.99</v>
      </c>
      <c r="O159" s="668">
        <v>3</v>
      </c>
      <c r="P159" s="848">
        <v>24</v>
      </c>
      <c r="Q159" s="712">
        <v>0.2</v>
      </c>
      <c r="R159" s="712">
        <v>2.25</v>
      </c>
      <c r="S159" s="712">
        <v>1.25</v>
      </c>
      <c r="T159" s="849">
        <v>0.65</v>
      </c>
      <c r="U159" s="837">
        <v>0.36</v>
      </c>
      <c r="V159" s="668">
        <v>5</v>
      </c>
      <c r="W159" s="668">
        <v>5.125</v>
      </c>
      <c r="X159" s="848">
        <v>2.25</v>
      </c>
      <c r="Y159" s="739">
        <f t="shared" si="7"/>
        <v>1.08</v>
      </c>
      <c r="AB159" s="848"/>
      <c r="AC159" s="739">
        <f t="shared" si="8"/>
        <v>8.64</v>
      </c>
      <c r="AF159" s="848"/>
      <c r="AH159" s="838" t="s">
        <v>5393</v>
      </c>
      <c r="AI159" s="828" t="s">
        <v>5394</v>
      </c>
      <c r="AJ159" s="828" t="s">
        <v>5396</v>
      </c>
      <c r="AK159" s="668" t="s">
        <v>5389</v>
      </c>
      <c r="AL159" s="668" t="s">
        <v>5390</v>
      </c>
      <c r="AM159" s="668" t="s">
        <v>5391</v>
      </c>
      <c r="AN159" s="862" t="s">
        <v>5392</v>
      </c>
      <c r="AQ159" s="722" t="s">
        <v>2255</v>
      </c>
    </row>
    <row r="160" spans="1:44" x14ac:dyDescent="0.2">
      <c r="A160" s="668" t="s">
        <v>594</v>
      </c>
      <c r="B160" s="733"/>
      <c r="C160" s="838" t="s">
        <v>4341</v>
      </c>
      <c r="D160" s="874" t="s">
        <v>4326</v>
      </c>
      <c r="E160" s="668" t="s">
        <v>4336</v>
      </c>
      <c r="F160" s="668" t="s">
        <v>4326</v>
      </c>
      <c r="G160" s="733" t="s">
        <v>2558</v>
      </c>
      <c r="H160" s="834">
        <v>54269002657</v>
      </c>
      <c r="I160" s="875">
        <v>10054269002654</v>
      </c>
      <c r="J160" s="875">
        <v>20054269002651</v>
      </c>
      <c r="K160" s="782" t="s">
        <v>458</v>
      </c>
      <c r="L160" s="710" t="s">
        <v>975</v>
      </c>
      <c r="M160" s="696"/>
      <c r="N160" s="670">
        <v>49.99</v>
      </c>
      <c r="O160" s="668">
        <v>3</v>
      </c>
      <c r="P160" s="848">
        <v>24</v>
      </c>
      <c r="Q160" s="712">
        <v>0.2</v>
      </c>
      <c r="R160" s="712">
        <v>2.25</v>
      </c>
      <c r="S160" s="712">
        <v>1.25</v>
      </c>
      <c r="T160" s="849">
        <v>0.65</v>
      </c>
      <c r="U160" s="837">
        <v>0.36</v>
      </c>
      <c r="V160" s="668">
        <v>5</v>
      </c>
      <c r="W160" s="668">
        <v>5.125</v>
      </c>
      <c r="X160" s="848">
        <v>2.25</v>
      </c>
      <c r="Y160" s="739">
        <f t="shared" si="7"/>
        <v>1.08</v>
      </c>
      <c r="AB160" s="848"/>
      <c r="AC160" s="739">
        <f t="shared" si="8"/>
        <v>8.64</v>
      </c>
      <c r="AF160" s="848"/>
      <c r="AH160" s="838" t="s">
        <v>5393</v>
      </c>
      <c r="AI160" s="828" t="s">
        <v>5394</v>
      </c>
      <c r="AJ160" s="828" t="s">
        <v>5396</v>
      </c>
      <c r="AK160" s="668" t="s">
        <v>5389</v>
      </c>
      <c r="AL160" s="668" t="s">
        <v>5390</v>
      </c>
      <c r="AM160" s="668" t="s">
        <v>5391</v>
      </c>
      <c r="AN160" s="862" t="s">
        <v>5392</v>
      </c>
      <c r="AQ160" s="722" t="s">
        <v>2255</v>
      </c>
    </row>
    <row r="161" spans="1:44" x14ac:dyDescent="0.2">
      <c r="A161" s="668" t="s">
        <v>594</v>
      </c>
      <c r="B161" s="733"/>
      <c r="C161" s="838" t="s">
        <v>4341</v>
      </c>
      <c r="D161" s="874" t="s">
        <v>4327</v>
      </c>
      <c r="E161" s="668" t="s">
        <v>4336</v>
      </c>
      <c r="F161" s="668" t="s">
        <v>4334</v>
      </c>
      <c r="G161" s="733" t="s">
        <v>2558</v>
      </c>
      <c r="H161" s="834">
        <v>54269002664</v>
      </c>
      <c r="I161" s="875">
        <v>10054269002661</v>
      </c>
      <c r="J161" s="875">
        <v>20054269002668</v>
      </c>
      <c r="K161" s="782" t="s">
        <v>458</v>
      </c>
      <c r="L161" s="710" t="s">
        <v>975</v>
      </c>
      <c r="M161" s="696"/>
      <c r="N161" s="670">
        <v>49.99</v>
      </c>
      <c r="O161" s="668">
        <v>3</v>
      </c>
      <c r="P161" s="848">
        <v>24</v>
      </c>
      <c r="Q161" s="712">
        <v>0.2</v>
      </c>
      <c r="R161" s="712">
        <v>2.25</v>
      </c>
      <c r="S161" s="712">
        <v>1.25</v>
      </c>
      <c r="T161" s="849">
        <v>0.65</v>
      </c>
      <c r="U161" s="837">
        <v>0.36</v>
      </c>
      <c r="V161" s="668">
        <v>5</v>
      </c>
      <c r="W161" s="668">
        <v>5.125</v>
      </c>
      <c r="X161" s="848">
        <v>2.25</v>
      </c>
      <c r="Y161" s="739">
        <f t="shared" si="7"/>
        <v>1.08</v>
      </c>
      <c r="AB161" s="848"/>
      <c r="AC161" s="739">
        <f t="shared" si="8"/>
        <v>8.64</v>
      </c>
      <c r="AF161" s="848"/>
      <c r="AH161" s="838" t="s">
        <v>5393</v>
      </c>
      <c r="AI161" s="828" t="s">
        <v>5394</v>
      </c>
      <c r="AJ161" s="828" t="s">
        <v>5396</v>
      </c>
      <c r="AK161" s="668" t="s">
        <v>5389</v>
      </c>
      <c r="AL161" s="668" t="s">
        <v>5390</v>
      </c>
      <c r="AM161" s="668" t="s">
        <v>5391</v>
      </c>
      <c r="AN161" s="862" t="s">
        <v>5392</v>
      </c>
      <c r="AQ161" s="722" t="s">
        <v>2255</v>
      </c>
    </row>
    <row r="162" spans="1:44" x14ac:dyDescent="0.2">
      <c r="A162" s="668" t="s">
        <v>594</v>
      </c>
      <c r="B162" s="733"/>
      <c r="C162" s="838" t="s">
        <v>4341</v>
      </c>
      <c r="D162" s="874" t="s">
        <v>4324</v>
      </c>
      <c r="E162" s="668" t="s">
        <v>4336</v>
      </c>
      <c r="F162" s="668" t="s">
        <v>4335</v>
      </c>
      <c r="G162" s="733" t="s">
        <v>2558</v>
      </c>
      <c r="H162" s="834">
        <v>54269002671</v>
      </c>
      <c r="I162" s="875">
        <v>10054269002678</v>
      </c>
      <c r="J162" s="875">
        <v>20054269002675</v>
      </c>
      <c r="K162" s="782" t="s">
        <v>458</v>
      </c>
      <c r="L162" s="710" t="s">
        <v>975</v>
      </c>
      <c r="M162" s="696"/>
      <c r="N162" s="670">
        <v>49.99</v>
      </c>
      <c r="O162" s="668">
        <v>3</v>
      </c>
      <c r="P162" s="848">
        <v>24</v>
      </c>
      <c r="Q162" s="712">
        <v>0.2</v>
      </c>
      <c r="R162" s="712">
        <v>2.25</v>
      </c>
      <c r="S162" s="712">
        <v>1.25</v>
      </c>
      <c r="T162" s="849">
        <v>0.65</v>
      </c>
      <c r="U162" s="806">
        <v>0.36</v>
      </c>
      <c r="V162" s="668">
        <v>5</v>
      </c>
      <c r="W162" s="668">
        <v>5.125</v>
      </c>
      <c r="X162" s="848">
        <v>2.25</v>
      </c>
      <c r="Y162" s="739">
        <f t="shared" si="7"/>
        <v>1.08</v>
      </c>
      <c r="AB162" s="848"/>
      <c r="AC162" s="739">
        <f t="shared" si="8"/>
        <v>8.64</v>
      </c>
      <c r="AF162" s="848"/>
      <c r="AH162" s="838" t="s">
        <v>5393</v>
      </c>
      <c r="AI162" s="828" t="s">
        <v>5394</v>
      </c>
      <c r="AJ162" s="828" t="s">
        <v>5396</v>
      </c>
      <c r="AK162" s="668" t="s">
        <v>5389</v>
      </c>
      <c r="AL162" s="668" t="s">
        <v>5390</v>
      </c>
      <c r="AM162" s="668" t="s">
        <v>5391</v>
      </c>
      <c r="AN162" s="862" t="s">
        <v>5392</v>
      </c>
      <c r="AQ162" s="722" t="s">
        <v>2255</v>
      </c>
    </row>
    <row r="163" spans="1:44" x14ac:dyDescent="0.2">
      <c r="B163" s="733"/>
      <c r="C163" s="838"/>
      <c r="D163" s="874"/>
      <c r="G163" s="733"/>
      <c r="H163" s="834"/>
      <c r="I163" s="875"/>
      <c r="J163" s="875"/>
      <c r="K163" s="782"/>
      <c r="L163" s="710"/>
      <c r="M163" s="696"/>
      <c r="P163" s="848"/>
      <c r="Q163" s="712"/>
      <c r="R163" s="712"/>
      <c r="S163" s="712"/>
      <c r="T163" s="849"/>
      <c r="U163" s="806"/>
      <c r="Y163" s="806"/>
      <c r="AC163" s="806"/>
      <c r="AQ163" s="722"/>
    </row>
    <row r="164" spans="1:44" ht="15.75" x14ac:dyDescent="0.25">
      <c r="A164" s="892" t="s">
        <v>3952</v>
      </c>
      <c r="B164" s="892"/>
      <c r="C164" s="892"/>
      <c r="P164" s="698"/>
      <c r="T164" s="701"/>
    </row>
    <row r="165" spans="1:44" x14ac:dyDescent="0.2">
      <c r="A165" s="708" t="s">
        <v>594</v>
      </c>
      <c r="B165" s="805"/>
      <c r="C165" s="733" t="s">
        <v>4007</v>
      </c>
      <c r="D165" s="733"/>
      <c r="E165" s="692" t="s">
        <v>4006</v>
      </c>
      <c r="F165" s="733" t="s">
        <v>1332</v>
      </c>
      <c r="G165" s="668" t="s">
        <v>2567</v>
      </c>
      <c r="H165" s="834">
        <v>54269002336</v>
      </c>
      <c r="I165" s="733"/>
      <c r="J165" s="733"/>
      <c r="K165" s="782" t="s">
        <v>458</v>
      </c>
      <c r="L165" s="735" t="s">
        <v>975</v>
      </c>
      <c r="M165" s="696"/>
      <c r="N165" s="775">
        <v>29.99</v>
      </c>
      <c r="O165" s="733"/>
      <c r="P165" s="737"/>
      <c r="Q165" s="711">
        <v>0.2</v>
      </c>
      <c r="R165" s="712">
        <v>8.5</v>
      </c>
      <c r="S165" s="712">
        <v>2</v>
      </c>
      <c r="T165" s="720">
        <v>8</v>
      </c>
      <c r="U165" s="705">
        <v>0.2</v>
      </c>
      <c r="V165" s="747"/>
      <c r="W165" s="747"/>
      <c r="X165" s="867"/>
      <c r="Y165" s="739">
        <f>U165*O165</f>
        <v>0</v>
      </c>
      <c r="Z165" s="747"/>
      <c r="AA165" s="747"/>
      <c r="AB165" s="748"/>
      <c r="AC165" s="844"/>
      <c r="AD165" s="747"/>
      <c r="AE165" s="747"/>
      <c r="AF165" s="748"/>
      <c r="AG165" s="844"/>
      <c r="AH165" s="733" t="s">
        <v>4199</v>
      </c>
      <c r="AI165" s="733" t="s">
        <v>4200</v>
      </c>
      <c r="AJ165" s="733" t="s">
        <v>4201</v>
      </c>
      <c r="AK165" s="733" t="s">
        <v>4202</v>
      </c>
      <c r="AL165" s="733" t="s">
        <v>4203</v>
      </c>
      <c r="AM165" s="733"/>
      <c r="AN165" s="733"/>
      <c r="AO165" s="733"/>
      <c r="AP165" s="826" t="s">
        <v>3970</v>
      </c>
      <c r="AQ165" s="722" t="s">
        <v>2255</v>
      </c>
    </row>
    <row r="166" spans="1:44" s="693" customFormat="1" x14ac:dyDescent="0.2">
      <c r="A166" s="708" t="s">
        <v>594</v>
      </c>
      <c r="B166" s="805"/>
      <c r="C166" s="733" t="s">
        <v>4007</v>
      </c>
      <c r="D166" s="713"/>
      <c r="E166" s="692" t="s">
        <v>4006</v>
      </c>
      <c r="F166" s="708" t="s">
        <v>222</v>
      </c>
      <c r="G166" s="693" t="s">
        <v>2567</v>
      </c>
      <c r="H166" s="834" t="s">
        <v>4009</v>
      </c>
      <c r="I166" s="782"/>
      <c r="J166" s="782"/>
      <c r="K166" s="782" t="s">
        <v>458</v>
      </c>
      <c r="L166" s="735" t="s">
        <v>975</v>
      </c>
      <c r="M166" s="696"/>
      <c r="N166" s="751">
        <v>29.99</v>
      </c>
      <c r="O166" s="733"/>
      <c r="P166" s="737"/>
      <c r="Q166" s="711">
        <v>0.2</v>
      </c>
      <c r="R166" s="712">
        <v>8.5</v>
      </c>
      <c r="S166" s="712">
        <v>2</v>
      </c>
      <c r="T166" s="720">
        <v>8</v>
      </c>
      <c r="U166" s="705">
        <v>0.2</v>
      </c>
      <c r="V166" s="742"/>
      <c r="W166" s="742"/>
      <c r="X166" s="867"/>
      <c r="Y166" s="739">
        <f>U166*O166</f>
        <v>0</v>
      </c>
      <c r="Z166" s="742"/>
      <c r="AA166" s="742"/>
      <c r="AB166" s="748"/>
      <c r="AC166" s="741"/>
      <c r="AD166" s="742"/>
      <c r="AE166" s="742"/>
      <c r="AF166" s="748"/>
      <c r="AG166" s="741"/>
      <c r="AH166" s="733" t="s">
        <v>4199</v>
      </c>
      <c r="AI166" s="733" t="s">
        <v>4200</v>
      </c>
      <c r="AJ166" s="733" t="s">
        <v>4201</v>
      </c>
      <c r="AK166" s="733" t="s">
        <v>4202</v>
      </c>
      <c r="AL166" s="728" t="s">
        <v>4204</v>
      </c>
      <c r="AM166" s="728"/>
      <c r="AN166" s="728"/>
      <c r="AO166" s="728"/>
      <c r="AP166" s="838" t="s">
        <v>3970</v>
      </c>
      <c r="AQ166" s="722" t="s">
        <v>2255</v>
      </c>
      <c r="AR166" s="715"/>
    </row>
    <row r="167" spans="1:44" s="693" customFormat="1" x14ac:dyDescent="0.2">
      <c r="A167" s="708" t="s">
        <v>594</v>
      </c>
      <c r="B167" s="805"/>
      <c r="C167" s="713" t="s">
        <v>4008</v>
      </c>
      <c r="D167" s="713"/>
      <c r="E167" s="707" t="s">
        <v>4004</v>
      </c>
      <c r="F167" s="708" t="s">
        <v>1332</v>
      </c>
      <c r="G167" s="693" t="s">
        <v>2567</v>
      </c>
      <c r="H167" s="834" t="s">
        <v>4010</v>
      </c>
      <c r="I167" s="782"/>
      <c r="J167" s="782"/>
      <c r="K167" s="782" t="s">
        <v>458</v>
      </c>
      <c r="L167" s="735" t="s">
        <v>975</v>
      </c>
      <c r="M167" s="696"/>
      <c r="N167" s="751">
        <v>44.99</v>
      </c>
      <c r="O167" s="733"/>
      <c r="P167" s="737"/>
      <c r="Q167" s="711">
        <v>0.3</v>
      </c>
      <c r="R167" s="712">
        <v>13</v>
      </c>
      <c r="S167" s="712">
        <v>2</v>
      </c>
      <c r="T167" s="720">
        <v>8</v>
      </c>
      <c r="U167" s="705">
        <v>0.3</v>
      </c>
      <c r="V167" s="742"/>
      <c r="W167" s="742"/>
      <c r="X167" s="867"/>
      <c r="Y167" s="739">
        <f>U167*O167</f>
        <v>0</v>
      </c>
      <c r="Z167" s="742"/>
      <c r="AA167" s="742"/>
      <c r="AB167" s="748"/>
      <c r="AC167" s="741"/>
      <c r="AD167" s="742"/>
      <c r="AE167" s="742"/>
      <c r="AF167" s="748"/>
      <c r="AG167" s="741"/>
      <c r="AH167" s="868"/>
      <c r="AI167" s="868"/>
      <c r="AJ167" s="868"/>
      <c r="AK167" s="868"/>
      <c r="AL167" s="868"/>
      <c r="AM167" s="868"/>
      <c r="AN167" s="868"/>
      <c r="AO167" s="868"/>
      <c r="AP167" s="838" t="s">
        <v>3971</v>
      </c>
      <c r="AQ167" s="722" t="s">
        <v>2255</v>
      </c>
      <c r="AR167" s="715"/>
    </row>
    <row r="168" spans="1:44" s="693" customFormat="1" x14ac:dyDescent="0.2">
      <c r="A168" s="708" t="s">
        <v>594</v>
      </c>
      <c r="B168" s="805"/>
      <c r="C168" s="713" t="s">
        <v>4008</v>
      </c>
      <c r="D168" s="713"/>
      <c r="E168" s="707" t="s">
        <v>4005</v>
      </c>
      <c r="F168" s="708" t="s">
        <v>1332</v>
      </c>
      <c r="G168" s="693" t="s">
        <v>2567</v>
      </c>
      <c r="H168" s="834" t="s">
        <v>4011</v>
      </c>
      <c r="I168" s="782"/>
      <c r="J168" s="782"/>
      <c r="K168" s="782" t="s">
        <v>458</v>
      </c>
      <c r="L168" s="735" t="s">
        <v>975</v>
      </c>
      <c r="M168" s="696"/>
      <c r="N168" s="751">
        <v>44.99</v>
      </c>
      <c r="O168" s="733"/>
      <c r="P168" s="737"/>
      <c r="Q168" s="712">
        <v>0.3</v>
      </c>
      <c r="R168" s="712">
        <v>13</v>
      </c>
      <c r="S168" s="712">
        <v>2</v>
      </c>
      <c r="T168" s="720">
        <v>8</v>
      </c>
      <c r="U168" s="702">
        <v>0.3</v>
      </c>
      <c r="V168" s="742"/>
      <c r="W168" s="742"/>
      <c r="X168" s="867"/>
      <c r="Y168" s="739">
        <f>U168*O168</f>
        <v>0</v>
      </c>
      <c r="Z168" s="742"/>
      <c r="AA168" s="742"/>
      <c r="AB168" s="748"/>
      <c r="AC168" s="741"/>
      <c r="AD168" s="742"/>
      <c r="AE168" s="742"/>
      <c r="AF168" s="748"/>
      <c r="AG168" s="741"/>
      <c r="AH168" s="868"/>
      <c r="AI168" s="868"/>
      <c r="AJ168" s="868"/>
      <c r="AK168" s="868"/>
      <c r="AL168" s="868"/>
      <c r="AM168" s="868"/>
      <c r="AN168" s="868"/>
      <c r="AO168" s="868"/>
      <c r="AP168" s="838" t="s">
        <v>3971</v>
      </c>
      <c r="AQ168" s="722" t="s">
        <v>2255</v>
      </c>
      <c r="AR168" s="715"/>
    </row>
    <row r="169" spans="1:44" s="693" customFormat="1" ht="15.75" x14ac:dyDescent="0.25">
      <c r="A169" s="892" t="s">
        <v>2173</v>
      </c>
      <c r="B169" s="892"/>
      <c r="C169" s="892"/>
      <c r="D169" s="691"/>
      <c r="E169" s="692"/>
      <c r="H169" s="717"/>
      <c r="I169" s="725"/>
      <c r="J169" s="725"/>
      <c r="K169" s="725"/>
      <c r="L169" s="710"/>
      <c r="M169" s="696"/>
      <c r="N169" s="696"/>
      <c r="O169" s="697"/>
      <c r="P169" s="698"/>
      <c r="Q169" s="711"/>
      <c r="R169" s="712"/>
      <c r="S169" s="712"/>
      <c r="T169" s="701"/>
      <c r="U169" s="702"/>
      <c r="V169" s="703"/>
      <c r="W169" s="703"/>
      <c r="X169" s="704"/>
      <c r="Y169" s="702"/>
      <c r="Z169" s="703"/>
      <c r="AA169" s="703"/>
      <c r="AB169" s="704"/>
      <c r="AC169" s="702"/>
      <c r="AD169" s="703"/>
      <c r="AE169" s="703"/>
      <c r="AF169" s="704"/>
      <c r="AG169" s="702"/>
      <c r="AH169" s="722"/>
      <c r="AI169" s="722"/>
      <c r="AJ169" s="861"/>
      <c r="AK169" s="861"/>
      <c r="AL169" s="863"/>
      <c r="AM169" s="863"/>
      <c r="AN169" s="715"/>
      <c r="AO169" s="730"/>
      <c r="AP169" s="715"/>
      <c r="AQ169" s="715"/>
      <c r="AR169" s="715"/>
    </row>
    <row r="170" spans="1:44" x14ac:dyDescent="0.2">
      <c r="A170" s="708" t="s">
        <v>594</v>
      </c>
      <c r="B170" s="805"/>
      <c r="C170" s="733" t="s">
        <v>3758</v>
      </c>
      <c r="D170" s="733"/>
      <c r="E170" s="733" t="s">
        <v>3760</v>
      </c>
      <c r="F170" s="733"/>
      <c r="G170" s="733" t="s">
        <v>2557</v>
      </c>
      <c r="H170" s="725" t="s">
        <v>3759</v>
      </c>
      <c r="I170" s="733"/>
      <c r="J170" s="733"/>
      <c r="K170" s="782" t="s">
        <v>2229</v>
      </c>
      <c r="L170" s="735" t="s">
        <v>975</v>
      </c>
      <c r="M170" s="696"/>
      <c r="N170" s="736">
        <v>39.99</v>
      </c>
      <c r="O170" s="733">
        <v>0</v>
      </c>
      <c r="P170" s="737">
        <v>6</v>
      </c>
      <c r="Q170" s="841">
        <v>3.3</v>
      </c>
      <c r="R170" s="841">
        <v>13.5</v>
      </c>
      <c r="S170" s="841">
        <v>10</v>
      </c>
      <c r="T170" s="701">
        <v>11</v>
      </c>
      <c r="U170" s="841">
        <v>3.7</v>
      </c>
      <c r="V170" s="841">
        <v>14</v>
      </c>
      <c r="W170" s="841">
        <v>10.25</v>
      </c>
      <c r="X170" s="841">
        <v>1.5</v>
      </c>
      <c r="Y170" s="739">
        <v>3.7</v>
      </c>
      <c r="Z170" s="733">
        <v>14</v>
      </c>
      <c r="AA170" s="733">
        <v>10.25</v>
      </c>
      <c r="AB170" s="737">
        <v>1.5</v>
      </c>
      <c r="AC170" s="739">
        <v>25</v>
      </c>
      <c r="AD170" s="733">
        <v>10.63</v>
      </c>
      <c r="AE170" s="733">
        <v>9.0500000000000007</v>
      </c>
      <c r="AF170" s="737">
        <v>14.57</v>
      </c>
      <c r="AG170" s="806">
        <f>AD170*AE170*AF170/(12^3)</f>
        <v>0.81114343460648164</v>
      </c>
      <c r="AH170" s="733" t="s">
        <v>3864</v>
      </c>
      <c r="AI170" s="843" t="s">
        <v>3865</v>
      </c>
      <c r="AJ170" s="843" t="s">
        <v>3866</v>
      </c>
      <c r="AK170" s="843" t="s">
        <v>3867</v>
      </c>
      <c r="AL170" s="843" t="s">
        <v>3868</v>
      </c>
      <c r="AM170" s="733"/>
      <c r="AN170" s="733"/>
      <c r="AO170" s="733"/>
      <c r="AP170" s="826" t="s">
        <v>3869</v>
      </c>
      <c r="AQ170" s="722" t="s">
        <v>2255</v>
      </c>
      <c r="AR170" s="733"/>
    </row>
    <row r="171" spans="1:44" x14ac:dyDescent="0.2">
      <c r="A171" s="708" t="s">
        <v>594</v>
      </c>
      <c r="B171" s="805"/>
      <c r="C171" s="733" t="s">
        <v>3965</v>
      </c>
      <c r="E171" s="733" t="s">
        <v>3951</v>
      </c>
      <c r="F171" s="733" t="s">
        <v>266</v>
      </c>
      <c r="G171" s="668" t="s">
        <v>2558</v>
      </c>
      <c r="H171" s="834">
        <v>54269002329</v>
      </c>
      <c r="I171" s="725" t="s">
        <v>259</v>
      </c>
      <c r="J171" s="820">
        <v>20054269002323</v>
      </c>
      <c r="K171" s="782" t="s">
        <v>2229</v>
      </c>
      <c r="L171" s="669" t="s">
        <v>975</v>
      </c>
      <c r="M171" s="696"/>
      <c r="N171" s="736">
        <v>39.99</v>
      </c>
      <c r="O171" s="668">
        <v>1</v>
      </c>
      <c r="P171" s="835">
        <v>12</v>
      </c>
      <c r="Q171" s="712">
        <v>2</v>
      </c>
      <c r="R171" s="712">
        <v>9.5</v>
      </c>
      <c r="S171" s="712">
        <v>7</v>
      </c>
      <c r="T171" s="740" t="s">
        <v>4184</v>
      </c>
      <c r="U171" s="869">
        <v>2.1</v>
      </c>
      <c r="V171" s="870">
        <v>9.5</v>
      </c>
      <c r="W171" s="870">
        <v>8</v>
      </c>
      <c r="X171" s="737">
        <v>1.5</v>
      </c>
      <c r="Y171" s="844"/>
      <c r="Z171" s="747"/>
      <c r="AA171" s="747"/>
      <c r="AB171" s="748"/>
      <c r="AC171" s="844"/>
      <c r="AD171" s="747"/>
      <c r="AE171" s="747"/>
      <c r="AF171" s="748"/>
      <c r="AG171" s="844"/>
      <c r="AH171" s="733" t="s">
        <v>3864</v>
      </c>
      <c r="AI171" s="843" t="s">
        <v>3865</v>
      </c>
      <c r="AJ171" s="843" t="s">
        <v>3866</v>
      </c>
      <c r="AK171" s="843" t="s">
        <v>3867</v>
      </c>
      <c r="AL171" s="843" t="s">
        <v>3868</v>
      </c>
      <c r="AM171" s="747"/>
      <c r="AN171" s="747"/>
      <c r="AO171" s="747"/>
      <c r="AP171" s="826" t="s">
        <v>4238</v>
      </c>
      <c r="AQ171" s="722" t="s">
        <v>2255</v>
      </c>
    </row>
    <row r="172" spans="1:44" s="693" customFormat="1" x14ac:dyDescent="0.2">
      <c r="A172" s="693" t="s">
        <v>594</v>
      </c>
      <c r="B172" s="716"/>
      <c r="C172" s="692" t="s">
        <v>1464</v>
      </c>
      <c r="D172" s="692"/>
      <c r="E172" s="692" t="s">
        <v>2563</v>
      </c>
      <c r="G172" s="708" t="s">
        <v>2547</v>
      </c>
      <c r="H172" s="717" t="s">
        <v>1466</v>
      </c>
      <c r="I172" s="725" t="s">
        <v>259</v>
      </c>
      <c r="J172" s="725" t="s">
        <v>2559</v>
      </c>
      <c r="K172" s="717" t="s">
        <v>2229</v>
      </c>
      <c r="L172" s="710" t="s">
        <v>975</v>
      </c>
      <c r="M172" s="696"/>
      <c r="N172" s="696">
        <v>29.99</v>
      </c>
      <c r="O172" s="821">
        <v>1</v>
      </c>
      <c r="P172" s="727">
        <v>6</v>
      </c>
      <c r="Q172" s="711">
        <f>CONVERT(560,"g","lbm")</f>
        <v>1.2345886682353144</v>
      </c>
      <c r="R172" s="712">
        <v>9.1</v>
      </c>
      <c r="S172" s="712">
        <v>9.1</v>
      </c>
      <c r="T172" s="720">
        <v>10.199999999999999</v>
      </c>
      <c r="U172" s="705">
        <f>CONVERT(640,"g","lbm")</f>
        <v>1.4109584779832165</v>
      </c>
      <c r="V172" s="713">
        <v>4.25</v>
      </c>
      <c r="W172" s="713">
        <v>0.9375</v>
      </c>
      <c r="X172" s="714">
        <v>13.75</v>
      </c>
      <c r="Y172" s="705" t="s">
        <v>259</v>
      </c>
      <c r="Z172" s="713" t="s">
        <v>259</v>
      </c>
      <c r="AA172" s="713" t="s">
        <v>259</v>
      </c>
      <c r="AB172" s="714" t="s">
        <v>259</v>
      </c>
      <c r="AC172" s="705">
        <f>CONVERT(4500,"g","lbm")</f>
        <v>9.9208017983194914</v>
      </c>
      <c r="AD172" s="713">
        <f>CONVERT(0.39,"m","in")</f>
        <v>15.354330708661417</v>
      </c>
      <c r="AE172" s="713">
        <f>CONVERT(0.13,"m","in")</f>
        <v>5.1181102362204722</v>
      </c>
      <c r="AF172" s="714">
        <f>CONVERT(0.17,"m","in")</f>
        <v>6.6929133858267722</v>
      </c>
      <c r="AG172" s="702">
        <f>AD172*AE172*AF172/(12^3)</f>
        <v>0.30437711247251015</v>
      </c>
      <c r="AH172" s="722" t="s">
        <v>2619</v>
      </c>
      <c r="AI172" s="722" t="s">
        <v>2620</v>
      </c>
      <c r="AJ172" s="722" t="s">
        <v>2621</v>
      </c>
      <c r="AK172" s="722" t="s">
        <v>2622</v>
      </c>
      <c r="AL172" s="693" t="s">
        <v>2623</v>
      </c>
      <c r="AM172" s="871" t="s">
        <v>2624</v>
      </c>
      <c r="AN172" s="715" t="s">
        <v>272</v>
      </c>
      <c r="AO172" s="722" t="s">
        <v>1480</v>
      </c>
      <c r="AP172" s="715" t="s">
        <v>2618</v>
      </c>
      <c r="AQ172" s="722" t="s">
        <v>2255</v>
      </c>
      <c r="AR172" s="715"/>
    </row>
    <row r="173" spans="1:44" s="693" customFormat="1" x14ac:dyDescent="0.2">
      <c r="A173" s="693" t="s">
        <v>594</v>
      </c>
      <c r="B173" s="716"/>
      <c r="C173" s="692" t="s">
        <v>1898</v>
      </c>
      <c r="D173" s="692"/>
      <c r="E173" s="692" t="s">
        <v>2564</v>
      </c>
      <c r="G173" s="708" t="s">
        <v>2547</v>
      </c>
      <c r="H173" s="717" t="s">
        <v>1899</v>
      </c>
      <c r="I173" s="725" t="s">
        <v>259</v>
      </c>
      <c r="J173" s="725" t="s">
        <v>2560</v>
      </c>
      <c r="K173" s="717" t="s">
        <v>2229</v>
      </c>
      <c r="L173" s="710" t="s">
        <v>975</v>
      </c>
      <c r="M173" s="696"/>
      <c r="N173" s="696">
        <v>49.99</v>
      </c>
      <c r="O173" s="821">
        <v>1</v>
      </c>
      <c r="P173" s="698">
        <v>6</v>
      </c>
      <c r="Q173" s="711">
        <f>CONVERT(0.91,"kg","lbm")</f>
        <v>2.0062065858823859</v>
      </c>
      <c r="R173" s="712">
        <v>17</v>
      </c>
      <c r="S173" s="712">
        <v>1.875</v>
      </c>
      <c r="T173" s="720">
        <v>7</v>
      </c>
      <c r="U173" s="705">
        <f>37.1/16</f>
        <v>2.3187500000000001</v>
      </c>
      <c r="V173" s="713">
        <v>5.75</v>
      </c>
      <c r="W173" s="713">
        <v>1</v>
      </c>
      <c r="X173" s="714">
        <v>21.375</v>
      </c>
      <c r="Y173" s="705" t="s">
        <v>259</v>
      </c>
      <c r="Z173" s="713" t="s">
        <v>259</v>
      </c>
      <c r="AA173" s="713" t="s">
        <v>259</v>
      </c>
      <c r="AB173" s="714" t="s">
        <v>259</v>
      </c>
      <c r="AC173" s="705">
        <f>CONVERT(6650,"g","lbm")</f>
        <v>14.660740435294359</v>
      </c>
      <c r="AD173" s="713">
        <f>CONVERT(0.56,"m","in")</f>
        <v>22.047244094488192</v>
      </c>
      <c r="AE173" s="713">
        <f>CONVERT(0.16,"m","in")</f>
        <v>6.2992125984251972</v>
      </c>
      <c r="AF173" s="714">
        <f>CONVERT(0.16,"m","in")</f>
        <v>6.2992125984251972</v>
      </c>
      <c r="AG173" s="702">
        <f>AD173*AE173*AF173/(12^3)</f>
        <v>0.50627106211926054</v>
      </c>
      <c r="AH173" s="871" t="s">
        <v>2627</v>
      </c>
      <c r="AI173" s="871" t="s">
        <v>2628</v>
      </c>
      <c r="AJ173" s="871" t="s">
        <v>2626</v>
      </c>
      <c r="AK173" s="872" t="s">
        <v>2625</v>
      </c>
      <c r="AL173" s="871" t="s">
        <v>2629</v>
      </c>
      <c r="AM173" s="693" t="s">
        <v>2630</v>
      </c>
      <c r="AN173" s="871" t="s">
        <v>272</v>
      </c>
      <c r="AO173" s="722" t="s">
        <v>2631</v>
      </c>
      <c r="AP173" s="715" t="s">
        <v>2632</v>
      </c>
      <c r="AQ173" s="722" t="s">
        <v>2255</v>
      </c>
      <c r="AR173" s="715"/>
    </row>
    <row r="174" spans="1:44" s="693" customFormat="1" x14ac:dyDescent="0.2">
      <c r="A174" s="693" t="s">
        <v>594</v>
      </c>
      <c r="B174" s="716"/>
      <c r="C174" s="692" t="s">
        <v>1465</v>
      </c>
      <c r="D174" s="692"/>
      <c r="E174" s="692" t="s">
        <v>2565</v>
      </c>
      <c r="G174" s="708" t="s">
        <v>2558</v>
      </c>
      <c r="H174" s="717" t="s">
        <v>1467</v>
      </c>
      <c r="I174" s="725" t="s">
        <v>259</v>
      </c>
      <c r="J174" s="725" t="s">
        <v>2561</v>
      </c>
      <c r="K174" s="717" t="s">
        <v>2229</v>
      </c>
      <c r="L174" s="710" t="s">
        <v>975</v>
      </c>
      <c r="M174" s="696"/>
      <c r="N174" s="696">
        <v>14.99</v>
      </c>
      <c r="O174" s="821">
        <v>1</v>
      </c>
      <c r="P174" s="698">
        <v>12</v>
      </c>
      <c r="Q174" s="711">
        <f>9.3/16</f>
        <v>0.58125000000000004</v>
      </c>
      <c r="R174" s="712">
        <v>7</v>
      </c>
      <c r="S174" s="712">
        <v>7</v>
      </c>
      <c r="T174" s="720">
        <v>2.75</v>
      </c>
      <c r="U174" s="705">
        <f>12.1/16</f>
        <v>0.75624999999999998</v>
      </c>
      <c r="V174" s="713">
        <v>6.875</v>
      </c>
      <c r="W174" s="713">
        <v>3.1875</v>
      </c>
      <c r="X174" s="714">
        <v>7.875</v>
      </c>
      <c r="Y174" s="705" t="s">
        <v>259</v>
      </c>
      <c r="Z174" s="713" t="s">
        <v>259</v>
      </c>
      <c r="AA174" s="713" t="s">
        <v>259</v>
      </c>
      <c r="AB174" s="714" t="s">
        <v>259</v>
      </c>
      <c r="AC174" s="705">
        <v>11.5</v>
      </c>
      <c r="AD174" s="713">
        <v>20</v>
      </c>
      <c r="AE174" s="713">
        <v>15</v>
      </c>
      <c r="AF174" s="714">
        <v>8</v>
      </c>
      <c r="AG174" s="702">
        <f>AD174*AE174*AF174/(12^3)</f>
        <v>1.3888888888888888</v>
      </c>
      <c r="AH174" s="722" t="s">
        <v>2613</v>
      </c>
      <c r="AI174" s="722" t="s">
        <v>2607</v>
      </c>
      <c r="AJ174" s="722" t="s">
        <v>2608</v>
      </c>
      <c r="AK174" s="722" t="s">
        <v>2609</v>
      </c>
      <c r="AL174" s="693" t="s">
        <v>2610</v>
      </c>
      <c r="AM174" s="722" t="s">
        <v>2611</v>
      </c>
      <c r="AN174" s="715"/>
      <c r="AO174" s="730"/>
      <c r="AP174" s="808" t="s">
        <v>2612</v>
      </c>
      <c r="AQ174" s="722" t="s">
        <v>2255</v>
      </c>
      <c r="AR174" s="715"/>
    </row>
    <row r="175" spans="1:44" s="693" customFormat="1" x14ac:dyDescent="0.2">
      <c r="A175" s="693" t="s">
        <v>594</v>
      </c>
      <c r="B175" s="716"/>
      <c r="C175" s="692" t="s">
        <v>1469</v>
      </c>
      <c r="D175" s="692"/>
      <c r="E175" s="692" t="s">
        <v>2566</v>
      </c>
      <c r="G175" s="708" t="s">
        <v>2558</v>
      </c>
      <c r="H175" s="717" t="s">
        <v>1468</v>
      </c>
      <c r="I175" s="725" t="s">
        <v>259</v>
      </c>
      <c r="J175" s="725" t="s">
        <v>2562</v>
      </c>
      <c r="K175" s="717" t="s">
        <v>2229</v>
      </c>
      <c r="L175" s="710" t="s">
        <v>975</v>
      </c>
      <c r="M175" s="696"/>
      <c r="N175" s="696">
        <v>19.989999999999998</v>
      </c>
      <c r="O175" s="821">
        <v>1</v>
      </c>
      <c r="P175" s="698">
        <v>12</v>
      </c>
      <c r="Q175" s="711">
        <v>0.8125</v>
      </c>
      <c r="R175" s="712">
        <v>8.75</v>
      </c>
      <c r="S175" s="712">
        <v>8.75</v>
      </c>
      <c r="T175" s="720">
        <v>3.5</v>
      </c>
      <c r="U175" s="705">
        <f>17.9/16</f>
        <v>1.1187499999999999</v>
      </c>
      <c r="V175" s="713">
        <v>9.0625</v>
      </c>
      <c r="W175" s="713">
        <v>3.1875</v>
      </c>
      <c r="X175" s="714">
        <v>9.5</v>
      </c>
      <c r="Y175" s="705" t="s">
        <v>259</v>
      </c>
      <c r="Z175" s="713" t="s">
        <v>259</v>
      </c>
      <c r="AA175" s="713" t="s">
        <v>259</v>
      </c>
      <c r="AB175" s="714" t="s">
        <v>259</v>
      </c>
      <c r="AC175" s="705">
        <v>16</v>
      </c>
      <c r="AD175" s="713">
        <v>21</v>
      </c>
      <c r="AE175" s="713">
        <v>19</v>
      </c>
      <c r="AF175" s="714">
        <v>10</v>
      </c>
      <c r="AG175" s="702">
        <f>AD175*AE175*AF175/(12^3)</f>
        <v>2.3090277777777777</v>
      </c>
      <c r="AH175" s="722" t="s">
        <v>2616</v>
      </c>
      <c r="AI175" s="722" t="s">
        <v>2607</v>
      </c>
      <c r="AJ175" s="722" t="s">
        <v>2608</v>
      </c>
      <c r="AK175" s="722" t="s">
        <v>2609</v>
      </c>
      <c r="AL175" s="693" t="s">
        <v>2610</v>
      </c>
      <c r="AM175" s="861" t="s">
        <v>2615</v>
      </c>
      <c r="AN175" s="722" t="s">
        <v>2617</v>
      </c>
      <c r="AO175" s="730"/>
      <c r="AP175" s="715" t="s">
        <v>2614</v>
      </c>
      <c r="AQ175" s="722" t="s">
        <v>2255</v>
      </c>
      <c r="AR175" s="715"/>
    </row>
    <row r="176" spans="1:44" x14ac:dyDescent="0.2">
      <c r="D176" s="733"/>
      <c r="P176" s="848"/>
      <c r="Q176" s="711"/>
      <c r="R176" s="712"/>
      <c r="S176" s="712"/>
      <c r="T176" s="849"/>
      <c r="U176" s="873"/>
      <c r="X176" s="848"/>
      <c r="Y176" s="873"/>
      <c r="AB176" s="848"/>
      <c r="AC176" s="873"/>
      <c r="AF176" s="848"/>
      <c r="AG176" s="873"/>
    </row>
    <row r="177" spans="1:43" ht="15.75" x14ac:dyDescent="0.25">
      <c r="A177" s="892" t="s">
        <v>3940</v>
      </c>
      <c r="B177" s="892"/>
      <c r="C177" s="892"/>
      <c r="P177" s="848"/>
      <c r="Q177" s="711"/>
      <c r="R177" s="712"/>
      <c r="S177" s="712"/>
      <c r="T177" s="849"/>
      <c r="U177" s="873"/>
      <c r="X177" s="848"/>
      <c r="Y177" s="873"/>
      <c r="AB177" s="848"/>
      <c r="AC177" s="873"/>
      <c r="AF177" s="848"/>
      <c r="AG177" s="873"/>
    </row>
    <row r="178" spans="1:43" x14ac:dyDescent="0.2">
      <c r="P178" s="848"/>
      <c r="T178" s="849"/>
      <c r="X178" s="848"/>
      <c r="AB178" s="848"/>
      <c r="AF178" s="848"/>
    </row>
    <row r="179" spans="1:43" x14ac:dyDescent="0.2">
      <c r="P179" s="848"/>
      <c r="T179" s="849"/>
      <c r="X179" s="848"/>
      <c r="AB179" s="848"/>
      <c r="AF179" s="848"/>
    </row>
    <row r="180" spans="1:43" x14ac:dyDescent="0.2">
      <c r="P180" s="848"/>
      <c r="T180" s="849"/>
      <c r="X180" s="848"/>
      <c r="AB180" s="848"/>
      <c r="AF180" s="848"/>
    </row>
    <row r="181" spans="1:43" x14ac:dyDescent="0.2">
      <c r="A181" s="668" t="s">
        <v>594</v>
      </c>
      <c r="B181" s="747"/>
      <c r="C181" s="838" t="s">
        <v>4350</v>
      </c>
      <c r="E181" s="668" t="s">
        <v>4402</v>
      </c>
      <c r="F181" s="668" t="s">
        <v>218</v>
      </c>
      <c r="H181" s="834">
        <v>54269002497</v>
      </c>
      <c r="M181" s="696"/>
      <c r="N181" s="670">
        <v>4.99</v>
      </c>
      <c r="P181" s="848"/>
      <c r="Q181" s="712"/>
      <c r="R181" s="712"/>
      <c r="S181" s="712"/>
      <c r="T181" s="849"/>
      <c r="U181" s="876">
        <v>0.11874999999999999</v>
      </c>
      <c r="V181" s="668">
        <v>4.54</v>
      </c>
      <c r="W181" s="668">
        <v>1.6</v>
      </c>
      <c r="X181" s="848">
        <v>1.6</v>
      </c>
      <c r="AB181" s="848"/>
      <c r="AF181" s="848"/>
      <c r="AH181" s="20" t="s">
        <v>5404</v>
      </c>
      <c r="AI181" s="668" t="s">
        <v>5405</v>
      </c>
      <c r="AJ181" s="668" t="s">
        <v>5407</v>
      </c>
      <c r="AK181" s="668" t="s">
        <v>5406</v>
      </c>
      <c r="AQ181" s="722" t="s">
        <v>2255</v>
      </c>
    </row>
    <row r="182" spans="1:43" x14ac:dyDescent="0.2">
      <c r="P182" s="848"/>
      <c r="T182" s="849"/>
      <c r="X182" s="848"/>
      <c r="AB182" s="848"/>
      <c r="AF182" s="848"/>
    </row>
    <row r="183" spans="1:43" x14ac:dyDescent="0.2">
      <c r="P183" s="848"/>
      <c r="T183" s="849"/>
      <c r="X183" s="848"/>
      <c r="AB183" s="848"/>
      <c r="AF183" s="848"/>
    </row>
    <row r="184" spans="1:43" x14ac:dyDescent="0.2">
      <c r="A184" s="668" t="s">
        <v>594</v>
      </c>
      <c r="B184" s="747"/>
      <c r="C184" s="838" t="s">
        <v>4353</v>
      </c>
      <c r="E184" s="668" t="s">
        <v>5412</v>
      </c>
      <c r="H184" s="834">
        <v>54269002541</v>
      </c>
      <c r="I184" s="875">
        <v>10054269002548</v>
      </c>
      <c r="J184" s="875">
        <v>20054269002545</v>
      </c>
      <c r="M184" s="696"/>
      <c r="N184" s="670">
        <v>2.99</v>
      </c>
      <c r="O184" s="668">
        <v>6</v>
      </c>
      <c r="P184" s="848">
        <v>144</v>
      </c>
      <c r="Q184" s="712"/>
      <c r="R184" s="712"/>
      <c r="S184" s="712"/>
      <c r="T184" s="849"/>
      <c r="U184" s="806">
        <v>0.3</v>
      </c>
      <c r="X184" s="848"/>
      <c r="AB184" s="848"/>
      <c r="AF184" s="848"/>
      <c r="AH184" s="668" t="s">
        <v>5408</v>
      </c>
      <c r="AI184" s="668" t="s">
        <v>5413</v>
      </c>
      <c r="AJ184" s="668" t="s">
        <v>5414</v>
      </c>
      <c r="AQ184" s="722" t="s">
        <v>2255</v>
      </c>
    </row>
    <row r="185" spans="1:43" x14ac:dyDescent="0.2">
      <c r="A185" s="668" t="s">
        <v>594</v>
      </c>
      <c r="C185" s="838" t="s">
        <v>4404</v>
      </c>
      <c r="E185" s="668" t="s">
        <v>4403</v>
      </c>
      <c r="H185" s="834">
        <v>54269002831</v>
      </c>
      <c r="I185" s="875"/>
      <c r="J185" s="875"/>
      <c r="M185" s="696"/>
      <c r="N185" s="670">
        <v>14.99</v>
      </c>
      <c r="P185" s="848"/>
      <c r="Q185" s="712"/>
      <c r="R185" s="712"/>
      <c r="S185" s="712"/>
      <c r="T185" s="849"/>
      <c r="X185" s="848"/>
      <c r="AB185" s="848"/>
      <c r="AF185" s="848"/>
      <c r="AH185" s="668" t="s">
        <v>5408</v>
      </c>
      <c r="AI185" s="668" t="s">
        <v>5409</v>
      </c>
      <c r="AJ185" s="668" t="s">
        <v>5415</v>
      </c>
      <c r="AK185" s="668" t="s">
        <v>5416</v>
      </c>
      <c r="AQ185" s="722" t="s">
        <v>2255</v>
      </c>
    </row>
    <row r="186" spans="1:43" x14ac:dyDescent="0.2">
      <c r="A186" s="668" t="s">
        <v>594</v>
      </c>
      <c r="B186" s="747"/>
      <c r="C186" s="668" t="s">
        <v>5462</v>
      </c>
      <c r="E186" s="668" t="s">
        <v>5463</v>
      </c>
      <c r="N186" s="670">
        <v>14.99</v>
      </c>
      <c r="P186" s="848"/>
      <c r="Q186" s="712"/>
      <c r="R186" s="712"/>
      <c r="S186" s="712"/>
      <c r="T186" s="849"/>
      <c r="X186" s="848"/>
      <c r="AB186" s="848"/>
      <c r="AF186" s="848"/>
    </row>
    <row r="187" spans="1:43" ht="15.75" x14ac:dyDescent="0.25">
      <c r="A187" s="892" t="s">
        <v>4262</v>
      </c>
      <c r="B187" s="892"/>
      <c r="C187" s="892"/>
      <c r="P187" s="848"/>
      <c r="Q187" s="712"/>
      <c r="R187" s="712"/>
      <c r="S187" s="712"/>
      <c r="T187" s="849"/>
      <c r="X187" s="848"/>
      <c r="AB187" s="848"/>
      <c r="AF187" s="848"/>
    </row>
    <row r="188" spans="1:43" s="879" customFormat="1" ht="13.9" customHeight="1" x14ac:dyDescent="0.2">
      <c r="A188" s="877" t="s">
        <v>594</v>
      </c>
      <c r="B188" s="878">
        <v>42705</v>
      </c>
      <c r="C188" s="879" t="s">
        <v>3945</v>
      </c>
      <c r="E188" s="879" t="s">
        <v>3948</v>
      </c>
      <c r="F188" s="879" t="s">
        <v>3736</v>
      </c>
      <c r="G188" s="879" t="s">
        <v>3967</v>
      </c>
      <c r="H188" s="880">
        <v>54269002268</v>
      </c>
      <c r="K188" s="881" t="s">
        <v>458</v>
      </c>
      <c r="L188" s="882" t="s">
        <v>975</v>
      </c>
      <c r="M188" s="883"/>
      <c r="N188" s="883">
        <v>29.99</v>
      </c>
      <c r="P188" s="884"/>
      <c r="Q188" s="885">
        <v>0.67</v>
      </c>
      <c r="R188" s="885">
        <v>3.25</v>
      </c>
      <c r="S188" s="885">
        <v>3.75</v>
      </c>
      <c r="T188" s="886">
        <v>5</v>
      </c>
      <c r="U188" s="887"/>
      <c r="X188" s="887"/>
      <c r="Y188" s="887"/>
      <c r="AB188" s="887"/>
      <c r="AC188" s="887"/>
      <c r="AF188" s="887"/>
      <c r="AG188" s="887"/>
      <c r="AP188" s="879" t="s">
        <v>3977</v>
      </c>
      <c r="AQ188" s="888" t="s">
        <v>2255</v>
      </c>
    </row>
    <row r="189" spans="1:43" s="879" customFormat="1" ht="13.9" customHeight="1" x14ac:dyDescent="0.2">
      <c r="A189" s="877" t="s">
        <v>594</v>
      </c>
      <c r="B189" s="878"/>
      <c r="C189" s="879" t="s">
        <v>4344</v>
      </c>
      <c r="D189" s="879" t="s">
        <v>484</v>
      </c>
      <c r="E189" s="879" t="s">
        <v>4340</v>
      </c>
      <c r="F189" s="879" t="s">
        <v>484</v>
      </c>
      <c r="G189" s="879" t="s">
        <v>2558</v>
      </c>
      <c r="H189" s="880" t="s">
        <v>4356</v>
      </c>
      <c r="I189" s="879">
        <v>10054269002555</v>
      </c>
      <c r="J189" s="879">
        <v>20054269002552</v>
      </c>
      <c r="K189" s="881" t="s">
        <v>458</v>
      </c>
      <c r="L189" s="882" t="s">
        <v>975</v>
      </c>
      <c r="M189" s="883"/>
      <c r="N189" s="883">
        <v>49.99</v>
      </c>
      <c r="O189" s="879">
        <v>3</v>
      </c>
      <c r="P189" s="884">
        <v>24</v>
      </c>
      <c r="Q189" s="885">
        <v>0.23</v>
      </c>
      <c r="R189" s="885">
        <v>2.2999999999999998</v>
      </c>
      <c r="S189" s="885">
        <v>1.3</v>
      </c>
      <c r="T189" s="886">
        <v>1.8</v>
      </c>
      <c r="U189" s="887">
        <v>0.46</v>
      </c>
      <c r="V189" s="879">
        <v>5</v>
      </c>
      <c r="W189" s="879">
        <v>5.125</v>
      </c>
      <c r="X189" s="887">
        <v>2.25</v>
      </c>
      <c r="Y189" s="887">
        <f>U189*O189</f>
        <v>1.3800000000000001</v>
      </c>
      <c r="AB189" s="887"/>
      <c r="AC189" s="887">
        <f>U189*P189</f>
        <v>11.040000000000001</v>
      </c>
      <c r="AF189" s="887"/>
      <c r="AG189" s="887"/>
      <c r="AH189" s="879" t="s">
        <v>4348</v>
      </c>
      <c r="AI189" s="879" t="s">
        <v>4345</v>
      </c>
      <c r="AJ189" s="879" t="s">
        <v>4346</v>
      </c>
      <c r="AK189" s="879" t="s">
        <v>5399</v>
      </c>
      <c r="AL189" s="879" t="s">
        <v>4349</v>
      </c>
      <c r="AQ189" s="888" t="s">
        <v>2255</v>
      </c>
    </row>
    <row r="190" spans="1:43" s="879" customFormat="1" ht="13.9" customHeight="1" x14ac:dyDescent="0.2">
      <c r="A190" s="877" t="s">
        <v>594</v>
      </c>
      <c r="B190" s="878"/>
      <c r="C190" s="879" t="s">
        <v>4344</v>
      </c>
      <c r="D190" s="879" t="s">
        <v>4324</v>
      </c>
      <c r="E190" s="879" t="s">
        <v>4340</v>
      </c>
      <c r="F190" s="879" t="s">
        <v>2251</v>
      </c>
      <c r="G190" s="879" t="s">
        <v>2558</v>
      </c>
      <c r="H190" s="880" t="s">
        <v>4357</v>
      </c>
      <c r="I190" s="879">
        <v>10054269002562</v>
      </c>
      <c r="J190" s="879">
        <v>20054269002569</v>
      </c>
      <c r="K190" s="881" t="s">
        <v>458</v>
      </c>
      <c r="L190" s="882" t="s">
        <v>975</v>
      </c>
      <c r="M190" s="883"/>
      <c r="N190" s="883">
        <v>49.99</v>
      </c>
      <c r="O190" s="879">
        <v>3</v>
      </c>
      <c r="P190" s="884">
        <v>24</v>
      </c>
      <c r="Q190" s="885">
        <v>0.23</v>
      </c>
      <c r="R190" s="885">
        <v>2.2999999999999998</v>
      </c>
      <c r="S190" s="885">
        <v>1.3</v>
      </c>
      <c r="T190" s="886">
        <v>1.8</v>
      </c>
      <c r="U190" s="887">
        <v>0.46</v>
      </c>
      <c r="V190" s="879">
        <v>5</v>
      </c>
      <c r="W190" s="879">
        <v>5.125</v>
      </c>
      <c r="X190" s="887">
        <v>2.25</v>
      </c>
      <c r="Y190" s="887">
        <f t="shared" ref="Y190:Y191" si="9">U190*O190</f>
        <v>1.3800000000000001</v>
      </c>
      <c r="AB190" s="887"/>
      <c r="AC190" s="887">
        <f t="shared" ref="AC190:AC191" si="10">U190*P190</f>
        <v>11.040000000000001</v>
      </c>
      <c r="AF190" s="887"/>
      <c r="AG190" s="887"/>
      <c r="AH190" s="879" t="s">
        <v>4348</v>
      </c>
      <c r="AI190" s="879" t="s">
        <v>4345</v>
      </c>
      <c r="AJ190" s="879" t="s">
        <v>4346</v>
      </c>
      <c r="AK190" s="879" t="s">
        <v>5399</v>
      </c>
      <c r="AL190" s="879" t="s">
        <v>4349</v>
      </c>
      <c r="AQ190" s="888" t="s">
        <v>2255</v>
      </c>
    </row>
    <row r="191" spans="1:43" s="879" customFormat="1" ht="13.9" customHeight="1" x14ac:dyDescent="0.2">
      <c r="A191" s="877" t="s">
        <v>594</v>
      </c>
      <c r="B191" s="878"/>
      <c r="C191" s="879" t="s">
        <v>4343</v>
      </c>
      <c r="D191" s="879" t="s">
        <v>484</v>
      </c>
      <c r="E191" s="879" t="s">
        <v>4337</v>
      </c>
      <c r="F191" s="879" t="s">
        <v>484</v>
      </c>
      <c r="G191" s="879" t="s">
        <v>2558</v>
      </c>
      <c r="H191" s="880">
        <v>54269002572</v>
      </c>
      <c r="I191" s="879">
        <v>10054269002579</v>
      </c>
      <c r="J191" s="879">
        <v>20054269002576</v>
      </c>
      <c r="K191" s="881" t="s">
        <v>458</v>
      </c>
      <c r="L191" s="882" t="s">
        <v>975</v>
      </c>
      <c r="M191" s="883"/>
      <c r="N191" s="883">
        <v>59.99</v>
      </c>
      <c r="O191" s="879">
        <v>3</v>
      </c>
      <c r="P191" s="884">
        <v>24</v>
      </c>
      <c r="Q191" s="885">
        <v>0.19</v>
      </c>
      <c r="R191" s="885">
        <v>2.2999999999999998</v>
      </c>
      <c r="S191" s="885">
        <v>1.3</v>
      </c>
      <c r="T191" s="886">
        <v>1.8</v>
      </c>
      <c r="U191" s="887">
        <v>0.41</v>
      </c>
      <c r="V191" s="879">
        <v>5</v>
      </c>
      <c r="W191" s="879">
        <v>5.125</v>
      </c>
      <c r="X191" s="887">
        <v>2.25</v>
      </c>
      <c r="Y191" s="887">
        <f t="shared" si="9"/>
        <v>1.23</v>
      </c>
      <c r="AB191" s="887"/>
      <c r="AC191" s="887">
        <f t="shared" si="10"/>
        <v>9.84</v>
      </c>
      <c r="AF191" s="887"/>
      <c r="AG191" s="887"/>
      <c r="AH191" s="879" t="s">
        <v>5398</v>
      </c>
      <c r="AI191" s="879" t="s">
        <v>4345</v>
      </c>
      <c r="AJ191" s="879" t="s">
        <v>4346</v>
      </c>
      <c r="AK191" s="879" t="s">
        <v>5403</v>
      </c>
      <c r="AL191" s="879" t="s">
        <v>4347</v>
      </c>
      <c r="AQ191" s="888" t="s">
        <v>2255</v>
      </c>
    </row>
    <row r="192" spans="1:43" x14ac:dyDescent="0.2">
      <c r="Q192" s="712"/>
      <c r="R192" s="712"/>
      <c r="S192" s="712"/>
    </row>
    <row r="193" spans="17:19" x14ac:dyDescent="0.2">
      <c r="Q193" s="712"/>
      <c r="R193" s="712"/>
      <c r="S193" s="712"/>
    </row>
    <row r="194" spans="17:19" x14ac:dyDescent="0.2">
      <c r="Q194" s="712"/>
      <c r="R194" s="712"/>
      <c r="S194" s="712"/>
    </row>
    <row r="195" spans="17:19" x14ac:dyDescent="0.2">
      <c r="Q195" s="712"/>
      <c r="R195" s="712"/>
      <c r="S195" s="712"/>
    </row>
    <row r="196" spans="17:19" x14ac:dyDescent="0.2">
      <c r="Q196" s="712"/>
      <c r="R196" s="712"/>
      <c r="S196" s="712"/>
    </row>
    <row r="197" spans="17:19" x14ac:dyDescent="0.2">
      <c r="Q197" s="712"/>
      <c r="R197" s="712"/>
      <c r="S197" s="712"/>
    </row>
    <row r="198" spans="17:19" x14ac:dyDescent="0.2">
      <c r="Q198" s="712"/>
      <c r="R198" s="712"/>
      <c r="S198" s="712"/>
    </row>
    <row r="199" spans="17:19" x14ac:dyDescent="0.2">
      <c r="Q199" s="712"/>
      <c r="R199" s="712"/>
      <c r="S199" s="712"/>
    </row>
    <row r="200" spans="17:19" x14ac:dyDescent="0.2">
      <c r="Q200" s="712"/>
      <c r="R200" s="712"/>
      <c r="S200" s="712"/>
    </row>
    <row r="201" spans="17:19" x14ac:dyDescent="0.2">
      <c r="Q201" s="712"/>
      <c r="R201" s="712"/>
      <c r="S201" s="712"/>
    </row>
    <row r="202" spans="17:19" x14ac:dyDescent="0.2">
      <c r="Q202" s="712"/>
      <c r="R202" s="712"/>
      <c r="S202" s="712"/>
    </row>
    <row r="203" spans="17:19" x14ac:dyDescent="0.2">
      <c r="Q203" s="712"/>
      <c r="R203" s="712"/>
      <c r="S203" s="712"/>
    </row>
    <row r="204" spans="17:19" x14ac:dyDescent="0.2">
      <c r="Q204" s="712"/>
      <c r="R204" s="712"/>
      <c r="S204" s="712"/>
    </row>
    <row r="205" spans="17:19" x14ac:dyDescent="0.2">
      <c r="Q205" s="712"/>
      <c r="R205" s="712"/>
      <c r="S205" s="712"/>
    </row>
    <row r="206" spans="17:19" x14ac:dyDescent="0.2">
      <c r="Q206" s="712"/>
      <c r="R206" s="712"/>
      <c r="S206" s="712"/>
    </row>
    <row r="207" spans="17:19" x14ac:dyDescent="0.2">
      <c r="Q207" s="712"/>
      <c r="R207" s="712"/>
      <c r="S207" s="712"/>
    </row>
    <row r="208" spans="17:19" x14ac:dyDescent="0.2">
      <c r="Q208" s="712"/>
      <c r="R208" s="712"/>
      <c r="S208" s="712"/>
    </row>
    <row r="209" spans="17:19" x14ac:dyDescent="0.2">
      <c r="Q209" s="712"/>
      <c r="R209" s="712"/>
      <c r="S209" s="712"/>
    </row>
    <row r="210" spans="17:19" x14ac:dyDescent="0.2">
      <c r="Q210" s="712"/>
      <c r="R210" s="712"/>
      <c r="S210" s="712"/>
    </row>
    <row r="211" spans="17:19" x14ac:dyDescent="0.2">
      <c r="Q211" s="712"/>
      <c r="R211" s="712"/>
      <c r="S211" s="712"/>
    </row>
    <row r="212" spans="17:19" x14ac:dyDescent="0.2">
      <c r="Q212" s="712"/>
      <c r="R212" s="712"/>
      <c r="S212" s="712"/>
    </row>
    <row r="213" spans="17:19" x14ac:dyDescent="0.2">
      <c r="Q213" s="712"/>
      <c r="R213" s="712"/>
      <c r="S213" s="712"/>
    </row>
    <row r="214" spans="17:19" x14ac:dyDescent="0.2">
      <c r="Q214" s="712"/>
      <c r="R214" s="712"/>
      <c r="S214" s="712"/>
    </row>
    <row r="215" spans="17:19" x14ac:dyDescent="0.2">
      <c r="Q215" s="712"/>
      <c r="R215" s="712"/>
      <c r="S215" s="712"/>
    </row>
    <row r="216" spans="17:19" x14ac:dyDescent="0.2">
      <c r="Q216" s="712"/>
      <c r="R216" s="712"/>
      <c r="S216" s="712"/>
    </row>
    <row r="217" spans="17:19" x14ac:dyDescent="0.2">
      <c r="Q217" s="712"/>
      <c r="R217" s="712"/>
      <c r="S217" s="712"/>
    </row>
    <row r="218" spans="17:19" x14ac:dyDescent="0.2">
      <c r="Q218" s="712"/>
      <c r="R218" s="712"/>
      <c r="S218" s="712"/>
    </row>
    <row r="219" spans="17:19" x14ac:dyDescent="0.2">
      <c r="Q219" s="712"/>
      <c r="R219" s="712"/>
      <c r="S219" s="712"/>
    </row>
    <row r="220" spans="17:19" x14ac:dyDescent="0.2">
      <c r="Q220" s="712"/>
      <c r="R220" s="712"/>
      <c r="S220" s="712"/>
    </row>
    <row r="221" spans="17:19" x14ac:dyDescent="0.2">
      <c r="Q221" s="712"/>
      <c r="R221" s="712"/>
      <c r="S221" s="712"/>
    </row>
    <row r="222" spans="17:19" x14ac:dyDescent="0.2">
      <c r="Q222" s="712"/>
      <c r="R222" s="712"/>
      <c r="S222" s="712"/>
    </row>
    <row r="223" spans="17:19" x14ac:dyDescent="0.2">
      <c r="Q223" s="712"/>
      <c r="R223" s="712"/>
      <c r="S223" s="712"/>
    </row>
    <row r="224" spans="17:19" x14ac:dyDescent="0.2">
      <c r="Q224" s="712"/>
      <c r="R224" s="712"/>
      <c r="S224" s="712"/>
    </row>
    <row r="225" spans="17:19" x14ac:dyDescent="0.2">
      <c r="Q225" s="712"/>
      <c r="R225" s="712"/>
      <c r="S225" s="712"/>
    </row>
    <row r="226" spans="17:19" x14ac:dyDescent="0.2">
      <c r="Q226" s="712"/>
      <c r="R226" s="712"/>
      <c r="S226" s="712"/>
    </row>
    <row r="227" spans="17:19" x14ac:dyDescent="0.2">
      <c r="Q227" s="712"/>
      <c r="R227" s="712"/>
      <c r="S227" s="712"/>
    </row>
    <row r="228" spans="17:19" x14ac:dyDescent="0.2">
      <c r="Q228" s="712"/>
      <c r="R228" s="712"/>
      <c r="S228" s="712"/>
    </row>
    <row r="229" spans="17:19" x14ac:dyDescent="0.2">
      <c r="Q229" s="712"/>
      <c r="R229" s="712"/>
      <c r="S229" s="712"/>
    </row>
    <row r="230" spans="17:19" x14ac:dyDescent="0.2">
      <c r="Q230" s="712"/>
      <c r="R230" s="712"/>
      <c r="S230" s="712"/>
    </row>
    <row r="231" spans="17:19" x14ac:dyDescent="0.2">
      <c r="Q231" s="712"/>
      <c r="R231" s="712"/>
      <c r="S231" s="712"/>
    </row>
    <row r="232" spans="17:19" x14ac:dyDescent="0.2">
      <c r="Q232" s="712"/>
      <c r="R232" s="712"/>
      <c r="S232" s="712"/>
    </row>
    <row r="233" spans="17:19" x14ac:dyDescent="0.2">
      <c r="Q233" s="712"/>
      <c r="R233" s="712"/>
      <c r="S233" s="712"/>
    </row>
    <row r="234" spans="17:19" x14ac:dyDescent="0.2">
      <c r="Q234" s="712"/>
      <c r="R234" s="712"/>
      <c r="S234" s="712"/>
    </row>
    <row r="235" spans="17:19" x14ac:dyDescent="0.2">
      <c r="Q235" s="712"/>
      <c r="R235" s="712"/>
      <c r="S235" s="712"/>
    </row>
    <row r="236" spans="17:19" x14ac:dyDescent="0.2">
      <c r="Q236" s="712"/>
      <c r="R236" s="712"/>
      <c r="S236" s="712"/>
    </row>
    <row r="237" spans="17:19" x14ac:dyDescent="0.2">
      <c r="Q237" s="712"/>
      <c r="R237" s="712"/>
      <c r="S237" s="712"/>
    </row>
    <row r="238" spans="17:19" x14ac:dyDescent="0.2">
      <c r="Q238" s="712"/>
      <c r="R238" s="712"/>
      <c r="S238" s="712"/>
    </row>
    <row r="239" spans="17:19" x14ac:dyDescent="0.2">
      <c r="Q239" s="712"/>
      <c r="R239" s="712"/>
      <c r="S239" s="712"/>
    </row>
    <row r="240" spans="17:19" x14ac:dyDescent="0.2">
      <c r="Q240" s="712"/>
      <c r="R240" s="712"/>
      <c r="S240" s="712"/>
    </row>
    <row r="241" spans="17:19" x14ac:dyDescent="0.2">
      <c r="Q241" s="712"/>
      <c r="R241" s="712"/>
      <c r="S241" s="712"/>
    </row>
    <row r="242" spans="17:19" x14ac:dyDescent="0.2">
      <c r="Q242" s="712"/>
      <c r="R242" s="712"/>
      <c r="S242" s="712"/>
    </row>
    <row r="243" spans="17:19" x14ac:dyDescent="0.2">
      <c r="Q243" s="712"/>
      <c r="R243" s="712"/>
      <c r="S243" s="712"/>
    </row>
    <row r="244" spans="17:19" x14ac:dyDescent="0.2">
      <c r="Q244" s="712"/>
      <c r="R244" s="712"/>
      <c r="S244" s="712"/>
    </row>
    <row r="245" spans="17:19" x14ac:dyDescent="0.2">
      <c r="Q245" s="712"/>
      <c r="R245" s="712"/>
      <c r="S245" s="712"/>
    </row>
    <row r="246" spans="17:19" ht="15" x14ac:dyDescent="0.2">
      <c r="Q246" s="889"/>
      <c r="R246" s="889"/>
      <c r="S246" s="889"/>
    </row>
    <row r="247" spans="17:19" x14ac:dyDescent="0.2">
      <c r="Q247" s="712"/>
      <c r="R247" s="712"/>
      <c r="S247" s="712"/>
    </row>
    <row r="248" spans="17:19" x14ac:dyDescent="0.2">
      <c r="Q248" s="712"/>
      <c r="R248" s="712"/>
      <c r="S248" s="712"/>
    </row>
    <row r="249" spans="17:19" x14ac:dyDescent="0.2">
      <c r="Q249" s="712"/>
      <c r="R249" s="712"/>
      <c r="S249" s="712"/>
    </row>
    <row r="250" spans="17:19" x14ac:dyDescent="0.2">
      <c r="Q250" s="712"/>
      <c r="R250" s="712"/>
      <c r="S250" s="712"/>
    </row>
    <row r="251" spans="17:19" x14ac:dyDescent="0.2">
      <c r="Q251" s="712"/>
      <c r="R251" s="712"/>
      <c r="S251" s="712"/>
    </row>
    <row r="252" spans="17:19" x14ac:dyDescent="0.2">
      <c r="Q252" s="712"/>
      <c r="R252" s="712"/>
      <c r="S252" s="712"/>
    </row>
    <row r="253" spans="17:19" x14ac:dyDescent="0.2">
      <c r="Q253" s="712"/>
      <c r="R253" s="712"/>
      <c r="S253" s="712"/>
    </row>
    <row r="254" spans="17:19" x14ac:dyDescent="0.2">
      <c r="Q254" s="712"/>
      <c r="R254" s="712"/>
      <c r="S254" s="712"/>
    </row>
    <row r="255" spans="17:19" ht="15" x14ac:dyDescent="0.2">
      <c r="Q255" s="889"/>
      <c r="R255" s="889"/>
      <c r="S255" s="889"/>
    </row>
    <row r="256" spans="17:19" x14ac:dyDescent="0.2">
      <c r="Q256" s="712"/>
      <c r="R256" s="712"/>
      <c r="S256" s="712"/>
    </row>
    <row r="257" spans="17:19" x14ac:dyDescent="0.2">
      <c r="Q257" s="712"/>
      <c r="R257" s="712"/>
      <c r="S257" s="712"/>
    </row>
    <row r="258" spans="17:19" ht="15" x14ac:dyDescent="0.2">
      <c r="Q258" s="889"/>
      <c r="R258" s="889"/>
      <c r="S258" s="889"/>
    </row>
    <row r="259" spans="17:19" x14ac:dyDescent="0.2">
      <c r="Q259" s="712"/>
      <c r="R259" s="712"/>
      <c r="S259" s="712"/>
    </row>
    <row r="260" spans="17:19" x14ac:dyDescent="0.2">
      <c r="Q260" s="712"/>
      <c r="R260" s="712"/>
      <c r="S260" s="712"/>
    </row>
    <row r="261" spans="17:19" x14ac:dyDescent="0.2">
      <c r="Q261" s="712"/>
      <c r="R261" s="712"/>
      <c r="S261" s="712"/>
    </row>
    <row r="262" spans="17:19" x14ac:dyDescent="0.2">
      <c r="Q262" s="712"/>
      <c r="R262" s="712"/>
      <c r="S262" s="712"/>
    </row>
    <row r="263" spans="17:19" ht="15" x14ac:dyDescent="0.2">
      <c r="Q263" s="889"/>
      <c r="R263" s="889"/>
      <c r="S263" s="889"/>
    </row>
    <row r="264" spans="17:19" x14ac:dyDescent="0.2">
      <c r="Q264" s="712"/>
      <c r="R264" s="712"/>
      <c r="S264" s="712"/>
    </row>
    <row r="265" spans="17:19" x14ac:dyDescent="0.2">
      <c r="Q265" s="712"/>
      <c r="R265" s="712"/>
      <c r="S265" s="712"/>
    </row>
    <row r="266" spans="17:19" x14ac:dyDescent="0.2">
      <c r="Q266" s="712"/>
      <c r="R266" s="712"/>
      <c r="S266" s="712"/>
    </row>
    <row r="267" spans="17:19" x14ac:dyDescent="0.2">
      <c r="Q267" s="712"/>
      <c r="R267" s="712"/>
      <c r="S267" s="712"/>
    </row>
    <row r="268" spans="17:19" x14ac:dyDescent="0.2">
      <c r="Q268" s="712"/>
      <c r="R268" s="712"/>
      <c r="S268" s="712"/>
    </row>
    <row r="269" spans="17:19" x14ac:dyDescent="0.2">
      <c r="Q269" s="712"/>
      <c r="R269" s="712"/>
      <c r="S269" s="712"/>
    </row>
    <row r="270" spans="17:19" x14ac:dyDescent="0.2">
      <c r="Q270" s="712"/>
      <c r="R270" s="712"/>
      <c r="S270" s="712"/>
    </row>
    <row r="271" spans="17:19" x14ac:dyDescent="0.2">
      <c r="Q271" s="712"/>
      <c r="R271" s="712"/>
      <c r="S271" s="712"/>
    </row>
    <row r="272" spans="17:19" x14ac:dyDescent="0.2">
      <c r="Q272" s="712"/>
      <c r="R272" s="712"/>
      <c r="S272" s="712"/>
    </row>
    <row r="273" spans="17:19" x14ac:dyDescent="0.2">
      <c r="Q273" s="712"/>
      <c r="R273" s="712"/>
      <c r="S273" s="712"/>
    </row>
    <row r="274" spans="17:19" x14ac:dyDescent="0.2">
      <c r="Q274" s="712"/>
      <c r="R274" s="712"/>
      <c r="S274" s="712"/>
    </row>
    <row r="275" spans="17:19" ht="15" x14ac:dyDescent="0.2">
      <c r="Q275" s="889"/>
      <c r="R275" s="889"/>
      <c r="S275" s="889"/>
    </row>
    <row r="276" spans="17:19" x14ac:dyDescent="0.2">
      <c r="Q276" s="712"/>
      <c r="R276" s="712"/>
      <c r="S276" s="712"/>
    </row>
    <row r="277" spans="17:19" x14ac:dyDescent="0.2">
      <c r="Q277" s="712"/>
      <c r="R277" s="712"/>
      <c r="S277" s="712"/>
    </row>
    <row r="278" spans="17:19" x14ac:dyDescent="0.2">
      <c r="Q278" s="712"/>
      <c r="R278" s="712"/>
      <c r="S278" s="712"/>
    </row>
    <row r="279" spans="17:19" x14ac:dyDescent="0.2">
      <c r="Q279" s="712"/>
      <c r="R279" s="712"/>
      <c r="S279" s="712"/>
    </row>
    <row r="280" spans="17:19" x14ac:dyDescent="0.2">
      <c r="Q280" s="712"/>
      <c r="R280" s="712"/>
      <c r="S280" s="712"/>
    </row>
    <row r="281" spans="17:19" x14ac:dyDescent="0.2">
      <c r="Q281" s="712"/>
      <c r="R281" s="712"/>
      <c r="S281" s="712"/>
    </row>
    <row r="282" spans="17:19" x14ac:dyDescent="0.2">
      <c r="Q282" s="712"/>
      <c r="R282" s="712"/>
      <c r="S282" s="712"/>
    </row>
    <row r="283" spans="17:19" x14ac:dyDescent="0.2">
      <c r="Q283" s="712"/>
      <c r="R283" s="712"/>
      <c r="S283" s="712"/>
    </row>
    <row r="284" spans="17:19" x14ac:dyDescent="0.2">
      <c r="Q284" s="712"/>
      <c r="R284" s="712"/>
      <c r="S284" s="712"/>
    </row>
    <row r="285" spans="17:19" x14ac:dyDescent="0.2">
      <c r="Q285" s="712"/>
      <c r="R285" s="712"/>
      <c r="S285" s="712"/>
    </row>
    <row r="286" spans="17:19" x14ac:dyDescent="0.2">
      <c r="Q286" s="712"/>
      <c r="R286" s="712"/>
      <c r="S286" s="712"/>
    </row>
    <row r="287" spans="17:19" x14ac:dyDescent="0.2">
      <c r="Q287" s="712"/>
      <c r="R287" s="712"/>
      <c r="S287" s="712"/>
    </row>
    <row r="288" spans="17:19" x14ac:dyDescent="0.2">
      <c r="Q288" s="712"/>
      <c r="R288" s="712"/>
      <c r="S288" s="712"/>
    </row>
    <row r="289" spans="17:19" x14ac:dyDescent="0.2">
      <c r="Q289" s="712"/>
      <c r="R289" s="712"/>
      <c r="S289" s="712"/>
    </row>
    <row r="290" spans="17:19" x14ac:dyDescent="0.2">
      <c r="Q290" s="712"/>
      <c r="R290" s="712"/>
      <c r="S290" s="712"/>
    </row>
    <row r="291" spans="17:19" x14ac:dyDescent="0.2">
      <c r="Q291" s="712"/>
      <c r="R291" s="712"/>
      <c r="S291" s="712"/>
    </row>
    <row r="292" spans="17:19" x14ac:dyDescent="0.2">
      <c r="Q292" s="712"/>
      <c r="R292" s="712"/>
      <c r="S292" s="712"/>
    </row>
    <row r="293" spans="17:19" x14ac:dyDescent="0.2">
      <c r="Q293" s="712"/>
      <c r="R293" s="712"/>
      <c r="S293" s="712"/>
    </row>
    <row r="294" spans="17:19" x14ac:dyDescent="0.2">
      <c r="Q294" s="712"/>
      <c r="R294" s="712"/>
      <c r="S294" s="712"/>
    </row>
    <row r="295" spans="17:19" x14ac:dyDescent="0.2">
      <c r="Q295" s="712"/>
      <c r="R295" s="712"/>
      <c r="S295" s="712"/>
    </row>
    <row r="296" spans="17:19" x14ac:dyDescent="0.2">
      <c r="Q296" s="712"/>
      <c r="R296" s="712"/>
      <c r="S296" s="712"/>
    </row>
    <row r="297" spans="17:19" x14ac:dyDescent="0.2">
      <c r="Q297" s="712"/>
      <c r="R297" s="712"/>
      <c r="S297" s="712"/>
    </row>
    <row r="298" spans="17:19" x14ac:dyDescent="0.2">
      <c r="Q298" s="712"/>
      <c r="R298" s="712"/>
      <c r="S298" s="712"/>
    </row>
    <row r="299" spans="17:19" x14ac:dyDescent="0.2">
      <c r="Q299" s="712"/>
      <c r="R299" s="712"/>
      <c r="S299" s="712"/>
    </row>
    <row r="300" spans="17:19" x14ac:dyDescent="0.2">
      <c r="Q300" s="712"/>
      <c r="R300" s="712"/>
      <c r="S300" s="712"/>
    </row>
    <row r="301" spans="17:19" x14ac:dyDescent="0.2">
      <c r="Q301" s="839"/>
      <c r="R301" s="890"/>
      <c r="S301" s="890"/>
    </row>
    <row r="302" spans="17:19" x14ac:dyDescent="0.2">
      <c r="Q302" s="839"/>
      <c r="R302" s="890"/>
      <c r="S302" s="890"/>
    </row>
    <row r="303" spans="17:19" x14ac:dyDescent="0.2">
      <c r="Q303" s="839"/>
      <c r="R303" s="890"/>
      <c r="S303" s="890"/>
    </row>
    <row r="304" spans="17:19" x14ac:dyDescent="0.2">
      <c r="Q304" s="839"/>
      <c r="R304" s="890"/>
      <c r="S304" s="890"/>
    </row>
    <row r="305" spans="17:19" x14ac:dyDescent="0.2">
      <c r="Q305" s="839"/>
      <c r="R305" s="890"/>
      <c r="S305" s="890"/>
    </row>
    <row r="306" spans="17:19" x14ac:dyDescent="0.2">
      <c r="Q306" s="839"/>
      <c r="R306" s="890"/>
      <c r="S306" s="890"/>
    </row>
    <row r="307" spans="17:19" x14ac:dyDescent="0.2">
      <c r="Q307" s="839"/>
      <c r="R307" s="890"/>
      <c r="S307" s="890"/>
    </row>
    <row r="308" spans="17:19" x14ac:dyDescent="0.2">
      <c r="Q308" s="839"/>
      <c r="R308" s="890"/>
      <c r="S308" s="890"/>
    </row>
    <row r="309" spans="17:19" x14ac:dyDescent="0.2">
      <c r="Q309" s="839"/>
      <c r="R309" s="890"/>
      <c r="S309" s="890"/>
    </row>
    <row r="310" spans="17:19" x14ac:dyDescent="0.2">
      <c r="Q310" s="839"/>
      <c r="R310" s="890"/>
      <c r="S310" s="890"/>
    </row>
    <row r="311" spans="17:19" x14ac:dyDescent="0.2">
      <c r="Q311" s="839"/>
      <c r="R311" s="890"/>
      <c r="S311" s="890"/>
    </row>
    <row r="312" spans="17:19" x14ac:dyDescent="0.2">
      <c r="Q312" s="839"/>
      <c r="R312" s="890"/>
      <c r="S312" s="890"/>
    </row>
    <row r="313" spans="17:19" x14ac:dyDescent="0.2">
      <c r="Q313" s="839"/>
      <c r="R313" s="890"/>
      <c r="S313" s="890"/>
    </row>
    <row r="314" spans="17:19" x14ac:dyDescent="0.2">
      <c r="Q314" s="712"/>
      <c r="R314" s="712"/>
      <c r="S314" s="712"/>
    </row>
    <row r="315" spans="17:19" x14ac:dyDescent="0.2">
      <c r="Q315" s="712"/>
      <c r="R315" s="712"/>
      <c r="S315" s="712"/>
    </row>
    <row r="316" spans="17:19" x14ac:dyDescent="0.2">
      <c r="Q316" s="712"/>
      <c r="R316" s="712"/>
      <c r="S316" s="712"/>
    </row>
    <row r="317" spans="17:19" x14ac:dyDescent="0.2">
      <c r="Q317" s="712"/>
      <c r="R317" s="712"/>
      <c r="S317" s="712"/>
    </row>
    <row r="318" spans="17:19" x14ac:dyDescent="0.2">
      <c r="Q318" s="712"/>
      <c r="R318" s="712"/>
      <c r="S318" s="712"/>
    </row>
    <row r="319" spans="17:19" x14ac:dyDescent="0.2">
      <c r="Q319" s="712"/>
      <c r="R319" s="712"/>
      <c r="S319" s="712"/>
    </row>
    <row r="320" spans="17:19" x14ac:dyDescent="0.2">
      <c r="Q320" s="712"/>
      <c r="R320" s="712"/>
      <c r="S320" s="712"/>
    </row>
    <row r="321" spans="17:19" x14ac:dyDescent="0.2">
      <c r="Q321" s="712"/>
      <c r="R321" s="712"/>
      <c r="S321" s="712"/>
    </row>
    <row r="322" spans="17:19" x14ac:dyDescent="0.2">
      <c r="Q322" s="712"/>
      <c r="R322" s="712"/>
      <c r="S322" s="712"/>
    </row>
    <row r="323" spans="17:19" x14ac:dyDescent="0.2">
      <c r="Q323" s="712"/>
      <c r="R323" s="712"/>
      <c r="S323" s="712"/>
    </row>
    <row r="324" spans="17:19" x14ac:dyDescent="0.2">
      <c r="Q324" s="839"/>
      <c r="R324" s="890"/>
      <c r="S324" s="890"/>
    </row>
    <row r="325" spans="17:19" x14ac:dyDescent="0.2">
      <c r="Q325" s="839"/>
      <c r="R325" s="890"/>
      <c r="S325" s="890"/>
    </row>
    <row r="326" spans="17:19" x14ac:dyDescent="0.2">
      <c r="Q326" s="839"/>
      <c r="R326" s="890"/>
      <c r="S326" s="890"/>
    </row>
    <row r="327" spans="17:19" x14ac:dyDescent="0.2">
      <c r="Q327" s="839"/>
      <c r="R327" s="890"/>
      <c r="S327" s="890"/>
    </row>
    <row r="328" spans="17:19" x14ac:dyDescent="0.2">
      <c r="Q328" s="839"/>
      <c r="R328" s="890"/>
      <c r="S328" s="890"/>
    </row>
    <row r="329" spans="17:19" x14ac:dyDescent="0.2">
      <c r="Q329" s="839"/>
      <c r="R329" s="890"/>
      <c r="S329" s="890"/>
    </row>
  </sheetData>
  <mergeCells count="19">
    <mergeCell ref="A77:C77"/>
    <mergeCell ref="A187:C187"/>
    <mergeCell ref="A177:C177"/>
    <mergeCell ref="A3:C3"/>
    <mergeCell ref="A81:C81"/>
    <mergeCell ref="A169:C169"/>
    <mergeCell ref="A12:C12"/>
    <mergeCell ref="A4:C4"/>
    <mergeCell ref="A40:C40"/>
    <mergeCell ref="A46:C46"/>
    <mergeCell ref="A139:C139"/>
    <mergeCell ref="A24:C24"/>
    <mergeCell ref="A30:C30"/>
    <mergeCell ref="A115:C115"/>
    <mergeCell ref="A38:C38"/>
    <mergeCell ref="A164:C164"/>
    <mergeCell ref="A26:C26"/>
    <mergeCell ref="A63:C63"/>
    <mergeCell ref="A10:C10"/>
  </mergeCells>
  <dataValidations disablePrompts="1" count="1">
    <dataValidation allowBlank="1" showErrorMessage="1" sqref="I2:J2" xr:uid="{00000000-0002-0000-0000-000000000000}"/>
  </dataValidations>
  <pageMargins left="0.25" right="0.25" top="0.25" bottom="0.25" header="0.3" footer="0.3"/>
  <pageSetup paperSize="3" scale="24" fitToHeight="0" orientation="landscape" r:id="rId1"/>
  <ignoredErrors>
    <ignoredError sqref="H172:H175 H54:H61 H100:H101 H25 J172:J175 H99:J99 H13:H22 H45:H46 H23:J23 J50:J51 J64:J65 H11:J11 I27:J29 H140:J142 H129:J137 I91:J91 I94:J96 I20:J22 H64:H75 I82:J88 H27:H43 H169 H123:H125 H115 H93:H98 H5:H9 H50:H52 H81:H91" numberStoredAsText="1"/>
    <ignoredError sqref="AG40 AG27:AG30 AG64:AG66 AG172:AG175 AG54:AG55 AC47:AF47 AG68 Y135:AG135 AG13:AG23 U132:AF132 Y140:AG142 U173:AF175 Q94 Q81 Y99 U129:U131 Y129:Y131 Y133:Y134 AD133:AF133 U172 W172:AF172 AD129:AF131 AG11 Q86:Q91 U99 AC65:AF68 Y136 U133:U134 Y137:AG137 AC48 U52 AC99:AF99 U123:U125 U27:U29 Q54:Q72 U39 U82 Y82:Y85 U87 Y87 U89:Y90 U91 Y91 U94:U95 Y94:Y95 Q15:Q43 Q74:Q75 Q172:Q177 Q169 AG169 Q123:Q125 Q114:Q115 Q99:Q101 AG4:AG9 Q4:Q13 AG93:AG101 Q129:Q142 AG129:AG134 Q45:Q52 AG46:AG52 AG81:AG91" unlockedFormula="1"/>
    <ignoredError sqref="Q14 Q73 AC136 Z136:AB136 AD136:AG136" formula="1" unlocked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621"/>
  <sheetViews>
    <sheetView topLeftCell="A109" workbookViewId="0">
      <selection activeCell="P14" sqref="P14"/>
    </sheetView>
  </sheetViews>
  <sheetFormatPr defaultRowHeight="12.75" x14ac:dyDescent="0.2"/>
  <sheetData>
    <row r="1" spans="1:12" x14ac:dyDescent="0.2">
      <c r="A1" t="s">
        <v>4405</v>
      </c>
      <c r="B1" t="s">
        <v>4406</v>
      </c>
      <c r="C1" t="s">
        <v>4407</v>
      </c>
      <c r="D1" t="s">
        <v>281</v>
      </c>
      <c r="E1" t="s">
        <v>4408</v>
      </c>
      <c r="F1" t="s">
        <v>4409</v>
      </c>
      <c r="G1" t="s">
        <v>4410</v>
      </c>
      <c r="H1" t="s">
        <v>4411</v>
      </c>
      <c r="I1" t="s">
        <v>4412</v>
      </c>
      <c r="J1" t="s">
        <v>4413</v>
      </c>
      <c r="K1" t="s">
        <v>4414</v>
      </c>
      <c r="L1" t="s">
        <v>4415</v>
      </c>
    </row>
    <row r="2" spans="1:12" x14ac:dyDescent="0.2">
      <c r="A2" t="s">
        <v>594</v>
      </c>
      <c r="B2" t="s">
        <v>1096</v>
      </c>
      <c r="C2" t="s">
        <v>542</v>
      </c>
      <c r="D2" t="s">
        <v>4416</v>
      </c>
      <c r="F2" t="s">
        <v>610</v>
      </c>
      <c r="G2">
        <v>7.99</v>
      </c>
      <c r="H2" t="s">
        <v>529</v>
      </c>
      <c r="I2">
        <v>14.99</v>
      </c>
      <c r="J2" t="s">
        <v>4417</v>
      </c>
      <c r="L2">
        <v>0</v>
      </c>
    </row>
    <row r="3" spans="1:12" x14ac:dyDescent="0.2">
      <c r="A3" t="s">
        <v>594</v>
      </c>
      <c r="B3" t="s">
        <v>1096</v>
      </c>
      <c r="C3" t="s">
        <v>1880</v>
      </c>
      <c r="D3" t="s">
        <v>4418</v>
      </c>
      <c r="E3" t="s">
        <v>371</v>
      </c>
      <c r="F3" t="s">
        <v>612</v>
      </c>
      <c r="G3">
        <v>7.99</v>
      </c>
      <c r="H3" t="s">
        <v>529</v>
      </c>
      <c r="I3">
        <v>14.99</v>
      </c>
      <c r="J3" t="s">
        <v>4417</v>
      </c>
      <c r="L3">
        <v>0</v>
      </c>
    </row>
    <row r="4" spans="1:12" x14ac:dyDescent="0.2">
      <c r="A4" t="s">
        <v>594</v>
      </c>
      <c r="B4" t="s">
        <v>1096</v>
      </c>
      <c r="C4" t="s">
        <v>1880</v>
      </c>
      <c r="D4" t="s">
        <v>4418</v>
      </c>
      <c r="E4" t="s">
        <v>369</v>
      </c>
      <c r="F4" t="s">
        <v>611</v>
      </c>
      <c r="G4">
        <v>7.99</v>
      </c>
      <c r="H4" t="s">
        <v>529</v>
      </c>
      <c r="I4">
        <v>14.99</v>
      </c>
      <c r="J4" t="s">
        <v>4417</v>
      </c>
      <c r="L4">
        <v>0</v>
      </c>
    </row>
    <row r="5" spans="1:12" x14ac:dyDescent="0.2">
      <c r="A5" t="s">
        <v>594</v>
      </c>
      <c r="B5" t="s">
        <v>1096</v>
      </c>
      <c r="C5" t="s">
        <v>1880</v>
      </c>
      <c r="D5" t="s">
        <v>4418</v>
      </c>
      <c r="E5" t="s">
        <v>372</v>
      </c>
      <c r="F5" t="s">
        <v>615</v>
      </c>
      <c r="G5">
        <v>7.99</v>
      </c>
      <c r="H5" t="s">
        <v>529</v>
      </c>
      <c r="I5">
        <v>14.99</v>
      </c>
      <c r="J5" t="s">
        <v>4417</v>
      </c>
      <c r="L5">
        <v>0</v>
      </c>
    </row>
    <row r="6" spans="1:12" x14ac:dyDescent="0.2">
      <c r="A6" t="s">
        <v>594</v>
      </c>
      <c r="B6" t="s">
        <v>1096</v>
      </c>
      <c r="C6" t="s">
        <v>1945</v>
      </c>
      <c r="D6" t="s">
        <v>4419</v>
      </c>
      <c r="E6" t="s">
        <v>371</v>
      </c>
      <c r="F6" t="s">
        <v>1946</v>
      </c>
      <c r="G6">
        <v>6.99</v>
      </c>
      <c r="H6" t="s">
        <v>529</v>
      </c>
      <c r="I6">
        <v>12.99</v>
      </c>
      <c r="J6" t="s">
        <v>4420</v>
      </c>
      <c r="L6">
        <v>0</v>
      </c>
    </row>
    <row r="7" spans="1:12" x14ac:dyDescent="0.2">
      <c r="A7" t="s">
        <v>594</v>
      </c>
      <c r="B7" t="s">
        <v>1096</v>
      </c>
      <c r="C7" t="s">
        <v>2505</v>
      </c>
      <c r="D7" t="s">
        <v>4419</v>
      </c>
      <c r="E7" t="s">
        <v>371</v>
      </c>
      <c r="F7" t="s">
        <v>2731</v>
      </c>
      <c r="G7">
        <v>7.99</v>
      </c>
      <c r="H7" t="s">
        <v>529</v>
      </c>
      <c r="I7">
        <v>14.99</v>
      </c>
      <c r="J7" t="s">
        <v>4420</v>
      </c>
      <c r="L7">
        <v>0</v>
      </c>
    </row>
    <row r="8" spans="1:12" x14ac:dyDescent="0.2">
      <c r="A8" t="s">
        <v>594</v>
      </c>
      <c r="B8" t="s">
        <v>1096</v>
      </c>
      <c r="C8" t="s">
        <v>1567</v>
      </c>
      <c r="D8" t="s">
        <v>4421</v>
      </c>
      <c r="E8" t="s">
        <v>383</v>
      </c>
      <c r="F8" t="s">
        <v>957</v>
      </c>
      <c r="G8">
        <v>14.99</v>
      </c>
      <c r="H8" t="s">
        <v>529</v>
      </c>
      <c r="I8">
        <v>26.990000000000002</v>
      </c>
      <c r="J8" t="s">
        <v>4422</v>
      </c>
      <c r="L8">
        <v>0</v>
      </c>
    </row>
    <row r="9" spans="1:12" x14ac:dyDescent="0.2">
      <c r="A9" t="s">
        <v>594</v>
      </c>
      <c r="B9" t="s">
        <v>1096</v>
      </c>
      <c r="C9" t="s">
        <v>1567</v>
      </c>
      <c r="D9" t="s">
        <v>4421</v>
      </c>
      <c r="E9" t="s">
        <v>371</v>
      </c>
      <c r="F9" t="s">
        <v>958</v>
      </c>
      <c r="G9">
        <v>14.99</v>
      </c>
      <c r="H9" t="s">
        <v>529</v>
      </c>
      <c r="I9">
        <v>26.990000000000002</v>
      </c>
      <c r="J9" t="s">
        <v>4422</v>
      </c>
      <c r="L9">
        <v>0</v>
      </c>
    </row>
    <row r="10" spans="1:12" x14ac:dyDescent="0.2">
      <c r="A10" t="s">
        <v>594</v>
      </c>
      <c r="B10" t="s">
        <v>1096</v>
      </c>
      <c r="C10" t="s">
        <v>1567</v>
      </c>
      <c r="D10" t="s">
        <v>4421</v>
      </c>
      <c r="E10" t="s">
        <v>369</v>
      </c>
      <c r="F10" t="s">
        <v>959</v>
      </c>
      <c r="G10">
        <v>14.99</v>
      </c>
      <c r="H10" t="s">
        <v>529</v>
      </c>
      <c r="I10">
        <v>26.990000000000002</v>
      </c>
      <c r="J10" t="s">
        <v>4422</v>
      </c>
      <c r="L10">
        <v>0</v>
      </c>
    </row>
    <row r="11" spans="1:12" x14ac:dyDescent="0.2">
      <c r="A11" t="s">
        <v>594</v>
      </c>
      <c r="B11" t="s">
        <v>1096</v>
      </c>
      <c r="C11" t="s">
        <v>2503</v>
      </c>
      <c r="D11" t="s">
        <v>4423</v>
      </c>
      <c r="F11" t="s">
        <v>2599</v>
      </c>
      <c r="G11">
        <v>16.989999999999998</v>
      </c>
      <c r="H11" t="s">
        <v>529</v>
      </c>
      <c r="I11">
        <v>29.990000000000002</v>
      </c>
      <c r="J11" t="s">
        <v>4422</v>
      </c>
      <c r="L11">
        <v>0</v>
      </c>
    </row>
    <row r="12" spans="1:12" x14ac:dyDescent="0.2">
      <c r="A12" t="s">
        <v>594</v>
      </c>
      <c r="B12" t="s">
        <v>1096</v>
      </c>
      <c r="C12" t="s">
        <v>1569</v>
      </c>
      <c r="D12" t="s">
        <v>4424</v>
      </c>
      <c r="E12" t="s">
        <v>383</v>
      </c>
      <c r="F12" t="s">
        <v>944</v>
      </c>
      <c r="G12">
        <v>11.99</v>
      </c>
      <c r="H12" t="s">
        <v>529</v>
      </c>
      <c r="I12">
        <v>19.989999999999998</v>
      </c>
      <c r="J12" t="s">
        <v>4422</v>
      </c>
      <c r="L12">
        <v>0</v>
      </c>
    </row>
    <row r="13" spans="1:12" x14ac:dyDescent="0.2">
      <c r="A13" t="s">
        <v>594</v>
      </c>
      <c r="B13" t="s">
        <v>1096</v>
      </c>
      <c r="C13" t="s">
        <v>1569</v>
      </c>
      <c r="D13" t="s">
        <v>4424</v>
      </c>
      <c r="E13" t="s">
        <v>371</v>
      </c>
      <c r="F13" t="s">
        <v>881</v>
      </c>
      <c r="G13">
        <v>11.99</v>
      </c>
      <c r="H13" t="s">
        <v>529</v>
      </c>
      <c r="I13">
        <v>19.989999999999998</v>
      </c>
      <c r="J13" t="s">
        <v>4422</v>
      </c>
      <c r="L13">
        <v>0</v>
      </c>
    </row>
    <row r="14" spans="1:12" x14ac:dyDescent="0.2">
      <c r="A14" t="s">
        <v>594</v>
      </c>
      <c r="B14" t="s">
        <v>1096</v>
      </c>
      <c r="C14" t="s">
        <v>1569</v>
      </c>
      <c r="D14" t="s">
        <v>4424</v>
      </c>
      <c r="E14" t="s">
        <v>369</v>
      </c>
      <c r="F14" t="s">
        <v>880</v>
      </c>
      <c r="G14">
        <v>11.99</v>
      </c>
      <c r="H14" t="s">
        <v>529</v>
      </c>
      <c r="I14">
        <v>19.989999999999998</v>
      </c>
      <c r="J14" t="s">
        <v>4422</v>
      </c>
      <c r="L14">
        <v>0</v>
      </c>
    </row>
    <row r="15" spans="1:12" x14ac:dyDescent="0.2">
      <c r="A15" t="s">
        <v>594</v>
      </c>
      <c r="B15" t="s">
        <v>1096</v>
      </c>
      <c r="C15" t="s">
        <v>540</v>
      </c>
      <c r="D15" t="s">
        <v>4425</v>
      </c>
      <c r="F15" t="s">
        <v>595</v>
      </c>
      <c r="G15">
        <v>11.99</v>
      </c>
      <c r="H15" t="s">
        <v>529</v>
      </c>
      <c r="I15">
        <v>19.989999999999998</v>
      </c>
      <c r="J15" t="s">
        <v>4426</v>
      </c>
      <c r="L15">
        <v>0</v>
      </c>
    </row>
    <row r="16" spans="1:12" x14ac:dyDescent="0.2">
      <c r="A16" t="s">
        <v>594</v>
      </c>
      <c r="B16" t="s">
        <v>1096</v>
      </c>
      <c r="C16" t="s">
        <v>1568</v>
      </c>
      <c r="D16" t="s">
        <v>4427</v>
      </c>
      <c r="E16" t="s">
        <v>371</v>
      </c>
      <c r="F16" t="s">
        <v>597</v>
      </c>
      <c r="G16">
        <v>13.99</v>
      </c>
      <c r="H16" t="s">
        <v>529</v>
      </c>
      <c r="I16">
        <v>24.990000000000002</v>
      </c>
      <c r="J16" t="s">
        <v>4426</v>
      </c>
      <c r="L16">
        <v>0</v>
      </c>
    </row>
    <row r="17" spans="1:12" x14ac:dyDescent="0.2">
      <c r="A17" t="s">
        <v>594</v>
      </c>
      <c r="B17" t="s">
        <v>1096</v>
      </c>
      <c r="C17" t="s">
        <v>1568</v>
      </c>
      <c r="D17" t="s">
        <v>4427</v>
      </c>
      <c r="E17" t="s">
        <v>369</v>
      </c>
      <c r="F17" t="s">
        <v>596</v>
      </c>
      <c r="G17">
        <v>13.99</v>
      </c>
      <c r="H17" t="s">
        <v>529</v>
      </c>
      <c r="I17">
        <v>24.990000000000002</v>
      </c>
      <c r="J17" t="s">
        <v>4426</v>
      </c>
      <c r="L17">
        <v>0</v>
      </c>
    </row>
    <row r="18" spans="1:12" x14ac:dyDescent="0.2">
      <c r="A18" t="s">
        <v>594</v>
      </c>
      <c r="B18" t="s">
        <v>1096</v>
      </c>
      <c r="C18" t="s">
        <v>1568</v>
      </c>
      <c r="D18" t="s">
        <v>4427</v>
      </c>
      <c r="E18" t="s">
        <v>372</v>
      </c>
      <c r="F18" t="s">
        <v>600</v>
      </c>
      <c r="G18">
        <v>13.99</v>
      </c>
      <c r="H18" t="s">
        <v>529</v>
      </c>
      <c r="I18">
        <v>24.990000000000002</v>
      </c>
      <c r="J18" t="s">
        <v>4426</v>
      </c>
      <c r="L18">
        <v>0</v>
      </c>
    </row>
    <row r="19" spans="1:12" x14ac:dyDescent="0.2">
      <c r="A19" t="s">
        <v>594</v>
      </c>
      <c r="B19" t="s">
        <v>1096</v>
      </c>
      <c r="C19" t="s">
        <v>543</v>
      </c>
      <c r="D19" t="s">
        <v>4428</v>
      </c>
      <c r="F19" t="s">
        <v>616</v>
      </c>
      <c r="G19">
        <v>14.99</v>
      </c>
      <c r="H19" t="s">
        <v>529</v>
      </c>
      <c r="I19">
        <v>24.990000000000002</v>
      </c>
      <c r="J19">
        <v>6</v>
      </c>
      <c r="L19">
        <v>0</v>
      </c>
    </row>
    <row r="20" spans="1:12" x14ac:dyDescent="0.2">
      <c r="A20" t="s">
        <v>594</v>
      </c>
      <c r="B20" t="s">
        <v>1096</v>
      </c>
      <c r="C20" t="s">
        <v>541</v>
      </c>
      <c r="D20" t="s">
        <v>4429</v>
      </c>
      <c r="F20" t="s">
        <v>601</v>
      </c>
      <c r="G20">
        <v>18.989999999999998</v>
      </c>
      <c r="H20" t="s">
        <v>529</v>
      </c>
      <c r="I20">
        <v>32.99</v>
      </c>
      <c r="J20" t="s">
        <v>4426</v>
      </c>
      <c r="L20">
        <v>0</v>
      </c>
    </row>
    <row r="21" spans="1:12" x14ac:dyDescent="0.2">
      <c r="A21" t="s">
        <v>594</v>
      </c>
      <c r="B21" t="s">
        <v>1096</v>
      </c>
      <c r="C21" t="s">
        <v>2116</v>
      </c>
      <c r="D21" t="s">
        <v>4430</v>
      </c>
      <c r="E21" t="s">
        <v>594</v>
      </c>
      <c r="F21" t="s">
        <v>603</v>
      </c>
      <c r="G21">
        <v>16.989999999999998</v>
      </c>
      <c r="H21" t="s">
        <v>529</v>
      </c>
      <c r="I21">
        <v>29.990000000000002</v>
      </c>
      <c r="J21">
        <v>3</v>
      </c>
      <c r="L21">
        <v>0</v>
      </c>
    </row>
    <row r="22" spans="1:12" x14ac:dyDescent="0.2">
      <c r="A22" t="s">
        <v>594</v>
      </c>
      <c r="B22" t="s">
        <v>1096</v>
      </c>
      <c r="C22" t="s">
        <v>1573</v>
      </c>
      <c r="D22" t="s">
        <v>4431</v>
      </c>
      <c r="E22" t="s">
        <v>371</v>
      </c>
      <c r="F22" t="s">
        <v>636</v>
      </c>
      <c r="G22">
        <v>23.990000000000002</v>
      </c>
      <c r="H22" t="s">
        <v>529</v>
      </c>
      <c r="I22">
        <v>39.99</v>
      </c>
      <c r="J22" t="s">
        <v>4432</v>
      </c>
      <c r="L22">
        <v>0</v>
      </c>
    </row>
    <row r="23" spans="1:12" x14ac:dyDescent="0.2">
      <c r="A23" t="s">
        <v>594</v>
      </c>
      <c r="B23" t="s">
        <v>1096</v>
      </c>
      <c r="C23" t="s">
        <v>1573</v>
      </c>
      <c r="D23" t="s">
        <v>4431</v>
      </c>
      <c r="E23" t="s">
        <v>369</v>
      </c>
      <c r="F23" t="s">
        <v>635</v>
      </c>
      <c r="G23">
        <v>23.990000000000002</v>
      </c>
      <c r="H23" t="s">
        <v>529</v>
      </c>
      <c r="I23">
        <v>39.99</v>
      </c>
      <c r="J23" t="s">
        <v>4432</v>
      </c>
      <c r="L23">
        <v>0</v>
      </c>
    </row>
    <row r="24" spans="1:12" x14ac:dyDescent="0.2">
      <c r="A24" t="s">
        <v>594</v>
      </c>
      <c r="B24" t="s">
        <v>1096</v>
      </c>
      <c r="C24" t="s">
        <v>1573</v>
      </c>
      <c r="D24" t="s">
        <v>4431</v>
      </c>
      <c r="E24" t="s">
        <v>372</v>
      </c>
      <c r="F24" t="s">
        <v>638</v>
      </c>
      <c r="G24">
        <v>23.990000000000002</v>
      </c>
      <c r="H24" t="s">
        <v>529</v>
      </c>
      <c r="I24">
        <v>39.99</v>
      </c>
      <c r="J24" t="s">
        <v>4432</v>
      </c>
      <c r="L24">
        <v>0</v>
      </c>
    </row>
    <row r="25" spans="1:12" x14ac:dyDescent="0.2">
      <c r="A25" t="s">
        <v>594</v>
      </c>
      <c r="B25" t="s">
        <v>1096</v>
      </c>
      <c r="C25" t="s">
        <v>547</v>
      </c>
      <c r="D25" t="s">
        <v>4433</v>
      </c>
      <c r="F25" t="s">
        <v>634</v>
      </c>
      <c r="G25">
        <v>23.990000000000002</v>
      </c>
      <c r="H25" t="s">
        <v>529</v>
      </c>
      <c r="I25">
        <v>39.99</v>
      </c>
      <c r="J25" t="s">
        <v>4432</v>
      </c>
      <c r="L25">
        <v>0</v>
      </c>
    </row>
    <row r="26" spans="1:12" x14ac:dyDescent="0.2">
      <c r="A26" t="s">
        <v>594</v>
      </c>
      <c r="B26" t="s">
        <v>4434</v>
      </c>
      <c r="C26" t="s">
        <v>551</v>
      </c>
      <c r="D26" t="s">
        <v>4435</v>
      </c>
      <c r="F26" t="s">
        <v>2198</v>
      </c>
      <c r="G26">
        <v>6.99</v>
      </c>
      <c r="H26" t="s">
        <v>529</v>
      </c>
      <c r="I26">
        <v>12.99</v>
      </c>
      <c r="J26">
        <v>6</v>
      </c>
      <c r="L26">
        <v>0</v>
      </c>
    </row>
    <row r="27" spans="1:12" x14ac:dyDescent="0.2">
      <c r="A27" t="s">
        <v>594</v>
      </c>
      <c r="B27" t="s">
        <v>4434</v>
      </c>
      <c r="C27" t="s">
        <v>663</v>
      </c>
      <c r="D27" t="s">
        <v>4436</v>
      </c>
      <c r="F27" t="s">
        <v>159</v>
      </c>
      <c r="G27">
        <v>5.99</v>
      </c>
      <c r="H27" t="s">
        <v>529</v>
      </c>
      <c r="I27">
        <v>9.99</v>
      </c>
      <c r="J27">
        <v>6</v>
      </c>
      <c r="L27">
        <v>0</v>
      </c>
    </row>
    <row r="28" spans="1:12" x14ac:dyDescent="0.2">
      <c r="A28" t="s">
        <v>594</v>
      </c>
      <c r="B28" t="s">
        <v>4434</v>
      </c>
      <c r="C28" t="s">
        <v>4437</v>
      </c>
      <c r="D28" t="s">
        <v>4438</v>
      </c>
      <c r="F28" t="s">
        <v>4439</v>
      </c>
      <c r="G28">
        <v>2.99</v>
      </c>
      <c r="H28" t="s">
        <v>529</v>
      </c>
      <c r="I28">
        <v>4.99</v>
      </c>
      <c r="J28">
        <v>3</v>
      </c>
      <c r="L28">
        <v>0</v>
      </c>
    </row>
    <row r="29" spans="1:12" x14ac:dyDescent="0.2">
      <c r="A29" t="s">
        <v>594</v>
      </c>
      <c r="B29" t="s">
        <v>506</v>
      </c>
      <c r="C29" t="s">
        <v>1110</v>
      </c>
      <c r="D29" t="s">
        <v>4440</v>
      </c>
      <c r="F29" t="s">
        <v>529</v>
      </c>
      <c r="G29">
        <v>0.89</v>
      </c>
      <c r="H29" t="s">
        <v>529</v>
      </c>
      <c r="I29">
        <v>1.49</v>
      </c>
      <c r="J29">
        <v>300</v>
      </c>
      <c r="L29">
        <v>0</v>
      </c>
    </row>
    <row r="30" spans="1:12" x14ac:dyDescent="0.2">
      <c r="A30" t="s">
        <v>594</v>
      </c>
      <c r="B30" t="s">
        <v>506</v>
      </c>
      <c r="C30" t="s">
        <v>548</v>
      </c>
      <c r="D30" t="s">
        <v>4441</v>
      </c>
      <c r="F30" t="s">
        <v>418</v>
      </c>
      <c r="G30">
        <v>2.99</v>
      </c>
      <c r="H30" t="s">
        <v>529</v>
      </c>
      <c r="I30">
        <v>4.99</v>
      </c>
      <c r="J30" t="s">
        <v>4442</v>
      </c>
      <c r="L30">
        <v>0</v>
      </c>
    </row>
    <row r="31" spans="1:12" x14ac:dyDescent="0.2">
      <c r="A31" t="s">
        <v>594</v>
      </c>
      <c r="B31" t="s">
        <v>506</v>
      </c>
      <c r="C31" t="s">
        <v>549</v>
      </c>
      <c r="D31" t="s">
        <v>4443</v>
      </c>
      <c r="F31" t="s">
        <v>223</v>
      </c>
      <c r="G31">
        <v>6.99</v>
      </c>
      <c r="H31" t="s">
        <v>529</v>
      </c>
      <c r="I31">
        <v>11.99</v>
      </c>
      <c r="J31" t="s">
        <v>4444</v>
      </c>
      <c r="L31">
        <v>0</v>
      </c>
    </row>
    <row r="32" spans="1:12" x14ac:dyDescent="0.2">
      <c r="A32" t="s">
        <v>594</v>
      </c>
      <c r="B32" t="s">
        <v>506</v>
      </c>
      <c r="C32" t="s">
        <v>550</v>
      </c>
      <c r="D32" t="s">
        <v>4445</v>
      </c>
      <c r="F32" t="s">
        <v>224</v>
      </c>
      <c r="G32">
        <v>2.99</v>
      </c>
      <c r="H32" t="s">
        <v>529</v>
      </c>
      <c r="I32">
        <v>4.99</v>
      </c>
      <c r="J32" t="s">
        <v>4442</v>
      </c>
      <c r="L32">
        <v>0</v>
      </c>
    </row>
    <row r="33" spans="1:12" x14ac:dyDescent="0.2">
      <c r="A33" t="s">
        <v>594</v>
      </c>
      <c r="B33" t="s">
        <v>506</v>
      </c>
      <c r="C33" t="s">
        <v>684</v>
      </c>
      <c r="D33" t="s">
        <v>4446</v>
      </c>
      <c r="F33" t="s">
        <v>686</v>
      </c>
      <c r="G33">
        <v>1.99</v>
      </c>
      <c r="H33" t="s">
        <v>529</v>
      </c>
      <c r="I33">
        <v>2.99</v>
      </c>
      <c r="J33" t="s">
        <v>4447</v>
      </c>
      <c r="L33">
        <v>0</v>
      </c>
    </row>
    <row r="34" spans="1:12" x14ac:dyDescent="0.2">
      <c r="A34" t="s">
        <v>594</v>
      </c>
      <c r="B34" t="s">
        <v>506</v>
      </c>
      <c r="C34" t="s">
        <v>983</v>
      </c>
      <c r="D34" t="s">
        <v>4448</v>
      </c>
      <c r="F34" t="s">
        <v>947</v>
      </c>
      <c r="G34">
        <v>2.09</v>
      </c>
      <c r="H34" t="s">
        <v>529</v>
      </c>
      <c r="I34">
        <v>3.99</v>
      </c>
      <c r="J34" t="s">
        <v>4447</v>
      </c>
      <c r="L34">
        <v>0</v>
      </c>
    </row>
    <row r="35" spans="1:12" x14ac:dyDescent="0.2">
      <c r="A35" t="s">
        <v>594</v>
      </c>
      <c r="B35" t="s">
        <v>506</v>
      </c>
      <c r="C35" t="s">
        <v>685</v>
      </c>
      <c r="D35" t="s">
        <v>4449</v>
      </c>
      <c r="F35" t="s">
        <v>687</v>
      </c>
      <c r="G35">
        <v>2.99</v>
      </c>
      <c r="H35" t="s">
        <v>529</v>
      </c>
      <c r="I35">
        <v>4.99</v>
      </c>
      <c r="J35">
        <v>12</v>
      </c>
      <c r="L35">
        <v>0</v>
      </c>
    </row>
    <row r="36" spans="1:12" x14ac:dyDescent="0.2">
      <c r="A36" t="s">
        <v>594</v>
      </c>
      <c r="B36" t="s">
        <v>4450</v>
      </c>
      <c r="C36" t="s">
        <v>675</v>
      </c>
      <c r="D36" t="s">
        <v>4451</v>
      </c>
      <c r="F36" t="s">
        <v>679</v>
      </c>
      <c r="G36">
        <v>2.99</v>
      </c>
      <c r="H36" t="s">
        <v>529</v>
      </c>
      <c r="I36">
        <v>4.99</v>
      </c>
      <c r="J36">
        <v>12</v>
      </c>
      <c r="L36">
        <v>0</v>
      </c>
    </row>
    <row r="37" spans="1:12" x14ac:dyDescent="0.2">
      <c r="A37" t="s">
        <v>594</v>
      </c>
      <c r="B37" t="s">
        <v>4450</v>
      </c>
      <c r="C37" t="s">
        <v>676</v>
      </c>
      <c r="D37" t="s">
        <v>4452</v>
      </c>
      <c r="F37" t="s">
        <v>680</v>
      </c>
      <c r="G37">
        <v>5.99</v>
      </c>
      <c r="H37" t="s">
        <v>529</v>
      </c>
      <c r="I37">
        <v>9.99</v>
      </c>
      <c r="J37">
        <v>12</v>
      </c>
      <c r="L37">
        <v>0</v>
      </c>
    </row>
    <row r="38" spans="1:12" x14ac:dyDescent="0.2">
      <c r="A38" t="s">
        <v>594</v>
      </c>
      <c r="B38" t="s">
        <v>4453</v>
      </c>
      <c r="C38" t="s">
        <v>670</v>
      </c>
      <c r="D38" t="s">
        <v>4454</v>
      </c>
      <c r="F38" t="s">
        <v>671</v>
      </c>
      <c r="G38">
        <v>4.99</v>
      </c>
      <c r="H38" t="s">
        <v>529</v>
      </c>
      <c r="I38">
        <v>8.99</v>
      </c>
      <c r="J38">
        <v>6</v>
      </c>
      <c r="L38">
        <v>0</v>
      </c>
    </row>
    <row r="39" spans="1:12" x14ac:dyDescent="0.2">
      <c r="A39" t="s">
        <v>594</v>
      </c>
      <c r="B39" t="s">
        <v>4453</v>
      </c>
      <c r="C39" t="s">
        <v>125</v>
      </c>
      <c r="D39" t="s">
        <v>4455</v>
      </c>
      <c r="F39" t="s">
        <v>127</v>
      </c>
      <c r="G39">
        <v>2.09</v>
      </c>
      <c r="H39" t="s">
        <v>529</v>
      </c>
      <c r="I39">
        <v>3.99</v>
      </c>
      <c r="J39">
        <v>5</v>
      </c>
      <c r="L39">
        <v>0</v>
      </c>
    </row>
    <row r="40" spans="1:12" x14ac:dyDescent="0.2">
      <c r="A40" t="s">
        <v>594</v>
      </c>
      <c r="B40" t="s">
        <v>4453</v>
      </c>
      <c r="C40" t="s">
        <v>126</v>
      </c>
      <c r="D40" t="s">
        <v>4456</v>
      </c>
      <c r="F40" t="s">
        <v>1015</v>
      </c>
      <c r="G40">
        <v>5.99</v>
      </c>
      <c r="H40" t="s">
        <v>529</v>
      </c>
      <c r="I40">
        <v>9.99</v>
      </c>
      <c r="J40">
        <v>5</v>
      </c>
      <c r="L40">
        <v>0</v>
      </c>
    </row>
    <row r="41" spans="1:12" x14ac:dyDescent="0.2">
      <c r="A41" t="s">
        <v>594</v>
      </c>
      <c r="B41" t="s">
        <v>4453</v>
      </c>
      <c r="C41" t="s">
        <v>673</v>
      </c>
      <c r="D41" t="s">
        <v>4457</v>
      </c>
      <c r="F41" t="s">
        <v>677</v>
      </c>
      <c r="G41">
        <v>2.99</v>
      </c>
      <c r="H41" t="s">
        <v>529</v>
      </c>
      <c r="I41">
        <v>5.99</v>
      </c>
      <c r="J41">
        <v>6</v>
      </c>
      <c r="L41">
        <v>0</v>
      </c>
    </row>
    <row r="42" spans="1:12" x14ac:dyDescent="0.2">
      <c r="A42" t="s">
        <v>594</v>
      </c>
      <c r="B42" t="s">
        <v>4458</v>
      </c>
      <c r="C42" t="s">
        <v>3751</v>
      </c>
      <c r="D42" t="s">
        <v>4459</v>
      </c>
      <c r="E42" t="s">
        <v>383</v>
      </c>
      <c r="F42" t="s">
        <v>4460</v>
      </c>
      <c r="G42">
        <v>12.99</v>
      </c>
      <c r="H42" t="s">
        <v>529</v>
      </c>
      <c r="I42">
        <v>24.990000000000002</v>
      </c>
      <c r="J42" t="s">
        <v>4461</v>
      </c>
      <c r="L42">
        <v>0</v>
      </c>
    </row>
    <row r="43" spans="1:12" x14ac:dyDescent="0.2">
      <c r="A43" t="s">
        <v>594</v>
      </c>
      <c r="B43" t="s">
        <v>4458</v>
      </c>
      <c r="C43" t="s">
        <v>3751</v>
      </c>
      <c r="D43" t="s">
        <v>4462</v>
      </c>
      <c r="E43" t="s">
        <v>4181</v>
      </c>
      <c r="F43" t="s">
        <v>4463</v>
      </c>
      <c r="G43">
        <v>12.99</v>
      </c>
      <c r="H43" t="s">
        <v>529</v>
      </c>
      <c r="I43">
        <v>24.990000000000002</v>
      </c>
      <c r="J43" t="s">
        <v>4461</v>
      </c>
      <c r="L43">
        <v>0</v>
      </c>
    </row>
    <row r="44" spans="1:12" x14ac:dyDescent="0.2">
      <c r="A44" t="s">
        <v>594</v>
      </c>
      <c r="B44" t="s">
        <v>4458</v>
      </c>
      <c r="C44" t="s">
        <v>3751</v>
      </c>
      <c r="D44" t="s">
        <v>4464</v>
      </c>
      <c r="E44" t="s">
        <v>293</v>
      </c>
      <c r="F44" t="s">
        <v>4465</v>
      </c>
      <c r="G44">
        <v>12.99</v>
      </c>
      <c r="H44" t="s">
        <v>529</v>
      </c>
      <c r="I44">
        <v>24.990000000000002</v>
      </c>
      <c r="J44" t="s">
        <v>4461</v>
      </c>
      <c r="L44">
        <v>0</v>
      </c>
    </row>
    <row r="45" spans="1:12" x14ac:dyDescent="0.2">
      <c r="A45" t="s">
        <v>594</v>
      </c>
      <c r="B45" t="s">
        <v>4458</v>
      </c>
      <c r="C45" t="s">
        <v>3751</v>
      </c>
      <c r="D45" t="s">
        <v>4466</v>
      </c>
      <c r="E45" t="s">
        <v>4467</v>
      </c>
      <c r="F45" t="s">
        <v>4468</v>
      </c>
      <c r="G45">
        <v>12.99</v>
      </c>
      <c r="H45" t="s">
        <v>529</v>
      </c>
      <c r="I45">
        <v>24.990000000000002</v>
      </c>
      <c r="J45" t="s">
        <v>4461</v>
      </c>
      <c r="L45">
        <v>0</v>
      </c>
    </row>
    <row r="46" spans="1:12" x14ac:dyDescent="0.2">
      <c r="A46" t="s">
        <v>594</v>
      </c>
      <c r="B46" t="s">
        <v>4458</v>
      </c>
      <c r="C46" t="s">
        <v>3751</v>
      </c>
      <c r="D46" t="s">
        <v>4469</v>
      </c>
      <c r="E46" t="s">
        <v>4182</v>
      </c>
      <c r="F46" t="s">
        <v>4470</v>
      </c>
      <c r="G46">
        <v>12.99</v>
      </c>
      <c r="H46" t="s">
        <v>529</v>
      </c>
      <c r="I46">
        <v>24.990000000000002</v>
      </c>
      <c r="J46" t="s">
        <v>4461</v>
      </c>
      <c r="L46">
        <v>0</v>
      </c>
    </row>
    <row r="47" spans="1:12" x14ac:dyDescent="0.2">
      <c r="A47" t="s">
        <v>594</v>
      </c>
      <c r="B47" t="s">
        <v>4458</v>
      </c>
      <c r="C47" t="s">
        <v>4008</v>
      </c>
      <c r="D47" t="s">
        <v>4471</v>
      </c>
      <c r="E47" t="s">
        <v>4472</v>
      </c>
      <c r="F47" t="s">
        <v>4010</v>
      </c>
      <c r="G47">
        <v>23.990000000000002</v>
      </c>
      <c r="H47" t="s">
        <v>529</v>
      </c>
      <c r="I47">
        <v>44.99</v>
      </c>
      <c r="J47" t="s">
        <v>4461</v>
      </c>
      <c r="L47">
        <v>0</v>
      </c>
    </row>
    <row r="48" spans="1:12" x14ac:dyDescent="0.2">
      <c r="A48" t="s">
        <v>594</v>
      </c>
      <c r="B48" t="s">
        <v>4458</v>
      </c>
      <c r="C48" t="s">
        <v>4008</v>
      </c>
      <c r="D48" t="s">
        <v>4471</v>
      </c>
      <c r="E48" t="s">
        <v>4473</v>
      </c>
      <c r="F48" t="s">
        <v>4011</v>
      </c>
      <c r="G48">
        <v>23.990000000000002</v>
      </c>
      <c r="H48" t="s">
        <v>529</v>
      </c>
      <c r="I48">
        <v>44.99</v>
      </c>
      <c r="J48" t="s">
        <v>4461</v>
      </c>
      <c r="L48">
        <v>0</v>
      </c>
    </row>
    <row r="49" spans="1:12" x14ac:dyDescent="0.2">
      <c r="A49" t="s">
        <v>594</v>
      </c>
      <c r="B49" t="s">
        <v>4458</v>
      </c>
      <c r="C49" t="s">
        <v>4007</v>
      </c>
      <c r="D49" t="s">
        <v>4474</v>
      </c>
      <c r="E49" t="s">
        <v>293</v>
      </c>
      <c r="F49" t="s">
        <v>4475</v>
      </c>
      <c r="G49">
        <v>16.989999999999998</v>
      </c>
      <c r="H49" t="s">
        <v>529</v>
      </c>
      <c r="I49">
        <v>29.990000000000002</v>
      </c>
      <c r="J49" t="s">
        <v>4461</v>
      </c>
      <c r="L49">
        <v>0</v>
      </c>
    </row>
    <row r="50" spans="1:12" x14ac:dyDescent="0.2">
      <c r="A50" t="s">
        <v>594</v>
      </c>
      <c r="B50" t="s">
        <v>4458</v>
      </c>
      <c r="C50" t="s">
        <v>4007</v>
      </c>
      <c r="D50" t="s">
        <v>4474</v>
      </c>
      <c r="E50" t="s">
        <v>369</v>
      </c>
      <c r="F50" t="s">
        <v>4009</v>
      </c>
      <c r="G50">
        <v>16.989999999999998</v>
      </c>
      <c r="H50" t="s">
        <v>529</v>
      </c>
      <c r="I50">
        <v>29.990000000000002</v>
      </c>
      <c r="J50" t="s">
        <v>4461</v>
      </c>
      <c r="L50">
        <v>0</v>
      </c>
    </row>
    <row r="51" spans="1:12" x14ac:dyDescent="0.2">
      <c r="A51" t="s">
        <v>594</v>
      </c>
      <c r="B51" t="s">
        <v>4458</v>
      </c>
      <c r="C51" t="s">
        <v>4330</v>
      </c>
      <c r="D51" t="s">
        <v>4476</v>
      </c>
      <c r="E51" t="s">
        <v>383</v>
      </c>
      <c r="F51" t="s">
        <v>4477</v>
      </c>
      <c r="G51">
        <v>16.989999999999998</v>
      </c>
      <c r="H51" t="s">
        <v>529</v>
      </c>
      <c r="I51">
        <v>34.99</v>
      </c>
      <c r="J51" t="s">
        <v>4461</v>
      </c>
      <c r="L51">
        <v>0</v>
      </c>
    </row>
    <row r="52" spans="1:12" x14ac:dyDescent="0.2">
      <c r="A52" t="s">
        <v>594</v>
      </c>
      <c r="B52" t="s">
        <v>4458</v>
      </c>
      <c r="C52" t="s">
        <v>4330</v>
      </c>
      <c r="D52" t="s">
        <v>4478</v>
      </c>
      <c r="E52" t="s">
        <v>4479</v>
      </c>
      <c r="F52" t="s">
        <v>4480</v>
      </c>
      <c r="G52">
        <v>16.989999999999998</v>
      </c>
      <c r="H52" t="s">
        <v>529</v>
      </c>
      <c r="I52">
        <v>34.99</v>
      </c>
      <c r="J52" t="s">
        <v>4461</v>
      </c>
      <c r="L52">
        <v>0</v>
      </c>
    </row>
    <row r="53" spans="1:12" x14ac:dyDescent="0.2">
      <c r="A53" t="s">
        <v>594</v>
      </c>
      <c r="B53" t="s">
        <v>4458</v>
      </c>
      <c r="C53" t="s">
        <v>4330</v>
      </c>
      <c r="D53" t="s">
        <v>4481</v>
      </c>
      <c r="E53" t="s">
        <v>4482</v>
      </c>
      <c r="F53" t="s">
        <v>4483</v>
      </c>
      <c r="G53">
        <v>16.989999999999998</v>
      </c>
      <c r="H53" t="s">
        <v>529</v>
      </c>
      <c r="I53">
        <v>34.99</v>
      </c>
      <c r="J53" t="s">
        <v>4461</v>
      </c>
      <c r="L53">
        <v>0</v>
      </c>
    </row>
    <row r="54" spans="1:12" x14ac:dyDescent="0.2">
      <c r="A54" t="s">
        <v>594</v>
      </c>
      <c r="B54" t="s">
        <v>4458</v>
      </c>
      <c r="C54" t="s">
        <v>4330</v>
      </c>
      <c r="D54" t="s">
        <v>4484</v>
      </c>
      <c r="E54" t="s">
        <v>4485</v>
      </c>
      <c r="F54" t="s">
        <v>4486</v>
      </c>
      <c r="G54">
        <v>16.989999999999998</v>
      </c>
      <c r="H54" t="s">
        <v>529</v>
      </c>
      <c r="I54">
        <v>34.99</v>
      </c>
      <c r="J54" t="s">
        <v>4461</v>
      </c>
      <c r="L54">
        <v>0</v>
      </c>
    </row>
    <row r="55" spans="1:12" x14ac:dyDescent="0.2">
      <c r="A55" t="s">
        <v>594</v>
      </c>
      <c r="B55" t="s">
        <v>4458</v>
      </c>
      <c r="C55" t="s">
        <v>4330</v>
      </c>
      <c r="D55" t="s">
        <v>4487</v>
      </c>
      <c r="E55" t="s">
        <v>4488</v>
      </c>
      <c r="F55" t="s">
        <v>4489</v>
      </c>
      <c r="G55">
        <v>16.989999999999998</v>
      </c>
      <c r="H55" t="s">
        <v>529</v>
      </c>
      <c r="I55">
        <v>34.99</v>
      </c>
      <c r="J55" t="s">
        <v>4461</v>
      </c>
      <c r="L55">
        <v>0</v>
      </c>
    </row>
    <row r="56" spans="1:12" x14ac:dyDescent="0.2">
      <c r="A56" t="s">
        <v>594</v>
      </c>
      <c r="B56" t="s">
        <v>4458</v>
      </c>
      <c r="C56" t="s">
        <v>4342</v>
      </c>
      <c r="D56" t="s">
        <v>4490</v>
      </c>
      <c r="E56" t="s">
        <v>383</v>
      </c>
      <c r="F56" t="s">
        <v>4491</v>
      </c>
      <c r="G56">
        <v>20.99</v>
      </c>
      <c r="H56" t="s">
        <v>529</v>
      </c>
      <c r="I56">
        <v>39.99</v>
      </c>
      <c r="J56" t="s">
        <v>4461</v>
      </c>
      <c r="L56">
        <v>0</v>
      </c>
    </row>
    <row r="57" spans="1:12" x14ac:dyDescent="0.2">
      <c r="A57" t="s">
        <v>594</v>
      </c>
      <c r="B57" t="s">
        <v>4458</v>
      </c>
      <c r="C57" t="s">
        <v>4342</v>
      </c>
      <c r="D57" t="s">
        <v>4492</v>
      </c>
      <c r="E57" t="s">
        <v>4479</v>
      </c>
      <c r="F57" t="s">
        <v>4493</v>
      </c>
      <c r="G57">
        <v>20.99</v>
      </c>
      <c r="H57" t="s">
        <v>529</v>
      </c>
      <c r="I57">
        <v>39.99</v>
      </c>
      <c r="J57" t="s">
        <v>4461</v>
      </c>
      <c r="L57">
        <v>0</v>
      </c>
    </row>
    <row r="58" spans="1:12" x14ac:dyDescent="0.2">
      <c r="A58" t="s">
        <v>594</v>
      </c>
      <c r="B58" t="s">
        <v>4458</v>
      </c>
      <c r="C58" t="s">
        <v>4342</v>
      </c>
      <c r="D58" t="s">
        <v>4494</v>
      </c>
      <c r="E58" t="s">
        <v>4495</v>
      </c>
      <c r="F58" t="s">
        <v>4496</v>
      </c>
      <c r="G58">
        <v>20.99</v>
      </c>
      <c r="H58" t="s">
        <v>529</v>
      </c>
      <c r="I58">
        <v>39.99</v>
      </c>
      <c r="J58" t="s">
        <v>4461</v>
      </c>
      <c r="L58">
        <v>0</v>
      </c>
    </row>
    <row r="59" spans="1:12" x14ac:dyDescent="0.2">
      <c r="A59" t="s">
        <v>594</v>
      </c>
      <c r="B59" t="s">
        <v>4458</v>
      </c>
      <c r="C59" t="s">
        <v>4342</v>
      </c>
      <c r="D59" t="s">
        <v>4497</v>
      </c>
      <c r="E59" t="s">
        <v>4498</v>
      </c>
      <c r="F59" t="s">
        <v>4499</v>
      </c>
      <c r="G59">
        <v>20.99</v>
      </c>
      <c r="H59" t="s">
        <v>529</v>
      </c>
      <c r="I59">
        <v>39.99</v>
      </c>
      <c r="J59" t="s">
        <v>4461</v>
      </c>
      <c r="L59">
        <v>0</v>
      </c>
    </row>
    <row r="60" spans="1:12" x14ac:dyDescent="0.2">
      <c r="A60" t="s">
        <v>594</v>
      </c>
      <c r="B60" t="s">
        <v>4458</v>
      </c>
      <c r="C60" t="s">
        <v>4342</v>
      </c>
      <c r="D60" t="s">
        <v>4500</v>
      </c>
      <c r="E60" t="s">
        <v>4324</v>
      </c>
      <c r="F60" t="s">
        <v>4501</v>
      </c>
      <c r="G60">
        <v>20.99</v>
      </c>
      <c r="H60" t="s">
        <v>529</v>
      </c>
      <c r="I60">
        <v>39.99</v>
      </c>
      <c r="J60" t="s">
        <v>4461</v>
      </c>
      <c r="L60">
        <v>0</v>
      </c>
    </row>
    <row r="61" spans="1:12" x14ac:dyDescent="0.2">
      <c r="A61" t="s">
        <v>594</v>
      </c>
      <c r="B61" t="s">
        <v>4458</v>
      </c>
      <c r="C61" t="s">
        <v>4341</v>
      </c>
      <c r="D61" t="s">
        <v>4502</v>
      </c>
      <c r="E61" t="s">
        <v>383</v>
      </c>
      <c r="F61" t="s">
        <v>4503</v>
      </c>
      <c r="G61">
        <v>25.990000000000002</v>
      </c>
      <c r="H61" t="s">
        <v>529</v>
      </c>
      <c r="I61">
        <v>49.99</v>
      </c>
      <c r="J61" t="s">
        <v>4461</v>
      </c>
      <c r="L61">
        <v>0</v>
      </c>
    </row>
    <row r="62" spans="1:12" x14ac:dyDescent="0.2">
      <c r="A62" t="s">
        <v>594</v>
      </c>
      <c r="B62" t="s">
        <v>4458</v>
      </c>
      <c r="C62" t="s">
        <v>4341</v>
      </c>
      <c r="D62" t="s">
        <v>4504</v>
      </c>
      <c r="E62" t="s">
        <v>4479</v>
      </c>
      <c r="F62" t="s">
        <v>4505</v>
      </c>
      <c r="G62">
        <v>25.990000000000002</v>
      </c>
      <c r="H62" t="s">
        <v>529</v>
      </c>
      <c r="I62">
        <v>49.99</v>
      </c>
      <c r="J62" t="s">
        <v>4461</v>
      </c>
      <c r="L62">
        <v>0</v>
      </c>
    </row>
    <row r="63" spans="1:12" x14ac:dyDescent="0.2">
      <c r="A63" t="s">
        <v>594</v>
      </c>
      <c r="B63" t="s">
        <v>4458</v>
      </c>
      <c r="C63" t="s">
        <v>4341</v>
      </c>
      <c r="D63" t="s">
        <v>4506</v>
      </c>
      <c r="E63" t="s">
        <v>4495</v>
      </c>
      <c r="F63" t="s">
        <v>4507</v>
      </c>
      <c r="G63">
        <v>25.990000000000002</v>
      </c>
      <c r="H63" t="s">
        <v>529</v>
      </c>
      <c r="I63">
        <v>49.99</v>
      </c>
      <c r="J63" t="s">
        <v>4461</v>
      </c>
      <c r="L63">
        <v>0</v>
      </c>
    </row>
    <row r="64" spans="1:12" x14ac:dyDescent="0.2">
      <c r="A64" t="s">
        <v>594</v>
      </c>
      <c r="B64" t="s">
        <v>4458</v>
      </c>
      <c r="C64" t="s">
        <v>4341</v>
      </c>
      <c r="D64" t="s">
        <v>4508</v>
      </c>
      <c r="E64" t="s">
        <v>4485</v>
      </c>
      <c r="F64" t="s">
        <v>4509</v>
      </c>
      <c r="G64">
        <v>25.990000000000002</v>
      </c>
      <c r="H64" t="s">
        <v>529</v>
      </c>
      <c r="I64">
        <v>49.99</v>
      </c>
      <c r="J64" t="s">
        <v>4461</v>
      </c>
      <c r="L64">
        <v>0</v>
      </c>
    </row>
    <row r="65" spans="1:12" x14ac:dyDescent="0.2">
      <c r="A65" t="s">
        <v>594</v>
      </c>
      <c r="B65" t="s">
        <v>4458</v>
      </c>
      <c r="C65" t="s">
        <v>4341</v>
      </c>
      <c r="D65" t="s">
        <v>4510</v>
      </c>
      <c r="E65" t="s">
        <v>4511</v>
      </c>
      <c r="F65" t="s">
        <v>4512</v>
      </c>
      <c r="G65">
        <v>25.990000000000002</v>
      </c>
      <c r="H65" t="s">
        <v>529</v>
      </c>
      <c r="I65">
        <v>49.99</v>
      </c>
      <c r="J65" t="s">
        <v>4461</v>
      </c>
      <c r="L65">
        <v>0</v>
      </c>
    </row>
    <row r="66" spans="1:12" x14ac:dyDescent="0.2">
      <c r="A66" t="s">
        <v>594</v>
      </c>
      <c r="B66" t="s">
        <v>4458</v>
      </c>
      <c r="C66" t="s">
        <v>4344</v>
      </c>
      <c r="D66" t="s">
        <v>4340</v>
      </c>
      <c r="E66" t="s">
        <v>383</v>
      </c>
      <c r="F66" t="s">
        <v>4356</v>
      </c>
      <c r="G66">
        <v>25.990000000000002</v>
      </c>
      <c r="H66" t="s">
        <v>529</v>
      </c>
      <c r="I66">
        <v>49.99</v>
      </c>
      <c r="J66" t="s">
        <v>4461</v>
      </c>
      <c r="L66">
        <v>0</v>
      </c>
    </row>
    <row r="67" spans="1:12" x14ac:dyDescent="0.2">
      <c r="A67" t="s">
        <v>594</v>
      </c>
      <c r="B67" t="s">
        <v>4458</v>
      </c>
      <c r="C67" t="s">
        <v>4344</v>
      </c>
      <c r="D67" t="s">
        <v>4340</v>
      </c>
      <c r="E67" t="s">
        <v>4511</v>
      </c>
      <c r="F67" t="s">
        <v>4357</v>
      </c>
      <c r="G67">
        <v>25.990000000000002</v>
      </c>
      <c r="H67" t="s">
        <v>529</v>
      </c>
      <c r="I67">
        <v>49.99</v>
      </c>
      <c r="J67" t="s">
        <v>4461</v>
      </c>
      <c r="L67">
        <v>0</v>
      </c>
    </row>
    <row r="68" spans="1:12" x14ac:dyDescent="0.2">
      <c r="A68" t="s">
        <v>594</v>
      </c>
      <c r="B68" t="s">
        <v>4458</v>
      </c>
      <c r="C68" t="s">
        <v>4513</v>
      </c>
      <c r="D68" t="s">
        <v>4337</v>
      </c>
      <c r="F68" t="s">
        <v>4514</v>
      </c>
      <c r="G68">
        <v>31.990000000000002</v>
      </c>
      <c r="H68" t="s">
        <v>529</v>
      </c>
      <c r="I68">
        <v>59.99</v>
      </c>
      <c r="J68" t="s">
        <v>4461</v>
      </c>
      <c r="L68">
        <v>0</v>
      </c>
    </row>
    <row r="69" spans="1:12" x14ac:dyDescent="0.2">
      <c r="A69" t="s">
        <v>594</v>
      </c>
      <c r="B69" t="s">
        <v>4458</v>
      </c>
      <c r="C69" t="s">
        <v>2237</v>
      </c>
      <c r="D69" t="s">
        <v>4515</v>
      </c>
      <c r="E69" t="s">
        <v>383</v>
      </c>
      <c r="F69" t="s">
        <v>2243</v>
      </c>
      <c r="G69">
        <v>12.99</v>
      </c>
      <c r="H69" t="s">
        <v>529</v>
      </c>
      <c r="I69">
        <v>24.990000000000002</v>
      </c>
      <c r="J69" t="s">
        <v>4461</v>
      </c>
      <c r="L69">
        <v>0</v>
      </c>
    </row>
    <row r="70" spans="1:12" x14ac:dyDescent="0.2">
      <c r="A70" t="s">
        <v>594</v>
      </c>
      <c r="B70" t="s">
        <v>4458</v>
      </c>
      <c r="C70" t="s">
        <v>2237</v>
      </c>
      <c r="D70" t="s">
        <v>4515</v>
      </c>
      <c r="E70" t="s">
        <v>2239</v>
      </c>
      <c r="F70" t="s">
        <v>2244</v>
      </c>
      <c r="G70">
        <v>12.99</v>
      </c>
      <c r="H70" t="s">
        <v>529</v>
      </c>
      <c r="I70">
        <v>24.990000000000002</v>
      </c>
      <c r="J70" t="s">
        <v>4461</v>
      </c>
      <c r="L70">
        <v>0</v>
      </c>
    </row>
    <row r="71" spans="1:12" x14ac:dyDescent="0.2">
      <c r="A71" t="s">
        <v>594</v>
      </c>
      <c r="B71" t="s">
        <v>4458</v>
      </c>
      <c r="C71" t="s">
        <v>2238</v>
      </c>
      <c r="D71" t="s">
        <v>4516</v>
      </c>
      <c r="E71" t="s">
        <v>2248</v>
      </c>
      <c r="F71" t="s">
        <v>2254</v>
      </c>
      <c r="G71">
        <v>21.99</v>
      </c>
      <c r="H71" t="s">
        <v>529</v>
      </c>
      <c r="I71">
        <v>39.99</v>
      </c>
      <c r="J71" t="s">
        <v>4461</v>
      </c>
      <c r="L71">
        <v>0</v>
      </c>
    </row>
    <row r="72" spans="1:12" x14ac:dyDescent="0.2">
      <c r="A72" t="s">
        <v>594</v>
      </c>
      <c r="B72" t="s">
        <v>4458</v>
      </c>
      <c r="C72" t="s">
        <v>2499</v>
      </c>
      <c r="D72" t="s">
        <v>4517</v>
      </c>
      <c r="E72" t="s">
        <v>383</v>
      </c>
      <c r="F72" t="s">
        <v>2590</v>
      </c>
      <c r="G72">
        <v>20.99</v>
      </c>
      <c r="H72" t="s">
        <v>529</v>
      </c>
      <c r="I72">
        <v>39.99</v>
      </c>
      <c r="J72" t="s">
        <v>4461</v>
      </c>
      <c r="L72">
        <v>0</v>
      </c>
    </row>
    <row r="73" spans="1:12" x14ac:dyDescent="0.2">
      <c r="A73" t="s">
        <v>594</v>
      </c>
      <c r="B73" t="s">
        <v>4458</v>
      </c>
      <c r="C73" t="s">
        <v>2499</v>
      </c>
      <c r="D73" t="s">
        <v>4517</v>
      </c>
      <c r="E73" t="s">
        <v>2248</v>
      </c>
      <c r="F73" t="s">
        <v>2587</v>
      </c>
      <c r="G73">
        <v>20.99</v>
      </c>
      <c r="H73" t="s">
        <v>529</v>
      </c>
      <c r="I73">
        <v>39.99</v>
      </c>
      <c r="J73" t="s">
        <v>4461</v>
      </c>
      <c r="L73">
        <v>0</v>
      </c>
    </row>
    <row r="74" spans="1:12" x14ac:dyDescent="0.2">
      <c r="A74" t="s">
        <v>594</v>
      </c>
      <c r="B74" t="s">
        <v>4458</v>
      </c>
      <c r="C74" t="s">
        <v>2500</v>
      </c>
      <c r="D74" t="s">
        <v>4518</v>
      </c>
      <c r="E74" t="s">
        <v>383</v>
      </c>
      <c r="F74" t="s">
        <v>2593</v>
      </c>
      <c r="G74">
        <v>26.990000000000002</v>
      </c>
      <c r="H74" t="s">
        <v>529</v>
      </c>
      <c r="I74">
        <v>49.99</v>
      </c>
      <c r="J74" t="s">
        <v>4461</v>
      </c>
      <c r="L74">
        <v>0</v>
      </c>
    </row>
    <row r="75" spans="1:12" x14ac:dyDescent="0.2">
      <c r="A75" t="s">
        <v>594</v>
      </c>
      <c r="B75" t="s">
        <v>4519</v>
      </c>
      <c r="C75" t="s">
        <v>2088</v>
      </c>
      <c r="D75" t="s">
        <v>4520</v>
      </c>
      <c r="F75" t="s">
        <v>2089</v>
      </c>
      <c r="G75">
        <v>7.99</v>
      </c>
      <c r="H75" t="s">
        <v>529</v>
      </c>
      <c r="I75">
        <v>14.99</v>
      </c>
      <c r="J75" t="s">
        <v>4521</v>
      </c>
      <c r="L75">
        <v>0</v>
      </c>
    </row>
    <row r="76" spans="1:12" x14ac:dyDescent="0.2">
      <c r="A76" t="s">
        <v>594</v>
      </c>
      <c r="B76" t="s">
        <v>4519</v>
      </c>
      <c r="C76" t="s">
        <v>2494</v>
      </c>
      <c r="D76" t="s">
        <v>4522</v>
      </c>
      <c r="E76" t="s">
        <v>383</v>
      </c>
      <c r="F76" t="s">
        <v>2573</v>
      </c>
      <c r="G76">
        <v>6.99</v>
      </c>
      <c r="H76" t="s">
        <v>529</v>
      </c>
      <c r="I76">
        <v>12.99</v>
      </c>
      <c r="J76" t="s">
        <v>4523</v>
      </c>
      <c r="L76">
        <v>0</v>
      </c>
    </row>
    <row r="77" spans="1:12" x14ac:dyDescent="0.2">
      <c r="A77" t="s">
        <v>594</v>
      </c>
      <c r="B77" t="s">
        <v>4519</v>
      </c>
      <c r="C77" t="s">
        <v>2494</v>
      </c>
      <c r="D77" t="s">
        <v>4524</v>
      </c>
      <c r="E77" t="s">
        <v>370</v>
      </c>
      <c r="F77" t="s">
        <v>2575</v>
      </c>
      <c r="G77">
        <v>6.99</v>
      </c>
      <c r="H77" t="s">
        <v>529</v>
      </c>
      <c r="I77">
        <v>12.99</v>
      </c>
      <c r="J77" t="s">
        <v>4523</v>
      </c>
      <c r="L77">
        <v>0</v>
      </c>
    </row>
    <row r="78" spans="1:12" x14ac:dyDescent="0.2">
      <c r="A78" t="s">
        <v>594</v>
      </c>
      <c r="B78" t="s">
        <v>4519</v>
      </c>
      <c r="C78" t="s">
        <v>2494</v>
      </c>
      <c r="D78" t="s">
        <v>4525</v>
      </c>
      <c r="E78" t="s">
        <v>374</v>
      </c>
      <c r="F78" t="s">
        <v>2578</v>
      </c>
      <c r="G78">
        <v>6.99</v>
      </c>
      <c r="H78" t="s">
        <v>529</v>
      </c>
      <c r="I78">
        <v>12.99</v>
      </c>
      <c r="J78" t="s">
        <v>4523</v>
      </c>
      <c r="L78">
        <v>0</v>
      </c>
    </row>
    <row r="79" spans="1:12" x14ac:dyDescent="0.2">
      <c r="A79" t="s">
        <v>594</v>
      </c>
      <c r="B79" t="s">
        <v>4519</v>
      </c>
      <c r="C79" t="s">
        <v>3742</v>
      </c>
      <c r="D79" t="s">
        <v>4526</v>
      </c>
      <c r="F79" t="s">
        <v>3745</v>
      </c>
      <c r="G79">
        <v>12.99</v>
      </c>
      <c r="H79" t="s">
        <v>529</v>
      </c>
      <c r="I79">
        <v>24.990000000000002</v>
      </c>
      <c r="J79" t="s">
        <v>4422</v>
      </c>
      <c r="L79">
        <v>0</v>
      </c>
    </row>
    <row r="80" spans="1:12" x14ac:dyDescent="0.2">
      <c r="A80" t="s">
        <v>594</v>
      </c>
      <c r="B80" t="s">
        <v>4519</v>
      </c>
      <c r="C80" t="s">
        <v>3727</v>
      </c>
      <c r="D80" t="s">
        <v>4527</v>
      </c>
      <c r="E80" t="s">
        <v>4528</v>
      </c>
      <c r="F80" t="s">
        <v>3746</v>
      </c>
      <c r="G80">
        <v>6.99</v>
      </c>
      <c r="H80" t="s">
        <v>529</v>
      </c>
      <c r="I80">
        <v>12.99</v>
      </c>
      <c r="J80" t="s">
        <v>4422</v>
      </c>
      <c r="L80">
        <v>0</v>
      </c>
    </row>
    <row r="81" spans="1:12" x14ac:dyDescent="0.2">
      <c r="A81" t="s">
        <v>594</v>
      </c>
      <c r="B81" t="s">
        <v>4519</v>
      </c>
      <c r="C81" t="s">
        <v>3727</v>
      </c>
      <c r="D81" t="s">
        <v>4529</v>
      </c>
      <c r="E81" t="s">
        <v>369</v>
      </c>
      <c r="F81" t="s">
        <v>3747</v>
      </c>
      <c r="G81">
        <v>6.99</v>
      </c>
      <c r="H81" t="s">
        <v>529</v>
      </c>
      <c r="I81">
        <v>12.99</v>
      </c>
      <c r="J81" t="s">
        <v>4422</v>
      </c>
      <c r="L81">
        <v>0</v>
      </c>
    </row>
    <row r="82" spans="1:12" x14ac:dyDescent="0.2">
      <c r="A82" t="s">
        <v>594</v>
      </c>
      <c r="B82" t="s">
        <v>4519</v>
      </c>
      <c r="C82" t="s">
        <v>3727</v>
      </c>
      <c r="D82" t="s">
        <v>4530</v>
      </c>
      <c r="E82" t="s">
        <v>4531</v>
      </c>
      <c r="F82" t="s">
        <v>3748</v>
      </c>
      <c r="G82">
        <v>6.99</v>
      </c>
      <c r="H82" t="s">
        <v>529</v>
      </c>
      <c r="I82">
        <v>12.99</v>
      </c>
      <c r="J82" t="s">
        <v>4422</v>
      </c>
      <c r="L82">
        <v>0</v>
      </c>
    </row>
    <row r="83" spans="1:12" x14ac:dyDescent="0.2">
      <c r="A83" t="s">
        <v>594</v>
      </c>
      <c r="B83" t="s">
        <v>4519</v>
      </c>
      <c r="C83" t="s">
        <v>2501</v>
      </c>
      <c r="D83" t="s">
        <v>4532</v>
      </c>
      <c r="F83" t="s">
        <v>2596</v>
      </c>
      <c r="G83">
        <v>12.99</v>
      </c>
      <c r="H83" t="s">
        <v>529</v>
      </c>
      <c r="I83">
        <v>24.990000000000002</v>
      </c>
      <c r="J83" t="s">
        <v>4523</v>
      </c>
      <c r="L83">
        <v>0</v>
      </c>
    </row>
    <row r="84" spans="1:12" x14ac:dyDescent="0.2">
      <c r="A84" t="s">
        <v>594</v>
      </c>
      <c r="B84" t="s">
        <v>4519</v>
      </c>
      <c r="C84" t="s">
        <v>3945</v>
      </c>
      <c r="D84" t="s">
        <v>4533</v>
      </c>
      <c r="F84" t="s">
        <v>4534</v>
      </c>
      <c r="G84">
        <v>12.99</v>
      </c>
      <c r="H84" t="s">
        <v>529</v>
      </c>
      <c r="I84">
        <v>24.990000000000002</v>
      </c>
      <c r="J84" t="s">
        <v>4523</v>
      </c>
      <c r="L84">
        <v>0</v>
      </c>
    </row>
    <row r="85" spans="1:12" x14ac:dyDescent="0.2">
      <c r="A85" t="s">
        <v>594</v>
      </c>
      <c r="B85" t="s">
        <v>4519</v>
      </c>
      <c r="C85" t="s">
        <v>3946</v>
      </c>
      <c r="D85" t="s">
        <v>4535</v>
      </c>
      <c r="F85" t="s">
        <v>4536</v>
      </c>
      <c r="G85">
        <v>21.99</v>
      </c>
      <c r="H85" t="s">
        <v>529</v>
      </c>
      <c r="I85">
        <v>39.99</v>
      </c>
      <c r="J85" t="s">
        <v>4523</v>
      </c>
      <c r="L85">
        <v>0</v>
      </c>
    </row>
    <row r="86" spans="1:12" x14ac:dyDescent="0.2">
      <c r="A86" t="s">
        <v>594</v>
      </c>
      <c r="B86" t="s">
        <v>4519</v>
      </c>
      <c r="C86" t="s">
        <v>3749</v>
      </c>
      <c r="D86" t="s">
        <v>4537</v>
      </c>
      <c r="F86" t="s">
        <v>3793</v>
      </c>
      <c r="G86">
        <v>17.989999999999998</v>
      </c>
      <c r="H86" t="s">
        <v>529</v>
      </c>
      <c r="I86">
        <v>34.99</v>
      </c>
      <c r="J86" t="s">
        <v>4523</v>
      </c>
      <c r="L86">
        <v>0</v>
      </c>
    </row>
    <row r="87" spans="1:12" x14ac:dyDescent="0.2">
      <c r="A87" t="s">
        <v>594</v>
      </c>
      <c r="B87" t="s">
        <v>4519</v>
      </c>
      <c r="C87" t="s">
        <v>3944</v>
      </c>
      <c r="D87" t="s">
        <v>4538</v>
      </c>
      <c r="F87" t="s">
        <v>4539</v>
      </c>
      <c r="G87">
        <v>26.990000000000002</v>
      </c>
      <c r="H87" t="s">
        <v>529</v>
      </c>
      <c r="I87">
        <v>49.99</v>
      </c>
      <c r="J87" t="s">
        <v>4523</v>
      </c>
      <c r="L87">
        <v>0</v>
      </c>
    </row>
    <row r="88" spans="1:12" x14ac:dyDescent="0.2">
      <c r="A88" t="s">
        <v>594</v>
      </c>
      <c r="B88" t="s">
        <v>4519</v>
      </c>
      <c r="C88" t="s">
        <v>3942</v>
      </c>
      <c r="D88" t="s">
        <v>4540</v>
      </c>
      <c r="F88" t="s">
        <v>4541</v>
      </c>
      <c r="G88">
        <v>36.99</v>
      </c>
      <c r="H88" t="s">
        <v>529</v>
      </c>
      <c r="I88">
        <v>69.990000000000009</v>
      </c>
      <c r="J88" t="s">
        <v>4542</v>
      </c>
      <c r="L88">
        <v>0</v>
      </c>
    </row>
    <row r="89" spans="1:12" x14ac:dyDescent="0.2">
      <c r="A89" t="s">
        <v>594</v>
      </c>
      <c r="B89" t="s">
        <v>4519</v>
      </c>
      <c r="C89" t="s">
        <v>3943</v>
      </c>
      <c r="D89" t="s">
        <v>4543</v>
      </c>
      <c r="F89" t="s">
        <v>4544</v>
      </c>
      <c r="G89">
        <v>46.99</v>
      </c>
      <c r="H89" t="s">
        <v>529</v>
      </c>
      <c r="I89">
        <v>89.990000000000009</v>
      </c>
      <c r="J89" t="s">
        <v>4542</v>
      </c>
      <c r="L89">
        <v>0</v>
      </c>
    </row>
    <row r="90" spans="1:12" x14ac:dyDescent="0.2">
      <c r="A90" t="s">
        <v>594</v>
      </c>
      <c r="B90" t="s">
        <v>4519</v>
      </c>
      <c r="C90" t="s">
        <v>1871</v>
      </c>
      <c r="D90" t="s">
        <v>4545</v>
      </c>
      <c r="F90" t="s">
        <v>1869</v>
      </c>
      <c r="G90">
        <v>6.99</v>
      </c>
      <c r="H90" t="s">
        <v>529</v>
      </c>
      <c r="I90">
        <v>12.99</v>
      </c>
      <c r="J90" t="s">
        <v>4546</v>
      </c>
      <c r="L90">
        <v>0</v>
      </c>
    </row>
    <row r="91" spans="1:12" x14ac:dyDescent="0.2">
      <c r="A91" t="s">
        <v>594</v>
      </c>
      <c r="B91" t="s">
        <v>4519</v>
      </c>
      <c r="C91" t="s">
        <v>1883</v>
      </c>
      <c r="D91" t="s">
        <v>4547</v>
      </c>
      <c r="F91" t="s">
        <v>1884</v>
      </c>
      <c r="G91">
        <v>7.99</v>
      </c>
      <c r="H91" t="s">
        <v>529</v>
      </c>
      <c r="I91">
        <v>14.99</v>
      </c>
      <c r="J91" t="s">
        <v>4546</v>
      </c>
      <c r="L91">
        <v>0</v>
      </c>
    </row>
    <row r="92" spans="1:12" x14ac:dyDescent="0.2">
      <c r="A92" t="s">
        <v>594</v>
      </c>
      <c r="B92" t="s">
        <v>4519</v>
      </c>
      <c r="C92" t="s">
        <v>1506</v>
      </c>
      <c r="D92" t="s">
        <v>4548</v>
      </c>
      <c r="F92" t="s">
        <v>1508</v>
      </c>
      <c r="G92">
        <v>11.99</v>
      </c>
      <c r="H92" t="s">
        <v>529</v>
      </c>
      <c r="I92">
        <v>19.989999999999998</v>
      </c>
      <c r="J92" t="s">
        <v>4420</v>
      </c>
      <c r="L92">
        <v>0</v>
      </c>
    </row>
    <row r="93" spans="1:12" x14ac:dyDescent="0.2">
      <c r="A93" t="s">
        <v>594</v>
      </c>
      <c r="B93" t="s">
        <v>4519</v>
      </c>
      <c r="C93" t="s">
        <v>1900</v>
      </c>
      <c r="D93" t="s">
        <v>4549</v>
      </c>
      <c r="F93" t="s">
        <v>1901</v>
      </c>
      <c r="G93">
        <v>20.99</v>
      </c>
      <c r="H93" t="s">
        <v>529</v>
      </c>
      <c r="I93">
        <v>39.99</v>
      </c>
      <c r="J93" t="s">
        <v>4420</v>
      </c>
      <c r="L93">
        <v>0</v>
      </c>
    </row>
    <row r="94" spans="1:12" x14ac:dyDescent="0.2">
      <c r="A94" t="s">
        <v>594</v>
      </c>
      <c r="B94" t="s">
        <v>4550</v>
      </c>
      <c r="C94" t="s">
        <v>1464</v>
      </c>
      <c r="D94" t="s">
        <v>4551</v>
      </c>
      <c r="F94" t="s">
        <v>1466</v>
      </c>
      <c r="G94">
        <v>17.989999999999998</v>
      </c>
      <c r="H94" t="s">
        <v>529</v>
      </c>
      <c r="I94">
        <v>29.990000000000002</v>
      </c>
      <c r="J94">
        <v>12</v>
      </c>
      <c r="L94">
        <v>0</v>
      </c>
    </row>
    <row r="95" spans="1:12" x14ac:dyDescent="0.2">
      <c r="A95" t="s">
        <v>594</v>
      </c>
      <c r="B95" t="s">
        <v>4550</v>
      </c>
      <c r="C95" t="s">
        <v>1898</v>
      </c>
      <c r="D95" t="s">
        <v>4552</v>
      </c>
      <c r="F95" t="s">
        <v>1899</v>
      </c>
      <c r="G95">
        <v>25.990000000000002</v>
      </c>
      <c r="H95" t="s">
        <v>529</v>
      </c>
      <c r="I95">
        <v>49.99</v>
      </c>
      <c r="J95">
        <v>6</v>
      </c>
      <c r="L95">
        <v>0</v>
      </c>
    </row>
    <row r="96" spans="1:12" x14ac:dyDescent="0.2">
      <c r="A96" t="s">
        <v>594</v>
      </c>
      <c r="B96" t="s">
        <v>4550</v>
      </c>
      <c r="C96" t="s">
        <v>1465</v>
      </c>
      <c r="D96" t="s">
        <v>4553</v>
      </c>
      <c r="F96" t="s">
        <v>1467</v>
      </c>
      <c r="G96">
        <v>7.99</v>
      </c>
      <c r="H96" t="s">
        <v>529</v>
      </c>
      <c r="I96">
        <v>14.99</v>
      </c>
      <c r="J96">
        <v>12</v>
      </c>
      <c r="L96">
        <v>0</v>
      </c>
    </row>
    <row r="97" spans="1:12" x14ac:dyDescent="0.2">
      <c r="A97" t="s">
        <v>594</v>
      </c>
      <c r="B97" t="s">
        <v>4550</v>
      </c>
      <c r="C97" t="s">
        <v>1469</v>
      </c>
      <c r="D97" t="s">
        <v>4554</v>
      </c>
      <c r="F97" t="s">
        <v>1468</v>
      </c>
      <c r="G97">
        <v>11.99</v>
      </c>
      <c r="H97" t="s">
        <v>529</v>
      </c>
      <c r="I97">
        <v>19.989999999999998</v>
      </c>
      <c r="J97">
        <v>12</v>
      </c>
      <c r="L97">
        <v>0</v>
      </c>
    </row>
    <row r="98" spans="1:12" x14ac:dyDescent="0.2">
      <c r="A98" t="s">
        <v>594</v>
      </c>
      <c r="B98" t="s">
        <v>4550</v>
      </c>
      <c r="C98" t="s">
        <v>3758</v>
      </c>
      <c r="D98" t="s">
        <v>4555</v>
      </c>
      <c r="F98" t="s">
        <v>3759</v>
      </c>
      <c r="G98">
        <v>26.990000000000002</v>
      </c>
      <c r="H98" t="s">
        <v>529</v>
      </c>
      <c r="I98">
        <v>49.99</v>
      </c>
      <c r="J98">
        <v>12</v>
      </c>
      <c r="L98">
        <v>0</v>
      </c>
    </row>
    <row r="99" spans="1:12" x14ac:dyDescent="0.2">
      <c r="A99" t="s">
        <v>594</v>
      </c>
      <c r="B99" t="s">
        <v>4550</v>
      </c>
      <c r="C99" t="s">
        <v>3965</v>
      </c>
      <c r="D99" t="s">
        <v>4556</v>
      </c>
      <c r="F99" t="s">
        <v>4557</v>
      </c>
      <c r="G99">
        <v>21.99</v>
      </c>
      <c r="H99" t="s">
        <v>529</v>
      </c>
      <c r="I99">
        <v>39.99</v>
      </c>
      <c r="J99">
        <v>12</v>
      </c>
      <c r="L99">
        <v>0</v>
      </c>
    </row>
    <row r="100" spans="1:12" x14ac:dyDescent="0.2">
      <c r="A100" t="s">
        <v>594</v>
      </c>
      <c r="B100" t="s">
        <v>4558</v>
      </c>
      <c r="C100" t="s">
        <v>3818</v>
      </c>
      <c r="D100" t="s">
        <v>4559</v>
      </c>
      <c r="E100" t="s">
        <v>293</v>
      </c>
      <c r="F100" t="s">
        <v>4560</v>
      </c>
      <c r="G100">
        <v>11.99</v>
      </c>
      <c r="H100" t="s">
        <v>529</v>
      </c>
      <c r="I100">
        <v>19.989999999999998</v>
      </c>
      <c r="J100">
        <v>12</v>
      </c>
      <c r="L100">
        <v>0</v>
      </c>
    </row>
    <row r="101" spans="1:12" x14ac:dyDescent="0.2">
      <c r="A101" t="s">
        <v>594</v>
      </c>
      <c r="B101" t="s">
        <v>4558</v>
      </c>
      <c r="C101" t="s">
        <v>3818</v>
      </c>
      <c r="D101" t="s">
        <v>4559</v>
      </c>
      <c r="E101" t="s">
        <v>4561</v>
      </c>
      <c r="F101" t="s">
        <v>4562</v>
      </c>
      <c r="G101">
        <v>11.99</v>
      </c>
      <c r="H101" t="s">
        <v>529</v>
      </c>
      <c r="I101">
        <v>19.989999999999998</v>
      </c>
      <c r="J101">
        <v>12</v>
      </c>
      <c r="L101">
        <v>0</v>
      </c>
    </row>
    <row r="102" spans="1:12" x14ac:dyDescent="0.2">
      <c r="A102" t="s">
        <v>594</v>
      </c>
      <c r="B102" t="s">
        <v>4558</v>
      </c>
      <c r="C102" t="s">
        <v>3753</v>
      </c>
      <c r="D102" t="s">
        <v>4563</v>
      </c>
      <c r="E102" t="s">
        <v>293</v>
      </c>
      <c r="F102" t="s">
        <v>4564</v>
      </c>
      <c r="G102">
        <v>13.99</v>
      </c>
      <c r="H102" t="s">
        <v>529</v>
      </c>
      <c r="I102">
        <v>24.990000000000002</v>
      </c>
      <c r="J102">
        <v>12</v>
      </c>
      <c r="L102">
        <v>0</v>
      </c>
    </row>
    <row r="103" spans="1:12" x14ac:dyDescent="0.2">
      <c r="A103" t="s">
        <v>594</v>
      </c>
      <c r="B103" t="s">
        <v>4558</v>
      </c>
      <c r="C103" t="s">
        <v>3753</v>
      </c>
      <c r="D103" t="s">
        <v>4563</v>
      </c>
      <c r="E103" t="s">
        <v>4561</v>
      </c>
      <c r="F103" t="s">
        <v>4565</v>
      </c>
      <c r="G103">
        <v>13.99</v>
      </c>
      <c r="H103" t="s">
        <v>529</v>
      </c>
      <c r="I103">
        <v>24.990000000000002</v>
      </c>
      <c r="J103">
        <v>12</v>
      </c>
      <c r="L103">
        <v>0</v>
      </c>
    </row>
    <row r="104" spans="1:12" x14ac:dyDescent="0.2">
      <c r="A104" t="s">
        <v>594</v>
      </c>
      <c r="B104" t="s">
        <v>4558</v>
      </c>
      <c r="C104" t="s">
        <v>835</v>
      </c>
      <c r="D104" t="s">
        <v>4566</v>
      </c>
      <c r="E104" t="s">
        <v>343</v>
      </c>
      <c r="F104" t="s">
        <v>4567</v>
      </c>
      <c r="G104">
        <v>1.59</v>
      </c>
      <c r="H104" t="s">
        <v>529</v>
      </c>
      <c r="I104">
        <v>2.99</v>
      </c>
      <c r="J104" t="s">
        <v>4568</v>
      </c>
      <c r="L104">
        <v>0</v>
      </c>
    </row>
    <row r="105" spans="1:12" x14ac:dyDescent="0.2">
      <c r="A105" t="s">
        <v>594</v>
      </c>
      <c r="B105" t="s">
        <v>4558</v>
      </c>
      <c r="C105" t="s">
        <v>835</v>
      </c>
      <c r="D105" t="s">
        <v>4566</v>
      </c>
      <c r="E105" t="s">
        <v>374</v>
      </c>
      <c r="F105" t="s">
        <v>840</v>
      </c>
      <c r="G105">
        <v>1.59</v>
      </c>
      <c r="H105" t="s">
        <v>529</v>
      </c>
      <c r="I105">
        <v>2.99</v>
      </c>
      <c r="J105" t="s">
        <v>4568</v>
      </c>
      <c r="L105">
        <v>0</v>
      </c>
    </row>
    <row r="106" spans="1:12" x14ac:dyDescent="0.2">
      <c r="A106" t="s">
        <v>594</v>
      </c>
      <c r="B106" t="s">
        <v>4558</v>
      </c>
      <c r="C106" t="s">
        <v>2498</v>
      </c>
      <c r="D106" t="s">
        <v>4569</v>
      </c>
      <c r="F106" t="s">
        <v>2584</v>
      </c>
      <c r="G106">
        <v>11.99</v>
      </c>
      <c r="H106" t="s">
        <v>529</v>
      </c>
      <c r="I106">
        <v>19.989999999999998</v>
      </c>
      <c r="J106" t="s">
        <v>4420</v>
      </c>
      <c r="L106">
        <v>0</v>
      </c>
    </row>
    <row r="107" spans="1:12" x14ac:dyDescent="0.2">
      <c r="A107" t="s">
        <v>594</v>
      </c>
      <c r="B107" t="s">
        <v>4558</v>
      </c>
      <c r="C107" t="s">
        <v>837</v>
      </c>
      <c r="D107" t="s">
        <v>838</v>
      </c>
      <c r="F107" t="s">
        <v>769</v>
      </c>
      <c r="G107">
        <v>1.59</v>
      </c>
      <c r="H107" t="s">
        <v>529</v>
      </c>
      <c r="I107">
        <v>2.99</v>
      </c>
      <c r="J107" t="s">
        <v>4570</v>
      </c>
      <c r="L107">
        <v>0</v>
      </c>
    </row>
    <row r="108" spans="1:12" x14ac:dyDescent="0.2">
      <c r="A108" t="s">
        <v>594</v>
      </c>
      <c r="B108" t="s">
        <v>4558</v>
      </c>
      <c r="C108" t="s">
        <v>1126</v>
      </c>
      <c r="D108" t="s">
        <v>4571</v>
      </c>
      <c r="F108" t="s">
        <v>1634</v>
      </c>
      <c r="G108">
        <v>1.19</v>
      </c>
      <c r="H108" t="s">
        <v>529</v>
      </c>
      <c r="I108">
        <v>1.99</v>
      </c>
      <c r="J108">
        <v>24</v>
      </c>
      <c r="L108">
        <v>0</v>
      </c>
    </row>
    <row r="109" spans="1:12" x14ac:dyDescent="0.2">
      <c r="A109" t="s">
        <v>594</v>
      </c>
      <c r="B109" t="s">
        <v>4558</v>
      </c>
      <c r="C109" t="s">
        <v>1027</v>
      </c>
      <c r="D109" t="s">
        <v>4572</v>
      </c>
      <c r="F109" t="s">
        <v>1029</v>
      </c>
      <c r="G109">
        <v>0.99</v>
      </c>
      <c r="H109" t="s">
        <v>529</v>
      </c>
      <c r="I109">
        <v>1.59</v>
      </c>
      <c r="J109" t="s">
        <v>4570</v>
      </c>
      <c r="L109">
        <v>0</v>
      </c>
    </row>
    <row r="110" spans="1:12" x14ac:dyDescent="0.2">
      <c r="A110" t="s">
        <v>594</v>
      </c>
      <c r="B110" t="s">
        <v>4558</v>
      </c>
      <c r="C110" t="s">
        <v>4353</v>
      </c>
      <c r="D110" t="s">
        <v>4573</v>
      </c>
      <c r="F110" t="s">
        <v>4574</v>
      </c>
      <c r="G110">
        <v>1.59</v>
      </c>
      <c r="H110" t="s">
        <v>529</v>
      </c>
      <c r="I110">
        <v>2.99</v>
      </c>
      <c r="L110">
        <v>0</v>
      </c>
    </row>
    <row r="111" spans="1:12" x14ac:dyDescent="0.2">
      <c r="A111" t="s">
        <v>594</v>
      </c>
      <c r="B111" t="s">
        <v>4558</v>
      </c>
      <c r="C111" t="s">
        <v>4295</v>
      </c>
      <c r="D111" t="s">
        <v>4575</v>
      </c>
      <c r="F111" t="s">
        <v>4576</v>
      </c>
      <c r="G111">
        <v>1.59</v>
      </c>
      <c r="H111" t="s">
        <v>529</v>
      </c>
      <c r="I111">
        <v>2.99</v>
      </c>
      <c r="J111">
        <v>12</v>
      </c>
      <c r="L111">
        <v>0</v>
      </c>
    </row>
    <row r="112" spans="1:12" x14ac:dyDescent="0.2">
      <c r="A112" t="s">
        <v>594</v>
      </c>
      <c r="B112" t="s">
        <v>4558</v>
      </c>
      <c r="C112" t="s">
        <v>3966</v>
      </c>
      <c r="D112" t="s">
        <v>4577</v>
      </c>
      <c r="F112" t="s">
        <v>4578</v>
      </c>
      <c r="G112">
        <v>3.19</v>
      </c>
      <c r="H112" t="s">
        <v>529</v>
      </c>
      <c r="I112">
        <v>5.99</v>
      </c>
      <c r="J112" t="s">
        <v>4579</v>
      </c>
      <c r="L112">
        <v>0</v>
      </c>
    </row>
    <row r="113" spans="1:12" x14ac:dyDescent="0.2">
      <c r="A113" t="s">
        <v>594</v>
      </c>
      <c r="B113" t="s">
        <v>4558</v>
      </c>
      <c r="C113" t="s">
        <v>4354</v>
      </c>
      <c r="D113" t="s">
        <v>4580</v>
      </c>
      <c r="F113" t="s">
        <v>4581</v>
      </c>
      <c r="G113">
        <v>2.99</v>
      </c>
      <c r="H113" t="s">
        <v>529</v>
      </c>
      <c r="I113">
        <v>4.99</v>
      </c>
      <c r="L113">
        <v>0</v>
      </c>
    </row>
    <row r="114" spans="1:12" x14ac:dyDescent="0.2">
      <c r="A114" t="s">
        <v>594</v>
      </c>
      <c r="B114" t="s">
        <v>4558</v>
      </c>
      <c r="C114" t="s">
        <v>4355</v>
      </c>
      <c r="D114" t="s">
        <v>4582</v>
      </c>
      <c r="F114" t="s">
        <v>4583</v>
      </c>
      <c r="G114">
        <v>5.99</v>
      </c>
      <c r="H114" t="s">
        <v>529</v>
      </c>
      <c r="I114">
        <v>9.99</v>
      </c>
      <c r="L114">
        <v>0</v>
      </c>
    </row>
    <row r="115" spans="1:12" x14ac:dyDescent="0.2">
      <c r="A115" t="s">
        <v>594</v>
      </c>
      <c r="B115" t="s">
        <v>4558</v>
      </c>
      <c r="C115" t="s">
        <v>4404</v>
      </c>
      <c r="D115" t="s">
        <v>4584</v>
      </c>
      <c r="F115" t="s">
        <v>4585</v>
      </c>
      <c r="G115">
        <v>7.99</v>
      </c>
      <c r="H115" t="s">
        <v>529</v>
      </c>
      <c r="I115">
        <v>14.99</v>
      </c>
      <c r="L115">
        <v>0</v>
      </c>
    </row>
    <row r="116" spans="1:12" x14ac:dyDescent="0.2">
      <c r="A116" t="s">
        <v>594</v>
      </c>
      <c r="B116" t="s">
        <v>4558</v>
      </c>
      <c r="C116" t="s">
        <v>833</v>
      </c>
      <c r="D116" t="s">
        <v>4586</v>
      </c>
      <c r="F116" t="s">
        <v>64</v>
      </c>
      <c r="G116">
        <v>2.99</v>
      </c>
      <c r="H116" t="s">
        <v>529</v>
      </c>
      <c r="I116">
        <v>4.99</v>
      </c>
      <c r="J116" t="s">
        <v>4568</v>
      </c>
      <c r="L116">
        <v>0</v>
      </c>
    </row>
    <row r="117" spans="1:12" x14ac:dyDescent="0.2">
      <c r="A117" t="s">
        <v>594</v>
      </c>
      <c r="B117" t="s">
        <v>4558</v>
      </c>
      <c r="C117" t="s">
        <v>834</v>
      </c>
      <c r="D117" t="s">
        <v>4587</v>
      </c>
      <c r="F117" t="s">
        <v>63</v>
      </c>
      <c r="G117">
        <v>4.6900000000000004</v>
      </c>
      <c r="H117" t="s">
        <v>529</v>
      </c>
      <c r="I117">
        <v>7.99</v>
      </c>
      <c r="J117" t="s">
        <v>4588</v>
      </c>
      <c r="L117">
        <v>0</v>
      </c>
    </row>
    <row r="118" spans="1:12" x14ac:dyDescent="0.2">
      <c r="A118" t="s">
        <v>594</v>
      </c>
      <c r="B118" t="s">
        <v>4558</v>
      </c>
      <c r="C118" t="s">
        <v>4589</v>
      </c>
      <c r="D118" t="s">
        <v>4590</v>
      </c>
      <c r="F118" t="s">
        <v>659</v>
      </c>
      <c r="G118">
        <v>2.99</v>
      </c>
      <c r="H118" t="s">
        <v>529</v>
      </c>
      <c r="I118">
        <v>4.99</v>
      </c>
      <c r="J118" t="s">
        <v>4591</v>
      </c>
      <c r="L118">
        <v>0</v>
      </c>
    </row>
    <row r="119" spans="1:12" x14ac:dyDescent="0.2">
      <c r="A119" t="s">
        <v>594</v>
      </c>
      <c r="B119" t="s">
        <v>4558</v>
      </c>
      <c r="C119" t="s">
        <v>710</v>
      </c>
      <c r="D119" t="s">
        <v>4592</v>
      </c>
      <c r="E119" t="s">
        <v>343</v>
      </c>
      <c r="F119" t="s">
        <v>711</v>
      </c>
      <c r="G119">
        <v>4.6900000000000004</v>
      </c>
      <c r="H119" t="s">
        <v>529</v>
      </c>
      <c r="I119">
        <v>7.99</v>
      </c>
      <c r="J119" t="s">
        <v>4593</v>
      </c>
      <c r="L119">
        <v>0</v>
      </c>
    </row>
    <row r="120" spans="1:12" x14ac:dyDescent="0.2">
      <c r="A120" t="s">
        <v>594</v>
      </c>
      <c r="B120" t="s">
        <v>4558</v>
      </c>
      <c r="C120" t="s">
        <v>710</v>
      </c>
      <c r="D120" t="s">
        <v>4592</v>
      </c>
      <c r="E120" t="s">
        <v>374</v>
      </c>
      <c r="F120" t="s">
        <v>841</v>
      </c>
      <c r="G120">
        <v>4.6900000000000004</v>
      </c>
      <c r="H120" t="s">
        <v>529</v>
      </c>
      <c r="I120">
        <v>7.99</v>
      </c>
      <c r="J120" t="s">
        <v>4593</v>
      </c>
      <c r="L120">
        <v>0</v>
      </c>
    </row>
    <row r="121" spans="1:12" x14ac:dyDescent="0.2">
      <c r="A121" t="s">
        <v>594</v>
      </c>
      <c r="B121" t="s">
        <v>4558</v>
      </c>
      <c r="C121" t="s">
        <v>710</v>
      </c>
      <c r="D121" t="s">
        <v>4592</v>
      </c>
      <c r="E121" t="s">
        <v>372</v>
      </c>
      <c r="F121" t="s">
        <v>712</v>
      </c>
      <c r="G121">
        <v>4.6900000000000004</v>
      </c>
      <c r="H121" t="s">
        <v>529</v>
      </c>
      <c r="I121">
        <v>7.99</v>
      </c>
      <c r="J121" t="s">
        <v>4593</v>
      </c>
      <c r="L121">
        <v>0</v>
      </c>
    </row>
    <row r="122" spans="1:12" x14ac:dyDescent="0.2">
      <c r="A122" t="s">
        <v>594</v>
      </c>
      <c r="B122" t="s">
        <v>4558</v>
      </c>
      <c r="C122" t="s">
        <v>913</v>
      </c>
      <c r="D122" t="s">
        <v>4594</v>
      </c>
      <c r="F122" t="s">
        <v>928</v>
      </c>
      <c r="G122">
        <v>0.99</v>
      </c>
      <c r="H122" t="s">
        <v>529</v>
      </c>
      <c r="I122">
        <v>1.59</v>
      </c>
      <c r="J122" t="s">
        <v>4595</v>
      </c>
      <c r="L122">
        <v>0</v>
      </c>
    </row>
    <row r="123" spans="1:12" x14ac:dyDescent="0.2">
      <c r="A123" t="s">
        <v>594</v>
      </c>
      <c r="B123" t="s">
        <v>4558</v>
      </c>
      <c r="C123" t="s">
        <v>914</v>
      </c>
      <c r="D123" t="s">
        <v>4596</v>
      </c>
      <c r="F123" t="s">
        <v>929</v>
      </c>
      <c r="G123">
        <v>1.59</v>
      </c>
      <c r="H123" t="s">
        <v>529</v>
      </c>
      <c r="I123">
        <v>2.99</v>
      </c>
      <c r="J123" t="s">
        <v>4568</v>
      </c>
      <c r="L123">
        <v>0</v>
      </c>
    </row>
    <row r="124" spans="1:12" x14ac:dyDescent="0.2">
      <c r="A124" t="s">
        <v>594</v>
      </c>
      <c r="B124" t="s">
        <v>4558</v>
      </c>
      <c r="C124" t="s">
        <v>4350</v>
      </c>
      <c r="D124" t="s">
        <v>4402</v>
      </c>
      <c r="F124" t="s">
        <v>4597</v>
      </c>
      <c r="G124">
        <v>2.99</v>
      </c>
      <c r="H124" t="s">
        <v>529</v>
      </c>
      <c r="I124">
        <v>4.99</v>
      </c>
      <c r="J124" t="s">
        <v>4593</v>
      </c>
      <c r="L124">
        <v>0</v>
      </c>
    </row>
    <row r="125" spans="1:12" x14ac:dyDescent="0.2">
      <c r="A125" t="s">
        <v>594</v>
      </c>
      <c r="B125" t="s">
        <v>4558</v>
      </c>
      <c r="C125" t="s">
        <v>2493</v>
      </c>
      <c r="D125" t="s">
        <v>4598</v>
      </c>
      <c r="F125" t="s">
        <v>2581</v>
      </c>
      <c r="G125">
        <v>11.99</v>
      </c>
      <c r="H125" t="s">
        <v>529</v>
      </c>
      <c r="I125">
        <v>19.989999999999998</v>
      </c>
      <c r="J125" t="s">
        <v>4546</v>
      </c>
      <c r="L125">
        <v>0</v>
      </c>
    </row>
    <row r="126" spans="1:12" x14ac:dyDescent="0.2">
      <c r="A126" t="s">
        <v>594</v>
      </c>
      <c r="B126" t="s">
        <v>4558</v>
      </c>
      <c r="C126" t="s">
        <v>3755</v>
      </c>
      <c r="D126" t="s">
        <v>4599</v>
      </c>
      <c r="F126" t="s">
        <v>3757</v>
      </c>
      <c r="G126">
        <v>11.99</v>
      </c>
      <c r="H126" t="s">
        <v>529</v>
      </c>
      <c r="I126">
        <v>19.989999999999998</v>
      </c>
      <c r="J126" t="s">
        <v>4546</v>
      </c>
      <c r="L126">
        <v>0</v>
      </c>
    </row>
    <row r="127" spans="1:12" x14ac:dyDescent="0.2">
      <c r="A127" t="s">
        <v>594</v>
      </c>
      <c r="B127" t="s">
        <v>4558</v>
      </c>
      <c r="C127" t="s">
        <v>2085</v>
      </c>
      <c r="D127" t="s">
        <v>4600</v>
      </c>
      <c r="F127" t="s">
        <v>2086</v>
      </c>
      <c r="G127">
        <v>5.49</v>
      </c>
      <c r="H127" t="s">
        <v>529</v>
      </c>
      <c r="I127">
        <v>9.99</v>
      </c>
      <c r="J127" t="s">
        <v>4588</v>
      </c>
      <c r="L127">
        <v>0</v>
      </c>
    </row>
    <row r="128" spans="1:12" x14ac:dyDescent="0.2">
      <c r="A128" t="s">
        <v>594</v>
      </c>
      <c r="B128" t="s">
        <v>4558</v>
      </c>
      <c r="C128" t="s">
        <v>2084</v>
      </c>
      <c r="D128" t="s">
        <v>4601</v>
      </c>
      <c r="F128" t="s">
        <v>2087</v>
      </c>
      <c r="G128">
        <v>5.49</v>
      </c>
      <c r="H128" t="s">
        <v>529</v>
      </c>
      <c r="I128">
        <v>9.99</v>
      </c>
      <c r="J128" t="s">
        <v>4579</v>
      </c>
      <c r="L128">
        <v>0</v>
      </c>
    </row>
    <row r="129" spans="1:12" x14ac:dyDescent="0.2">
      <c r="A129" t="s">
        <v>594</v>
      </c>
      <c r="B129" t="s">
        <v>4558</v>
      </c>
      <c r="C129" t="s">
        <v>836</v>
      </c>
      <c r="D129" t="s">
        <v>4602</v>
      </c>
      <c r="F129" t="s">
        <v>839</v>
      </c>
      <c r="G129">
        <v>1.69</v>
      </c>
      <c r="H129" t="s">
        <v>529</v>
      </c>
      <c r="I129">
        <v>2.99</v>
      </c>
      <c r="J129" t="s">
        <v>4593</v>
      </c>
      <c r="L129">
        <v>0</v>
      </c>
    </row>
    <row r="130" spans="1:12" x14ac:dyDescent="0.2">
      <c r="A130" t="s">
        <v>594</v>
      </c>
      <c r="B130" t="s">
        <v>4603</v>
      </c>
      <c r="C130" t="s">
        <v>530</v>
      </c>
      <c r="D130" t="s">
        <v>4604</v>
      </c>
      <c r="E130" t="s">
        <v>2679</v>
      </c>
      <c r="F130" t="s">
        <v>194</v>
      </c>
      <c r="G130">
        <v>6.99</v>
      </c>
      <c r="H130" t="s">
        <v>529</v>
      </c>
      <c r="I130">
        <v>11.99</v>
      </c>
      <c r="J130" t="s">
        <v>4605</v>
      </c>
      <c r="L130">
        <v>0</v>
      </c>
    </row>
    <row r="131" spans="1:12" x14ac:dyDescent="0.2">
      <c r="A131" t="s">
        <v>594</v>
      </c>
      <c r="B131" t="s">
        <v>4603</v>
      </c>
      <c r="C131" t="s">
        <v>1881</v>
      </c>
      <c r="D131" t="s">
        <v>3075</v>
      </c>
      <c r="E131" t="s">
        <v>1988</v>
      </c>
      <c r="F131" t="s">
        <v>1882</v>
      </c>
      <c r="G131">
        <v>18.989999999999998</v>
      </c>
      <c r="H131" t="s">
        <v>529</v>
      </c>
      <c r="I131">
        <v>34.99</v>
      </c>
      <c r="J131">
        <v>4</v>
      </c>
      <c r="L131">
        <v>0</v>
      </c>
    </row>
    <row r="132" spans="1:12" x14ac:dyDescent="0.2">
      <c r="A132" t="s">
        <v>594</v>
      </c>
      <c r="B132" t="s">
        <v>4603</v>
      </c>
      <c r="C132" t="s">
        <v>1881</v>
      </c>
      <c r="D132" t="s">
        <v>3075</v>
      </c>
      <c r="E132" t="s">
        <v>374</v>
      </c>
      <c r="F132" t="s">
        <v>1983</v>
      </c>
      <c r="G132">
        <v>18.989999999999998</v>
      </c>
      <c r="H132" t="s">
        <v>529</v>
      </c>
      <c r="I132">
        <v>34.99</v>
      </c>
      <c r="J132">
        <v>4</v>
      </c>
      <c r="L132">
        <v>0</v>
      </c>
    </row>
    <row r="133" spans="1:12" x14ac:dyDescent="0.2">
      <c r="A133" t="s">
        <v>594</v>
      </c>
      <c r="B133" t="s">
        <v>4603</v>
      </c>
      <c r="C133" t="s">
        <v>1881</v>
      </c>
      <c r="D133" t="s">
        <v>3075</v>
      </c>
      <c r="E133" t="s">
        <v>1949</v>
      </c>
      <c r="F133" t="s">
        <v>1948</v>
      </c>
      <c r="G133">
        <v>18.989999999999998</v>
      </c>
      <c r="H133" t="s">
        <v>529</v>
      </c>
      <c r="I133">
        <v>34.99</v>
      </c>
      <c r="J133">
        <v>4</v>
      </c>
      <c r="L133">
        <v>0</v>
      </c>
    </row>
    <row r="134" spans="1:12" x14ac:dyDescent="0.2">
      <c r="A134" t="s">
        <v>594</v>
      </c>
      <c r="B134" t="s">
        <v>4603</v>
      </c>
      <c r="C134" t="s">
        <v>1984</v>
      </c>
      <c r="D134" t="s">
        <v>3075</v>
      </c>
      <c r="E134" t="s">
        <v>1988</v>
      </c>
      <c r="F134" t="s">
        <v>1985</v>
      </c>
      <c r="G134">
        <v>25.990000000000002</v>
      </c>
      <c r="H134" t="s">
        <v>529</v>
      </c>
      <c r="I134">
        <v>49.99</v>
      </c>
      <c r="J134">
        <v>4</v>
      </c>
      <c r="L134">
        <v>0</v>
      </c>
    </row>
    <row r="135" spans="1:12" x14ac:dyDescent="0.2">
      <c r="A135" t="s">
        <v>594</v>
      </c>
      <c r="B135" t="s">
        <v>4603</v>
      </c>
      <c r="C135" t="s">
        <v>1984</v>
      </c>
      <c r="D135" t="s">
        <v>3075</v>
      </c>
      <c r="E135" t="s">
        <v>1740</v>
      </c>
      <c r="F135" t="s">
        <v>1986</v>
      </c>
      <c r="G135">
        <v>25.990000000000002</v>
      </c>
      <c r="H135" t="s">
        <v>529</v>
      </c>
      <c r="I135">
        <v>49.99</v>
      </c>
      <c r="J135">
        <v>4</v>
      </c>
      <c r="L135">
        <v>0</v>
      </c>
    </row>
    <row r="136" spans="1:12" x14ac:dyDescent="0.2">
      <c r="A136" t="s">
        <v>594</v>
      </c>
      <c r="B136" t="s">
        <v>4603</v>
      </c>
      <c r="C136" t="s">
        <v>1984</v>
      </c>
      <c r="D136" t="s">
        <v>3075</v>
      </c>
      <c r="E136" t="s">
        <v>374</v>
      </c>
      <c r="F136" t="s">
        <v>1987</v>
      </c>
      <c r="G136">
        <v>25.990000000000002</v>
      </c>
      <c r="H136" t="s">
        <v>529</v>
      </c>
      <c r="I136">
        <v>49.99</v>
      </c>
      <c r="J136">
        <v>4</v>
      </c>
      <c r="L136">
        <v>0</v>
      </c>
    </row>
    <row r="137" spans="1:12" x14ac:dyDescent="0.2">
      <c r="A137" t="s">
        <v>4606</v>
      </c>
      <c r="B137" t="s">
        <v>4607</v>
      </c>
      <c r="C137" t="s">
        <v>3733</v>
      </c>
      <c r="D137" t="s">
        <v>4608</v>
      </c>
      <c r="E137" t="s">
        <v>3735</v>
      </c>
      <c r="F137" t="s">
        <v>4609</v>
      </c>
      <c r="G137">
        <v>23.19</v>
      </c>
      <c r="H137">
        <v>29.990000000000002</v>
      </c>
      <c r="I137">
        <v>39.99</v>
      </c>
      <c r="J137" t="s">
        <v>4422</v>
      </c>
      <c r="L137">
        <v>0</v>
      </c>
    </row>
    <row r="138" spans="1:12" x14ac:dyDescent="0.2">
      <c r="A138" t="s">
        <v>4606</v>
      </c>
      <c r="B138" t="s">
        <v>4607</v>
      </c>
      <c r="C138" t="s">
        <v>3733</v>
      </c>
      <c r="D138" t="s">
        <v>4608</v>
      </c>
      <c r="E138" t="s">
        <v>383</v>
      </c>
      <c r="F138" t="s">
        <v>4610</v>
      </c>
      <c r="G138">
        <v>23.19</v>
      </c>
      <c r="H138">
        <v>29.990000000000002</v>
      </c>
      <c r="I138">
        <v>39.99</v>
      </c>
      <c r="J138" t="s">
        <v>4422</v>
      </c>
      <c r="L138">
        <v>0</v>
      </c>
    </row>
    <row r="139" spans="1:12" x14ac:dyDescent="0.2">
      <c r="A139" t="s">
        <v>4606</v>
      </c>
      <c r="B139" t="s">
        <v>4607</v>
      </c>
      <c r="C139" t="s">
        <v>3733</v>
      </c>
      <c r="D139" t="s">
        <v>4608</v>
      </c>
      <c r="E139" t="s">
        <v>374</v>
      </c>
      <c r="F139" t="s">
        <v>4611</v>
      </c>
      <c r="G139">
        <v>23.19</v>
      </c>
      <c r="H139">
        <v>29.990000000000002</v>
      </c>
      <c r="I139">
        <v>39.99</v>
      </c>
      <c r="J139" t="s">
        <v>4422</v>
      </c>
      <c r="L139">
        <v>0</v>
      </c>
    </row>
    <row r="140" spans="1:12" x14ac:dyDescent="0.2">
      <c r="A140" t="s">
        <v>4606</v>
      </c>
      <c r="B140" t="s">
        <v>4607</v>
      </c>
      <c r="C140" t="s">
        <v>3733</v>
      </c>
      <c r="D140" t="s">
        <v>4608</v>
      </c>
      <c r="E140" t="s">
        <v>306</v>
      </c>
      <c r="F140" t="s">
        <v>4612</v>
      </c>
      <c r="G140">
        <v>23.19</v>
      </c>
      <c r="H140">
        <v>29.990000000000002</v>
      </c>
      <c r="I140">
        <v>39.99</v>
      </c>
      <c r="J140" t="s">
        <v>4422</v>
      </c>
      <c r="L140">
        <v>0</v>
      </c>
    </row>
    <row r="141" spans="1:12" x14ac:dyDescent="0.2">
      <c r="A141" t="s">
        <v>4606</v>
      </c>
      <c r="B141" t="s">
        <v>4607</v>
      </c>
      <c r="C141" t="s">
        <v>3901</v>
      </c>
      <c r="D141" t="s">
        <v>4613</v>
      </c>
      <c r="F141" t="s">
        <v>4614</v>
      </c>
      <c r="G141">
        <v>27.990000000000002</v>
      </c>
      <c r="H141">
        <v>39.99</v>
      </c>
      <c r="I141">
        <v>49.99</v>
      </c>
      <c r="J141" t="s">
        <v>4422</v>
      </c>
      <c r="L141">
        <v>0</v>
      </c>
    </row>
    <row r="142" spans="1:12" x14ac:dyDescent="0.2">
      <c r="A142" t="s">
        <v>4606</v>
      </c>
      <c r="B142" t="s">
        <v>4607</v>
      </c>
      <c r="C142" t="s">
        <v>4014</v>
      </c>
      <c r="D142" t="s">
        <v>4615</v>
      </c>
      <c r="E142" t="s">
        <v>371</v>
      </c>
      <c r="F142" t="s">
        <v>4616</v>
      </c>
      <c r="G142">
        <v>58.99</v>
      </c>
      <c r="H142">
        <v>79.990000000000009</v>
      </c>
      <c r="I142">
        <v>99.990000000000009</v>
      </c>
      <c r="J142" t="s">
        <v>4422</v>
      </c>
      <c r="L142">
        <v>0</v>
      </c>
    </row>
    <row r="143" spans="1:12" x14ac:dyDescent="0.2">
      <c r="A143" t="s">
        <v>4606</v>
      </c>
      <c r="B143" t="s">
        <v>4607</v>
      </c>
      <c r="C143" t="s">
        <v>4014</v>
      </c>
      <c r="D143" t="s">
        <v>4615</v>
      </c>
      <c r="E143" t="s">
        <v>293</v>
      </c>
      <c r="F143" t="s">
        <v>4617</v>
      </c>
      <c r="G143">
        <v>58.99</v>
      </c>
      <c r="H143">
        <v>79.990000000000009</v>
      </c>
      <c r="I143">
        <v>99.990000000000009</v>
      </c>
      <c r="J143" t="s">
        <v>4422</v>
      </c>
      <c r="L143">
        <v>0</v>
      </c>
    </row>
    <row r="144" spans="1:12" x14ac:dyDescent="0.2">
      <c r="A144" t="s">
        <v>4606</v>
      </c>
      <c r="B144" t="s">
        <v>4607</v>
      </c>
      <c r="C144" t="s">
        <v>4014</v>
      </c>
      <c r="D144" t="s">
        <v>4615</v>
      </c>
      <c r="E144" t="s">
        <v>372</v>
      </c>
      <c r="F144" t="s">
        <v>4618</v>
      </c>
      <c r="G144">
        <v>58.99</v>
      </c>
      <c r="H144">
        <v>79.990000000000009</v>
      </c>
      <c r="I144">
        <v>99.990000000000009</v>
      </c>
      <c r="J144" t="s">
        <v>4422</v>
      </c>
      <c r="L144">
        <v>0</v>
      </c>
    </row>
    <row r="145" spans="1:12" x14ac:dyDescent="0.2">
      <c r="A145" t="s">
        <v>4606</v>
      </c>
      <c r="B145" t="s">
        <v>4607</v>
      </c>
      <c r="C145" t="s">
        <v>3737</v>
      </c>
      <c r="D145" t="s">
        <v>4619</v>
      </c>
      <c r="F145" t="s">
        <v>4620</v>
      </c>
      <c r="G145">
        <v>115.00000000000001</v>
      </c>
      <c r="H145">
        <v>149</v>
      </c>
      <c r="I145">
        <v>199.98999999999998</v>
      </c>
      <c r="J145" t="s">
        <v>4621</v>
      </c>
      <c r="L145">
        <v>0</v>
      </c>
    </row>
    <row r="146" spans="1:12" x14ac:dyDescent="0.2">
      <c r="A146" t="s">
        <v>4606</v>
      </c>
      <c r="B146" t="s">
        <v>4607</v>
      </c>
      <c r="C146" t="s">
        <v>3734</v>
      </c>
      <c r="D146" t="s">
        <v>4622</v>
      </c>
      <c r="F146" t="s">
        <v>4623</v>
      </c>
      <c r="G146">
        <v>140</v>
      </c>
      <c r="H146">
        <v>199</v>
      </c>
      <c r="I146">
        <v>249.99</v>
      </c>
      <c r="J146" t="s">
        <v>4621</v>
      </c>
      <c r="L146">
        <v>0</v>
      </c>
    </row>
    <row r="147" spans="1:12" x14ac:dyDescent="0.2">
      <c r="A147" t="s">
        <v>4606</v>
      </c>
      <c r="B147" t="s">
        <v>4607</v>
      </c>
      <c r="C147" t="s">
        <v>4379</v>
      </c>
      <c r="D147" t="s">
        <v>4380</v>
      </c>
      <c r="F147" t="s">
        <v>4624</v>
      </c>
      <c r="G147">
        <v>209.99999999999997</v>
      </c>
      <c r="H147">
        <v>299</v>
      </c>
      <c r="I147">
        <v>349.99</v>
      </c>
      <c r="J147" t="s">
        <v>4621</v>
      </c>
      <c r="L147">
        <v>0</v>
      </c>
    </row>
    <row r="148" spans="1:12" x14ac:dyDescent="0.2">
      <c r="A148" t="s">
        <v>4606</v>
      </c>
      <c r="B148" t="s">
        <v>4607</v>
      </c>
      <c r="C148" t="s">
        <v>4625</v>
      </c>
      <c r="D148" t="s">
        <v>4626</v>
      </c>
      <c r="F148" t="s">
        <v>4627</v>
      </c>
      <c r="G148">
        <v>209.99999999999997</v>
      </c>
      <c r="H148">
        <v>299</v>
      </c>
      <c r="I148">
        <v>349.99</v>
      </c>
      <c r="J148" t="s">
        <v>4621</v>
      </c>
      <c r="L148">
        <v>0</v>
      </c>
    </row>
    <row r="149" spans="1:12" x14ac:dyDescent="0.2">
      <c r="A149" t="s">
        <v>4606</v>
      </c>
      <c r="B149" t="s">
        <v>4628</v>
      </c>
      <c r="C149" t="s">
        <v>3905</v>
      </c>
      <c r="D149" t="s">
        <v>4629</v>
      </c>
      <c r="F149" t="s">
        <v>4630</v>
      </c>
      <c r="G149">
        <v>12</v>
      </c>
      <c r="H149" t="s">
        <v>529</v>
      </c>
      <c r="I149">
        <v>22.99</v>
      </c>
      <c r="J149">
        <v>30</v>
      </c>
      <c r="L149">
        <v>0</v>
      </c>
    </row>
    <row r="150" spans="1:12" x14ac:dyDescent="0.2">
      <c r="A150" t="s">
        <v>4606</v>
      </c>
      <c r="B150" t="s">
        <v>4631</v>
      </c>
      <c r="C150" t="s">
        <v>4084</v>
      </c>
      <c r="D150" t="s">
        <v>4632</v>
      </c>
      <c r="F150" t="s">
        <v>4633</v>
      </c>
      <c r="G150">
        <v>5</v>
      </c>
      <c r="H150" t="s">
        <v>529</v>
      </c>
      <c r="I150">
        <v>9.99</v>
      </c>
      <c r="J150">
        <v>10</v>
      </c>
      <c r="L150">
        <v>0</v>
      </c>
    </row>
    <row r="151" spans="1:12" x14ac:dyDescent="0.2">
      <c r="A151" t="s">
        <v>4606</v>
      </c>
      <c r="B151" t="s">
        <v>4631</v>
      </c>
      <c r="C151" t="s">
        <v>4086</v>
      </c>
      <c r="D151" t="s">
        <v>4634</v>
      </c>
      <c r="F151" t="s">
        <v>4635</v>
      </c>
      <c r="G151">
        <v>7.5</v>
      </c>
      <c r="H151" t="s">
        <v>529</v>
      </c>
      <c r="I151">
        <v>14.99</v>
      </c>
      <c r="J151">
        <v>10</v>
      </c>
      <c r="L151">
        <v>0</v>
      </c>
    </row>
    <row r="152" spans="1:12" x14ac:dyDescent="0.2">
      <c r="A152" t="s">
        <v>4606</v>
      </c>
      <c r="B152" t="s">
        <v>4631</v>
      </c>
      <c r="C152" t="s">
        <v>1838</v>
      </c>
      <c r="D152" t="s">
        <v>4636</v>
      </c>
      <c r="F152" t="s">
        <v>1868</v>
      </c>
      <c r="G152">
        <v>16.989999999999998</v>
      </c>
      <c r="H152" t="s">
        <v>529</v>
      </c>
      <c r="I152">
        <v>29.990000000000002</v>
      </c>
      <c r="J152">
        <v>6</v>
      </c>
      <c r="L152">
        <v>0</v>
      </c>
    </row>
    <row r="153" spans="1:12" x14ac:dyDescent="0.2">
      <c r="A153" t="s">
        <v>4606</v>
      </c>
      <c r="B153" t="s">
        <v>4631</v>
      </c>
      <c r="C153" t="s">
        <v>2675</v>
      </c>
      <c r="D153" t="s">
        <v>2676</v>
      </c>
      <c r="F153" t="s">
        <v>4637</v>
      </c>
      <c r="G153">
        <v>13.99</v>
      </c>
      <c r="H153" t="s">
        <v>529</v>
      </c>
      <c r="I153">
        <v>24.990000000000002</v>
      </c>
      <c r="J153">
        <v>6</v>
      </c>
      <c r="L153">
        <v>0</v>
      </c>
    </row>
    <row r="154" spans="1:12" x14ac:dyDescent="0.2">
      <c r="A154" t="s">
        <v>4606</v>
      </c>
      <c r="B154" t="s">
        <v>4631</v>
      </c>
      <c r="C154" t="s">
        <v>79</v>
      </c>
      <c r="D154" t="s">
        <v>4638</v>
      </c>
      <c r="F154" t="s">
        <v>66</v>
      </c>
      <c r="G154">
        <v>17.989999999999998</v>
      </c>
      <c r="H154" t="s">
        <v>529</v>
      </c>
      <c r="I154">
        <v>29.990000000000002</v>
      </c>
      <c r="J154" t="s">
        <v>4639</v>
      </c>
      <c r="L154">
        <v>0</v>
      </c>
    </row>
    <row r="155" spans="1:12" x14ac:dyDescent="0.2">
      <c r="A155" t="s">
        <v>4606</v>
      </c>
      <c r="B155" t="s">
        <v>4631</v>
      </c>
      <c r="C155" t="s">
        <v>1063</v>
      </c>
      <c r="D155" t="s">
        <v>4640</v>
      </c>
      <c r="F155" t="s">
        <v>1065</v>
      </c>
      <c r="G155">
        <v>16.989999999999998</v>
      </c>
      <c r="H155" t="s">
        <v>529</v>
      </c>
      <c r="I155">
        <v>29.990000000000002</v>
      </c>
      <c r="J155" t="s">
        <v>4639</v>
      </c>
      <c r="L155">
        <v>0</v>
      </c>
    </row>
    <row r="156" spans="1:12" x14ac:dyDescent="0.2">
      <c r="A156" t="s">
        <v>4606</v>
      </c>
      <c r="B156" t="s">
        <v>4631</v>
      </c>
      <c r="C156" t="s">
        <v>399</v>
      </c>
      <c r="D156" t="s">
        <v>4641</v>
      </c>
      <c r="F156" t="s">
        <v>1153</v>
      </c>
      <c r="G156">
        <v>18.989999999999998</v>
      </c>
      <c r="H156" t="s">
        <v>529</v>
      </c>
      <c r="I156">
        <v>34.99</v>
      </c>
      <c r="J156">
        <v>6</v>
      </c>
      <c r="L156">
        <v>0</v>
      </c>
    </row>
    <row r="157" spans="1:12" x14ac:dyDescent="0.2">
      <c r="A157" t="s">
        <v>4606</v>
      </c>
      <c r="B157" t="s">
        <v>4631</v>
      </c>
      <c r="C157" t="s">
        <v>768</v>
      </c>
      <c r="D157" t="s">
        <v>4642</v>
      </c>
      <c r="F157" t="s">
        <v>1154</v>
      </c>
      <c r="G157">
        <v>27.990000000000002</v>
      </c>
      <c r="H157" t="s">
        <v>529</v>
      </c>
      <c r="I157">
        <v>49.99</v>
      </c>
      <c r="J157">
        <v>6</v>
      </c>
      <c r="L157">
        <v>0</v>
      </c>
    </row>
    <row r="158" spans="1:12" x14ac:dyDescent="0.2">
      <c r="A158" t="s">
        <v>4606</v>
      </c>
      <c r="B158" t="s">
        <v>4631</v>
      </c>
      <c r="C158" t="s">
        <v>1062</v>
      </c>
      <c r="D158" t="s">
        <v>4643</v>
      </c>
      <c r="F158" t="s">
        <v>1064</v>
      </c>
      <c r="G158">
        <v>6.99</v>
      </c>
      <c r="H158" t="s">
        <v>529</v>
      </c>
      <c r="I158">
        <v>12.99</v>
      </c>
      <c r="J158" t="s">
        <v>4639</v>
      </c>
      <c r="L158">
        <v>0</v>
      </c>
    </row>
    <row r="159" spans="1:12" x14ac:dyDescent="0.2">
      <c r="A159" t="s">
        <v>4606</v>
      </c>
      <c r="B159" t="s">
        <v>4631</v>
      </c>
      <c r="C159" t="s">
        <v>176</v>
      </c>
      <c r="D159" t="s">
        <v>4644</v>
      </c>
      <c r="F159" t="s">
        <v>177</v>
      </c>
      <c r="G159">
        <v>6.99</v>
      </c>
      <c r="H159" t="s">
        <v>529</v>
      </c>
      <c r="I159">
        <v>12.99</v>
      </c>
      <c r="J159" t="s">
        <v>4639</v>
      </c>
      <c r="L159">
        <v>0</v>
      </c>
    </row>
    <row r="160" spans="1:12" x14ac:dyDescent="0.2">
      <c r="A160" t="s">
        <v>4606</v>
      </c>
      <c r="B160" t="s">
        <v>4631</v>
      </c>
      <c r="C160" t="s">
        <v>4363</v>
      </c>
      <c r="D160" t="s">
        <v>4370</v>
      </c>
      <c r="F160" t="s">
        <v>4645</v>
      </c>
      <c r="G160">
        <v>20.99</v>
      </c>
      <c r="H160" t="s">
        <v>529</v>
      </c>
      <c r="I160">
        <v>39.99</v>
      </c>
      <c r="J160">
        <v>10</v>
      </c>
      <c r="L160">
        <v>0</v>
      </c>
    </row>
    <row r="161" spans="1:12" x14ac:dyDescent="0.2">
      <c r="A161" t="s">
        <v>4606</v>
      </c>
      <c r="B161" t="s">
        <v>4631</v>
      </c>
      <c r="C161" t="s">
        <v>4362</v>
      </c>
      <c r="D161" t="s">
        <v>4369</v>
      </c>
      <c r="F161" t="s">
        <v>4646</v>
      </c>
      <c r="G161">
        <v>25.990000000000002</v>
      </c>
      <c r="H161" t="s">
        <v>529</v>
      </c>
      <c r="I161">
        <v>49.99</v>
      </c>
      <c r="J161">
        <v>10</v>
      </c>
      <c r="L161">
        <v>0</v>
      </c>
    </row>
    <row r="162" spans="1:12" x14ac:dyDescent="0.2">
      <c r="A162" t="s">
        <v>4606</v>
      </c>
      <c r="B162" t="s">
        <v>4631</v>
      </c>
      <c r="C162" t="s">
        <v>4361</v>
      </c>
      <c r="D162" t="s">
        <v>4077</v>
      </c>
      <c r="F162" t="s">
        <v>4647</v>
      </c>
      <c r="G162">
        <v>15.99</v>
      </c>
      <c r="H162" t="s">
        <v>529</v>
      </c>
      <c r="I162">
        <v>29.990000000000002</v>
      </c>
      <c r="J162">
        <v>10</v>
      </c>
      <c r="L162">
        <v>0</v>
      </c>
    </row>
    <row r="163" spans="1:12" x14ac:dyDescent="0.2">
      <c r="A163" t="s">
        <v>4606</v>
      </c>
      <c r="B163" t="s">
        <v>4631</v>
      </c>
      <c r="C163" t="s">
        <v>4360</v>
      </c>
      <c r="D163" t="s">
        <v>4368</v>
      </c>
      <c r="F163" t="s">
        <v>4648</v>
      </c>
      <c r="G163">
        <v>12.99</v>
      </c>
      <c r="H163" t="s">
        <v>529</v>
      </c>
      <c r="I163">
        <v>24.990000000000002</v>
      </c>
      <c r="J163">
        <v>10</v>
      </c>
      <c r="L163">
        <v>0</v>
      </c>
    </row>
    <row r="164" spans="1:12" x14ac:dyDescent="0.2">
      <c r="A164" t="s">
        <v>4606</v>
      </c>
      <c r="B164" t="s">
        <v>4631</v>
      </c>
      <c r="C164" t="s">
        <v>4359</v>
      </c>
      <c r="D164" t="s">
        <v>4367</v>
      </c>
      <c r="F164" t="s">
        <v>4649</v>
      </c>
      <c r="G164">
        <v>5.49</v>
      </c>
      <c r="H164" t="s">
        <v>529</v>
      </c>
      <c r="I164">
        <v>9.99</v>
      </c>
      <c r="J164">
        <v>10</v>
      </c>
      <c r="L164">
        <v>0</v>
      </c>
    </row>
    <row r="165" spans="1:12" x14ac:dyDescent="0.2">
      <c r="A165" t="s">
        <v>4606</v>
      </c>
      <c r="B165" t="s">
        <v>4631</v>
      </c>
      <c r="C165" t="s">
        <v>4358</v>
      </c>
      <c r="D165" t="s">
        <v>4366</v>
      </c>
      <c r="F165" t="s">
        <v>4650</v>
      </c>
      <c r="G165">
        <v>12.99</v>
      </c>
      <c r="H165" t="s">
        <v>529</v>
      </c>
      <c r="I165">
        <v>24.990000000000002</v>
      </c>
      <c r="J165">
        <v>10</v>
      </c>
      <c r="L165">
        <v>0</v>
      </c>
    </row>
    <row r="166" spans="1:12" x14ac:dyDescent="0.2">
      <c r="A166" t="s">
        <v>4606</v>
      </c>
      <c r="B166" t="s">
        <v>4631</v>
      </c>
      <c r="C166" t="s">
        <v>4651</v>
      </c>
      <c r="D166" t="s">
        <v>4365</v>
      </c>
      <c r="F166" t="s">
        <v>4652</v>
      </c>
      <c r="G166">
        <v>12.99</v>
      </c>
      <c r="H166" t="s">
        <v>529</v>
      </c>
      <c r="I166">
        <v>24.990000000000002</v>
      </c>
      <c r="J166">
        <v>10</v>
      </c>
      <c r="L166">
        <v>0</v>
      </c>
    </row>
    <row r="167" spans="1:12" x14ac:dyDescent="0.2">
      <c r="A167" t="s">
        <v>4606</v>
      </c>
      <c r="B167" t="s">
        <v>4631</v>
      </c>
      <c r="C167" t="s">
        <v>4371</v>
      </c>
      <c r="D167" t="s">
        <v>4067</v>
      </c>
      <c r="F167" t="s">
        <v>4653</v>
      </c>
      <c r="G167">
        <v>12.99</v>
      </c>
      <c r="H167" t="s">
        <v>529</v>
      </c>
      <c r="I167">
        <v>24.990000000000002</v>
      </c>
      <c r="J167">
        <v>10</v>
      </c>
      <c r="L167">
        <v>0</v>
      </c>
    </row>
    <row r="168" spans="1:12" x14ac:dyDescent="0.2">
      <c r="A168" t="s">
        <v>4606</v>
      </c>
      <c r="B168" t="s">
        <v>4631</v>
      </c>
      <c r="C168" t="s">
        <v>4654</v>
      </c>
      <c r="D168" t="s">
        <v>4050</v>
      </c>
      <c r="F168" t="s">
        <v>4655</v>
      </c>
      <c r="G168">
        <v>15.99</v>
      </c>
      <c r="H168" t="s">
        <v>529</v>
      </c>
      <c r="I168">
        <v>29.990000000000002</v>
      </c>
      <c r="J168">
        <v>10</v>
      </c>
      <c r="L168">
        <v>0</v>
      </c>
    </row>
    <row r="169" spans="1:12" x14ac:dyDescent="0.2">
      <c r="A169" t="s">
        <v>4606</v>
      </c>
      <c r="B169" t="s">
        <v>4631</v>
      </c>
      <c r="C169" t="s">
        <v>4070</v>
      </c>
      <c r="D169" t="s">
        <v>4071</v>
      </c>
      <c r="F169" t="s">
        <v>4656</v>
      </c>
      <c r="G169">
        <v>25</v>
      </c>
      <c r="H169" t="s">
        <v>529</v>
      </c>
      <c r="I169">
        <v>49.99</v>
      </c>
      <c r="J169">
        <v>10</v>
      </c>
      <c r="L169">
        <v>0</v>
      </c>
    </row>
    <row r="170" spans="1:12" x14ac:dyDescent="0.2">
      <c r="A170" t="s">
        <v>4606</v>
      </c>
      <c r="B170" t="s">
        <v>4631</v>
      </c>
      <c r="C170" t="s">
        <v>4078</v>
      </c>
      <c r="D170" t="s">
        <v>4657</v>
      </c>
      <c r="F170" t="s">
        <v>4658</v>
      </c>
      <c r="G170">
        <v>12.5</v>
      </c>
      <c r="H170" t="s">
        <v>529</v>
      </c>
      <c r="I170">
        <v>24.990000000000002</v>
      </c>
      <c r="J170">
        <v>5</v>
      </c>
      <c r="L170">
        <v>0</v>
      </c>
    </row>
    <row r="171" spans="1:12" x14ac:dyDescent="0.2">
      <c r="A171" t="s">
        <v>4606</v>
      </c>
      <c r="B171" t="s">
        <v>4631</v>
      </c>
      <c r="C171" t="s">
        <v>4133</v>
      </c>
      <c r="D171" t="s">
        <v>4659</v>
      </c>
      <c r="F171" t="s">
        <v>4660</v>
      </c>
      <c r="G171">
        <v>30</v>
      </c>
      <c r="H171" t="s">
        <v>529</v>
      </c>
      <c r="I171">
        <v>59.99</v>
      </c>
      <c r="J171">
        <v>1</v>
      </c>
      <c r="L171">
        <v>0</v>
      </c>
    </row>
    <row r="172" spans="1:12" x14ac:dyDescent="0.2">
      <c r="A172" t="s">
        <v>4606</v>
      </c>
      <c r="B172" t="s">
        <v>4631</v>
      </c>
      <c r="C172" t="s">
        <v>4074</v>
      </c>
      <c r="D172" t="s">
        <v>4075</v>
      </c>
      <c r="F172" t="s">
        <v>4661</v>
      </c>
      <c r="G172">
        <v>17.5</v>
      </c>
      <c r="H172" t="s">
        <v>529</v>
      </c>
      <c r="I172">
        <v>34.99</v>
      </c>
      <c r="J172">
        <v>10</v>
      </c>
      <c r="L172">
        <v>0</v>
      </c>
    </row>
    <row r="173" spans="1:12" x14ac:dyDescent="0.2">
      <c r="A173" t="s">
        <v>4606</v>
      </c>
      <c r="B173" t="s">
        <v>4631</v>
      </c>
      <c r="C173" t="s">
        <v>4092</v>
      </c>
      <c r="D173" t="s">
        <v>4662</v>
      </c>
      <c r="F173" t="s">
        <v>4663</v>
      </c>
      <c r="G173">
        <v>17.5</v>
      </c>
      <c r="H173" t="s">
        <v>529</v>
      </c>
      <c r="I173">
        <v>34.99</v>
      </c>
      <c r="J173">
        <v>10</v>
      </c>
      <c r="L173">
        <v>0</v>
      </c>
    </row>
    <row r="174" spans="1:12" x14ac:dyDescent="0.2">
      <c r="A174" t="s">
        <v>4606</v>
      </c>
      <c r="B174" t="s">
        <v>4631</v>
      </c>
      <c r="C174" t="s">
        <v>4664</v>
      </c>
      <c r="D174" t="s">
        <v>4665</v>
      </c>
      <c r="F174" t="s">
        <v>4666</v>
      </c>
      <c r="G174">
        <v>17.5</v>
      </c>
      <c r="H174" t="s">
        <v>529</v>
      </c>
      <c r="I174">
        <v>34.99</v>
      </c>
      <c r="J174">
        <v>10</v>
      </c>
      <c r="L174">
        <v>0</v>
      </c>
    </row>
    <row r="175" spans="1:12" x14ac:dyDescent="0.2">
      <c r="A175" t="s">
        <v>4606</v>
      </c>
      <c r="B175" t="s">
        <v>4631</v>
      </c>
      <c r="C175" t="s">
        <v>4030</v>
      </c>
      <c r="D175" t="s">
        <v>4667</v>
      </c>
      <c r="F175" t="s">
        <v>4668</v>
      </c>
      <c r="G175">
        <v>15</v>
      </c>
      <c r="H175" t="s">
        <v>529</v>
      </c>
      <c r="I175">
        <v>29.990000000000002</v>
      </c>
      <c r="J175">
        <v>20</v>
      </c>
      <c r="L175">
        <v>0</v>
      </c>
    </row>
    <row r="176" spans="1:12" x14ac:dyDescent="0.2">
      <c r="A176" t="s">
        <v>4606</v>
      </c>
      <c r="B176" t="s">
        <v>4631</v>
      </c>
      <c r="C176" t="s">
        <v>4033</v>
      </c>
      <c r="D176" t="s">
        <v>4669</v>
      </c>
      <c r="F176" t="s">
        <v>4670</v>
      </c>
      <c r="G176">
        <v>27.5</v>
      </c>
      <c r="H176" t="s">
        <v>529</v>
      </c>
      <c r="I176">
        <v>54.99</v>
      </c>
      <c r="J176">
        <v>6</v>
      </c>
      <c r="L176">
        <v>0</v>
      </c>
    </row>
    <row r="177" spans="1:12" x14ac:dyDescent="0.2">
      <c r="A177" t="s">
        <v>4606</v>
      </c>
      <c r="B177" t="s">
        <v>4631</v>
      </c>
      <c r="C177" t="s">
        <v>4090</v>
      </c>
      <c r="D177" t="s">
        <v>4368</v>
      </c>
      <c r="F177" t="s">
        <v>4671</v>
      </c>
      <c r="G177">
        <v>10</v>
      </c>
      <c r="H177" t="s">
        <v>529</v>
      </c>
      <c r="I177">
        <v>19.989999999999998</v>
      </c>
      <c r="J177">
        <v>10</v>
      </c>
      <c r="L177">
        <v>0</v>
      </c>
    </row>
    <row r="178" spans="1:12" x14ac:dyDescent="0.2">
      <c r="A178" t="s">
        <v>4606</v>
      </c>
      <c r="B178" t="s">
        <v>4631</v>
      </c>
      <c r="C178" t="s">
        <v>4049</v>
      </c>
      <c r="D178" t="s">
        <v>4050</v>
      </c>
      <c r="F178" t="s">
        <v>4672</v>
      </c>
      <c r="G178">
        <v>12.5</v>
      </c>
      <c r="H178" t="s">
        <v>529</v>
      </c>
      <c r="I178">
        <v>24.990000000000002</v>
      </c>
      <c r="J178">
        <v>10</v>
      </c>
      <c r="L178">
        <v>0</v>
      </c>
    </row>
    <row r="179" spans="1:12" x14ac:dyDescent="0.2">
      <c r="A179" t="s">
        <v>4606</v>
      </c>
      <c r="B179" t="s">
        <v>4631</v>
      </c>
      <c r="C179" t="s">
        <v>4040</v>
      </c>
      <c r="D179" t="s">
        <v>4673</v>
      </c>
      <c r="F179" t="s">
        <v>4674</v>
      </c>
      <c r="G179">
        <v>10</v>
      </c>
      <c r="H179" t="s">
        <v>529</v>
      </c>
      <c r="I179">
        <v>19.989999999999998</v>
      </c>
      <c r="J179">
        <v>10</v>
      </c>
      <c r="L179">
        <v>0</v>
      </c>
    </row>
    <row r="180" spans="1:12" x14ac:dyDescent="0.2">
      <c r="A180" t="s">
        <v>4606</v>
      </c>
      <c r="B180" t="s">
        <v>4631</v>
      </c>
      <c r="C180" t="s">
        <v>4055</v>
      </c>
      <c r="D180" t="s">
        <v>4056</v>
      </c>
      <c r="F180" t="s">
        <v>4675</v>
      </c>
      <c r="G180">
        <v>12.5</v>
      </c>
      <c r="H180" t="s">
        <v>529</v>
      </c>
      <c r="I180">
        <v>24.990000000000002</v>
      </c>
      <c r="J180">
        <v>10</v>
      </c>
      <c r="L180">
        <v>0</v>
      </c>
    </row>
    <row r="181" spans="1:12" x14ac:dyDescent="0.2">
      <c r="A181" t="s">
        <v>4606</v>
      </c>
      <c r="B181" t="s">
        <v>4631</v>
      </c>
      <c r="C181" t="s">
        <v>4024</v>
      </c>
      <c r="D181" t="s">
        <v>4025</v>
      </c>
      <c r="F181" t="s">
        <v>4026</v>
      </c>
      <c r="G181">
        <v>45</v>
      </c>
      <c r="H181" t="s">
        <v>529</v>
      </c>
      <c r="I181">
        <v>89.990000000000009</v>
      </c>
      <c r="J181">
        <v>5</v>
      </c>
      <c r="L181">
        <v>0</v>
      </c>
    </row>
    <row r="182" spans="1:12" x14ac:dyDescent="0.2">
      <c r="A182" t="s">
        <v>4606</v>
      </c>
      <c r="B182" t="s">
        <v>4631</v>
      </c>
      <c r="C182" t="s">
        <v>4088</v>
      </c>
      <c r="D182" t="s">
        <v>4089</v>
      </c>
      <c r="F182" t="s">
        <v>4676</v>
      </c>
      <c r="G182">
        <v>10</v>
      </c>
      <c r="H182" t="s">
        <v>529</v>
      </c>
      <c r="I182">
        <v>19.989999999999998</v>
      </c>
      <c r="J182">
        <v>10</v>
      </c>
      <c r="L182">
        <v>0</v>
      </c>
    </row>
    <row r="183" spans="1:12" x14ac:dyDescent="0.2">
      <c r="A183" t="s">
        <v>4606</v>
      </c>
      <c r="B183" t="s">
        <v>4631</v>
      </c>
      <c r="C183" t="s">
        <v>4057</v>
      </c>
      <c r="D183" t="s">
        <v>4677</v>
      </c>
      <c r="F183" t="s">
        <v>4678</v>
      </c>
      <c r="G183">
        <v>17.5</v>
      </c>
      <c r="H183" t="s">
        <v>529</v>
      </c>
      <c r="I183">
        <v>34.99</v>
      </c>
      <c r="J183">
        <v>10</v>
      </c>
      <c r="L183">
        <v>0</v>
      </c>
    </row>
    <row r="184" spans="1:12" x14ac:dyDescent="0.2">
      <c r="A184" t="s">
        <v>4606</v>
      </c>
      <c r="B184" t="s">
        <v>4631</v>
      </c>
      <c r="C184" t="s">
        <v>4053</v>
      </c>
      <c r="D184" t="s">
        <v>4679</v>
      </c>
      <c r="F184" t="s">
        <v>4680</v>
      </c>
      <c r="G184">
        <v>15</v>
      </c>
      <c r="H184" t="s">
        <v>529</v>
      </c>
      <c r="I184">
        <v>29.990000000000002</v>
      </c>
      <c r="J184">
        <v>5</v>
      </c>
      <c r="L184">
        <v>0</v>
      </c>
    </row>
    <row r="185" spans="1:12" x14ac:dyDescent="0.2">
      <c r="A185" t="s">
        <v>4606</v>
      </c>
      <c r="B185" t="s">
        <v>4631</v>
      </c>
      <c r="C185" t="s">
        <v>4082</v>
      </c>
      <c r="D185" t="s">
        <v>4681</v>
      </c>
      <c r="F185" t="s">
        <v>4682</v>
      </c>
      <c r="G185">
        <v>6</v>
      </c>
      <c r="H185" t="s">
        <v>529</v>
      </c>
      <c r="I185">
        <v>11.99</v>
      </c>
      <c r="J185">
        <v>10</v>
      </c>
      <c r="L185">
        <v>0</v>
      </c>
    </row>
    <row r="186" spans="1:12" x14ac:dyDescent="0.2">
      <c r="A186" t="s">
        <v>4606</v>
      </c>
      <c r="B186" t="s">
        <v>4631</v>
      </c>
      <c r="C186" t="s">
        <v>4068</v>
      </c>
      <c r="D186" t="s">
        <v>4365</v>
      </c>
      <c r="F186" t="s">
        <v>4683</v>
      </c>
      <c r="G186">
        <v>15</v>
      </c>
      <c r="H186" t="s">
        <v>529</v>
      </c>
      <c r="I186">
        <v>29.990000000000002</v>
      </c>
      <c r="J186">
        <v>10</v>
      </c>
      <c r="L186">
        <v>0</v>
      </c>
    </row>
    <row r="187" spans="1:12" x14ac:dyDescent="0.2">
      <c r="A187" t="s">
        <v>4606</v>
      </c>
      <c r="B187" t="s">
        <v>4631</v>
      </c>
      <c r="C187" t="s">
        <v>4045</v>
      </c>
      <c r="D187" t="s">
        <v>4046</v>
      </c>
      <c r="F187" t="s">
        <v>4684</v>
      </c>
      <c r="G187">
        <v>12.5</v>
      </c>
      <c r="H187" t="s">
        <v>529</v>
      </c>
      <c r="I187">
        <v>24.990000000000002</v>
      </c>
      <c r="J187">
        <v>10</v>
      </c>
      <c r="L187">
        <v>0</v>
      </c>
    </row>
    <row r="188" spans="1:12" x14ac:dyDescent="0.2">
      <c r="A188" t="s">
        <v>4606</v>
      </c>
      <c r="B188" t="s">
        <v>4631</v>
      </c>
      <c r="C188" t="s">
        <v>4066</v>
      </c>
      <c r="D188" t="s">
        <v>4067</v>
      </c>
      <c r="F188" t="s">
        <v>4685</v>
      </c>
      <c r="G188">
        <v>10</v>
      </c>
      <c r="H188" t="s">
        <v>529</v>
      </c>
      <c r="I188">
        <v>19.989999999999998</v>
      </c>
      <c r="J188">
        <v>10</v>
      </c>
      <c r="L188">
        <v>0</v>
      </c>
    </row>
    <row r="189" spans="1:12" x14ac:dyDescent="0.2">
      <c r="A189" t="s">
        <v>4606</v>
      </c>
      <c r="B189" t="s">
        <v>4631</v>
      </c>
      <c r="C189" t="s">
        <v>4076</v>
      </c>
      <c r="D189" t="s">
        <v>4686</v>
      </c>
      <c r="F189" t="s">
        <v>4687</v>
      </c>
      <c r="G189">
        <v>12.5</v>
      </c>
      <c r="H189" t="s">
        <v>529</v>
      </c>
      <c r="I189">
        <v>24.990000000000002</v>
      </c>
      <c r="J189">
        <v>10</v>
      </c>
      <c r="L189">
        <v>0</v>
      </c>
    </row>
    <row r="190" spans="1:12" x14ac:dyDescent="0.2">
      <c r="A190" t="s">
        <v>4606</v>
      </c>
      <c r="B190" t="s">
        <v>4631</v>
      </c>
      <c r="C190" t="s">
        <v>4059</v>
      </c>
      <c r="D190" t="s">
        <v>4060</v>
      </c>
      <c r="F190" t="s">
        <v>4688</v>
      </c>
      <c r="G190">
        <v>12.5</v>
      </c>
      <c r="H190" t="s">
        <v>529</v>
      </c>
      <c r="I190">
        <v>24.990000000000002</v>
      </c>
      <c r="J190">
        <v>10</v>
      </c>
      <c r="L190">
        <v>0</v>
      </c>
    </row>
    <row r="191" spans="1:12" x14ac:dyDescent="0.2">
      <c r="A191" t="s">
        <v>4606</v>
      </c>
      <c r="B191" t="s">
        <v>4631</v>
      </c>
      <c r="C191" t="s">
        <v>4689</v>
      </c>
      <c r="D191" t="s">
        <v>4690</v>
      </c>
      <c r="F191" t="s">
        <v>4691</v>
      </c>
      <c r="G191">
        <v>22.5</v>
      </c>
      <c r="H191" t="s">
        <v>529</v>
      </c>
      <c r="I191">
        <v>45</v>
      </c>
      <c r="J191">
        <v>5</v>
      </c>
      <c r="L191">
        <v>0</v>
      </c>
    </row>
    <row r="192" spans="1:12" x14ac:dyDescent="0.2">
      <c r="A192" t="s">
        <v>4606</v>
      </c>
      <c r="B192" t="s">
        <v>4631</v>
      </c>
      <c r="C192" t="s">
        <v>4035</v>
      </c>
      <c r="D192" t="s">
        <v>4692</v>
      </c>
      <c r="F192" t="s">
        <v>4693</v>
      </c>
      <c r="G192">
        <v>35</v>
      </c>
      <c r="H192" t="s">
        <v>529</v>
      </c>
      <c r="I192">
        <v>69.990000000000009</v>
      </c>
      <c r="J192">
        <v>6</v>
      </c>
      <c r="L192">
        <v>0</v>
      </c>
    </row>
    <row r="193" spans="1:12" x14ac:dyDescent="0.2">
      <c r="A193" t="s">
        <v>4606</v>
      </c>
      <c r="B193" t="s">
        <v>4631</v>
      </c>
      <c r="C193" t="s">
        <v>4037</v>
      </c>
      <c r="D193" t="s">
        <v>4038</v>
      </c>
      <c r="F193" t="s">
        <v>4694</v>
      </c>
      <c r="G193">
        <v>4.5</v>
      </c>
      <c r="H193" t="s">
        <v>529</v>
      </c>
      <c r="I193">
        <v>8.99</v>
      </c>
      <c r="J193">
        <v>1</v>
      </c>
      <c r="L193">
        <v>0</v>
      </c>
    </row>
    <row r="194" spans="1:12" x14ac:dyDescent="0.2">
      <c r="A194" t="s">
        <v>4606</v>
      </c>
      <c r="B194" t="s">
        <v>4631</v>
      </c>
      <c r="C194" t="s">
        <v>4108</v>
      </c>
      <c r="D194" t="s">
        <v>4109</v>
      </c>
      <c r="F194" t="s">
        <v>4695</v>
      </c>
      <c r="G194">
        <v>10</v>
      </c>
      <c r="H194" t="s">
        <v>529</v>
      </c>
      <c r="I194">
        <v>19.989999999999998</v>
      </c>
      <c r="J194">
        <v>10</v>
      </c>
      <c r="L194">
        <v>0</v>
      </c>
    </row>
    <row r="195" spans="1:12" x14ac:dyDescent="0.2">
      <c r="A195" t="s">
        <v>4606</v>
      </c>
      <c r="B195" t="s">
        <v>4631</v>
      </c>
      <c r="C195" t="s">
        <v>733</v>
      </c>
      <c r="D195" t="s">
        <v>4696</v>
      </c>
      <c r="F195" t="s">
        <v>735</v>
      </c>
      <c r="G195">
        <v>5.49</v>
      </c>
      <c r="H195" t="s">
        <v>529</v>
      </c>
      <c r="I195">
        <v>9.99</v>
      </c>
      <c r="J195">
        <v>3</v>
      </c>
      <c r="L195">
        <v>0</v>
      </c>
    </row>
    <row r="196" spans="1:12" x14ac:dyDescent="0.2">
      <c r="A196" t="s">
        <v>4606</v>
      </c>
      <c r="B196" t="s">
        <v>4631</v>
      </c>
      <c r="C196" t="s">
        <v>4027</v>
      </c>
      <c r="D196" t="s">
        <v>4697</v>
      </c>
      <c r="F196" t="s">
        <v>4029</v>
      </c>
      <c r="G196">
        <v>3</v>
      </c>
      <c r="H196" t="s">
        <v>529</v>
      </c>
      <c r="I196">
        <v>5.99</v>
      </c>
      <c r="J196">
        <v>10</v>
      </c>
      <c r="L196">
        <v>0</v>
      </c>
    </row>
    <row r="197" spans="1:12" x14ac:dyDescent="0.2">
      <c r="A197" t="s">
        <v>4606</v>
      </c>
      <c r="B197" t="s">
        <v>4698</v>
      </c>
      <c r="C197" t="s">
        <v>554</v>
      </c>
      <c r="D197" t="s">
        <v>4699</v>
      </c>
      <c r="F197" t="s">
        <v>361</v>
      </c>
      <c r="G197">
        <v>7.99</v>
      </c>
      <c r="H197" t="s">
        <v>529</v>
      </c>
      <c r="I197">
        <v>14.99</v>
      </c>
      <c r="J197" t="s">
        <v>4444</v>
      </c>
      <c r="L197">
        <v>0</v>
      </c>
    </row>
    <row r="198" spans="1:12" x14ac:dyDescent="0.2">
      <c r="A198" t="s">
        <v>4606</v>
      </c>
      <c r="B198" t="s">
        <v>4698</v>
      </c>
      <c r="C198" t="s">
        <v>555</v>
      </c>
      <c r="D198" t="s">
        <v>4700</v>
      </c>
      <c r="F198" t="s">
        <v>253</v>
      </c>
      <c r="G198">
        <v>13.99</v>
      </c>
      <c r="H198" t="s">
        <v>529</v>
      </c>
      <c r="I198">
        <v>24.990000000000002</v>
      </c>
      <c r="J198" t="s">
        <v>4639</v>
      </c>
      <c r="L198">
        <v>0</v>
      </c>
    </row>
    <row r="199" spans="1:12" x14ac:dyDescent="0.2">
      <c r="A199" t="s">
        <v>4606</v>
      </c>
      <c r="B199" t="s">
        <v>4698</v>
      </c>
      <c r="C199" t="s">
        <v>2703</v>
      </c>
      <c r="D199" t="s">
        <v>4701</v>
      </c>
      <c r="F199" t="s">
        <v>2724</v>
      </c>
      <c r="G199">
        <v>12.99</v>
      </c>
      <c r="H199" t="s">
        <v>529</v>
      </c>
      <c r="I199">
        <v>24.990000000000002</v>
      </c>
      <c r="J199" t="s">
        <v>4422</v>
      </c>
      <c r="L199">
        <v>0</v>
      </c>
    </row>
    <row r="200" spans="1:12" x14ac:dyDescent="0.2">
      <c r="A200" t="s">
        <v>4606</v>
      </c>
      <c r="B200" t="s">
        <v>4698</v>
      </c>
      <c r="C200" t="s">
        <v>1589</v>
      </c>
      <c r="D200" t="s">
        <v>4702</v>
      </c>
      <c r="E200" t="s">
        <v>370</v>
      </c>
      <c r="F200" t="s">
        <v>250</v>
      </c>
      <c r="G200">
        <v>7.99</v>
      </c>
      <c r="H200" t="s">
        <v>529</v>
      </c>
      <c r="I200">
        <v>14.99</v>
      </c>
      <c r="J200" t="s">
        <v>4444</v>
      </c>
      <c r="L200">
        <v>0</v>
      </c>
    </row>
    <row r="201" spans="1:12" x14ac:dyDescent="0.2">
      <c r="A201" t="s">
        <v>4606</v>
      </c>
      <c r="B201" t="s">
        <v>4703</v>
      </c>
      <c r="C201" t="s">
        <v>3920</v>
      </c>
      <c r="D201" t="s">
        <v>4704</v>
      </c>
      <c r="F201" t="s">
        <v>4705</v>
      </c>
      <c r="G201">
        <v>85</v>
      </c>
      <c r="H201" t="s">
        <v>529</v>
      </c>
      <c r="I201">
        <v>169</v>
      </c>
      <c r="J201">
        <v>40</v>
      </c>
      <c r="L201">
        <v>0</v>
      </c>
    </row>
    <row r="202" spans="1:12" x14ac:dyDescent="0.2">
      <c r="A202" t="s">
        <v>4606</v>
      </c>
      <c r="B202" t="s">
        <v>4703</v>
      </c>
      <c r="C202" t="s">
        <v>4706</v>
      </c>
      <c r="D202" t="s">
        <v>4707</v>
      </c>
      <c r="F202" t="s">
        <v>4708</v>
      </c>
      <c r="G202">
        <v>70</v>
      </c>
      <c r="H202" t="s">
        <v>529</v>
      </c>
      <c r="I202">
        <v>139.99</v>
      </c>
      <c r="J202">
        <v>20</v>
      </c>
      <c r="L202">
        <v>0</v>
      </c>
    </row>
    <row r="203" spans="1:12" x14ac:dyDescent="0.2">
      <c r="A203" t="s">
        <v>4606</v>
      </c>
      <c r="B203" t="s">
        <v>4703</v>
      </c>
      <c r="C203" t="s">
        <v>4709</v>
      </c>
      <c r="D203" t="s">
        <v>4710</v>
      </c>
      <c r="F203" t="s">
        <v>4711</v>
      </c>
      <c r="G203">
        <v>12.5</v>
      </c>
      <c r="H203" t="s">
        <v>529</v>
      </c>
      <c r="I203">
        <v>24.990000000000002</v>
      </c>
      <c r="J203">
        <v>10</v>
      </c>
      <c r="L203">
        <v>0</v>
      </c>
    </row>
    <row r="204" spans="1:12" x14ac:dyDescent="0.2">
      <c r="A204" t="s">
        <v>4606</v>
      </c>
      <c r="B204" t="s">
        <v>4703</v>
      </c>
      <c r="C204" t="s">
        <v>4124</v>
      </c>
      <c r="D204" t="s">
        <v>4712</v>
      </c>
      <c r="F204" t="s">
        <v>4713</v>
      </c>
      <c r="G204">
        <v>12.5</v>
      </c>
      <c r="H204" t="s">
        <v>529</v>
      </c>
      <c r="I204">
        <v>24.990000000000002</v>
      </c>
      <c r="J204">
        <v>10</v>
      </c>
      <c r="L204">
        <v>0</v>
      </c>
    </row>
    <row r="205" spans="1:12" x14ac:dyDescent="0.2">
      <c r="A205" t="s">
        <v>4606</v>
      </c>
      <c r="B205" t="s">
        <v>4714</v>
      </c>
      <c r="C205" t="s">
        <v>3810</v>
      </c>
      <c r="D205" t="s">
        <v>4715</v>
      </c>
      <c r="F205" t="s">
        <v>4716</v>
      </c>
      <c r="G205">
        <v>7.5</v>
      </c>
      <c r="H205" t="s">
        <v>529</v>
      </c>
      <c r="I205">
        <v>14.99</v>
      </c>
      <c r="J205">
        <v>10</v>
      </c>
      <c r="L205">
        <v>0</v>
      </c>
    </row>
    <row r="206" spans="1:12" x14ac:dyDescent="0.2">
      <c r="A206" t="s">
        <v>4606</v>
      </c>
      <c r="B206" t="s">
        <v>4714</v>
      </c>
      <c r="C206" t="s">
        <v>4717</v>
      </c>
      <c r="D206" t="s">
        <v>4718</v>
      </c>
      <c r="F206" t="s">
        <v>4719</v>
      </c>
      <c r="G206">
        <v>12.5</v>
      </c>
      <c r="H206" t="s">
        <v>529</v>
      </c>
      <c r="I206">
        <v>24.990000000000002</v>
      </c>
      <c r="J206">
        <v>3</v>
      </c>
      <c r="L206">
        <v>0</v>
      </c>
    </row>
    <row r="207" spans="1:12" x14ac:dyDescent="0.2">
      <c r="A207" t="s">
        <v>4606</v>
      </c>
      <c r="B207" t="s">
        <v>4714</v>
      </c>
      <c r="C207" t="s">
        <v>4127</v>
      </c>
      <c r="D207" t="s">
        <v>4720</v>
      </c>
      <c r="F207" t="s">
        <v>4721</v>
      </c>
      <c r="G207">
        <v>7.5</v>
      </c>
      <c r="H207" t="s">
        <v>529</v>
      </c>
      <c r="I207">
        <v>14.99</v>
      </c>
      <c r="J207">
        <v>10</v>
      </c>
      <c r="L207">
        <v>0</v>
      </c>
    </row>
    <row r="208" spans="1:12" x14ac:dyDescent="0.2">
      <c r="A208" t="s">
        <v>4606</v>
      </c>
      <c r="B208" t="s">
        <v>4714</v>
      </c>
      <c r="C208" t="s">
        <v>4098</v>
      </c>
      <c r="D208" t="s">
        <v>4722</v>
      </c>
      <c r="F208" t="s">
        <v>4723</v>
      </c>
      <c r="G208">
        <v>12.5</v>
      </c>
      <c r="H208" t="s">
        <v>529</v>
      </c>
      <c r="I208">
        <v>24.990000000000002</v>
      </c>
      <c r="J208">
        <v>64</v>
      </c>
      <c r="L208">
        <v>0</v>
      </c>
    </row>
    <row r="209" spans="1:12" x14ac:dyDescent="0.2">
      <c r="A209" t="s">
        <v>4606</v>
      </c>
      <c r="B209" t="s">
        <v>4724</v>
      </c>
      <c r="C209" t="s">
        <v>3806</v>
      </c>
      <c r="D209" t="s">
        <v>4725</v>
      </c>
      <c r="F209" t="s">
        <v>4726</v>
      </c>
      <c r="G209">
        <v>30</v>
      </c>
      <c r="H209" t="s">
        <v>529</v>
      </c>
      <c r="I209">
        <v>59.99</v>
      </c>
      <c r="J209">
        <v>10</v>
      </c>
      <c r="L209">
        <v>0</v>
      </c>
    </row>
    <row r="210" spans="1:12" x14ac:dyDescent="0.2">
      <c r="A210" t="s">
        <v>4606</v>
      </c>
      <c r="B210" t="s">
        <v>4724</v>
      </c>
      <c r="C210" t="s">
        <v>4141</v>
      </c>
      <c r="D210" t="s">
        <v>4727</v>
      </c>
      <c r="F210" t="s">
        <v>4728</v>
      </c>
      <c r="G210">
        <v>22.5</v>
      </c>
      <c r="H210" t="s">
        <v>529</v>
      </c>
      <c r="I210">
        <v>44.99</v>
      </c>
      <c r="J210">
        <v>3</v>
      </c>
      <c r="L210">
        <v>0</v>
      </c>
    </row>
    <row r="211" spans="1:12" x14ac:dyDescent="0.2">
      <c r="A211" t="s">
        <v>4606</v>
      </c>
      <c r="B211" t="s">
        <v>4724</v>
      </c>
      <c r="C211" t="s">
        <v>3808</v>
      </c>
      <c r="D211" t="s">
        <v>4729</v>
      </c>
      <c r="F211" t="s">
        <v>4730</v>
      </c>
      <c r="G211">
        <v>25</v>
      </c>
      <c r="H211" t="s">
        <v>529</v>
      </c>
      <c r="I211">
        <v>49.99</v>
      </c>
      <c r="J211">
        <v>10</v>
      </c>
      <c r="L211">
        <v>0</v>
      </c>
    </row>
    <row r="212" spans="1:12" x14ac:dyDescent="0.2">
      <c r="A212" t="s">
        <v>4606</v>
      </c>
      <c r="B212" t="s">
        <v>4724</v>
      </c>
      <c r="C212" t="s">
        <v>3807</v>
      </c>
      <c r="D212" t="s">
        <v>4731</v>
      </c>
      <c r="F212" t="s">
        <v>4732</v>
      </c>
      <c r="G212">
        <v>25</v>
      </c>
      <c r="H212" t="s">
        <v>529</v>
      </c>
      <c r="I212">
        <v>49.99</v>
      </c>
      <c r="J212">
        <v>10</v>
      </c>
      <c r="L212">
        <v>0</v>
      </c>
    </row>
    <row r="213" spans="1:12" x14ac:dyDescent="0.2">
      <c r="A213" t="s">
        <v>4606</v>
      </c>
      <c r="B213" t="s">
        <v>4724</v>
      </c>
      <c r="C213" t="s">
        <v>3805</v>
      </c>
      <c r="D213" t="s">
        <v>4733</v>
      </c>
      <c r="F213" t="s">
        <v>4734</v>
      </c>
      <c r="G213">
        <v>25</v>
      </c>
      <c r="H213" t="s">
        <v>529</v>
      </c>
      <c r="I213">
        <v>49.99</v>
      </c>
      <c r="J213">
        <v>10</v>
      </c>
      <c r="L213">
        <v>0</v>
      </c>
    </row>
    <row r="214" spans="1:12" x14ac:dyDescent="0.2">
      <c r="A214" t="s">
        <v>4606</v>
      </c>
      <c r="B214" t="s">
        <v>4724</v>
      </c>
      <c r="C214" t="s">
        <v>4139</v>
      </c>
      <c r="D214" t="s">
        <v>4735</v>
      </c>
      <c r="F214" t="s">
        <v>4736</v>
      </c>
      <c r="G214">
        <v>12.5</v>
      </c>
      <c r="H214" t="s">
        <v>529</v>
      </c>
      <c r="I214">
        <v>24.990000000000002</v>
      </c>
      <c r="J214">
        <v>10</v>
      </c>
      <c r="L214">
        <v>0</v>
      </c>
    </row>
    <row r="215" spans="1:12" x14ac:dyDescent="0.2">
      <c r="A215" t="s">
        <v>4606</v>
      </c>
      <c r="B215" t="s">
        <v>4737</v>
      </c>
      <c r="C215" t="s">
        <v>3914</v>
      </c>
      <c r="D215" t="s">
        <v>4738</v>
      </c>
      <c r="F215" t="s">
        <v>4739</v>
      </c>
      <c r="G215">
        <v>10</v>
      </c>
      <c r="H215" t="s">
        <v>529</v>
      </c>
      <c r="I215">
        <v>19.989999999999998</v>
      </c>
      <c r="J215">
        <v>10</v>
      </c>
      <c r="L215">
        <v>0</v>
      </c>
    </row>
    <row r="216" spans="1:12" x14ac:dyDescent="0.2">
      <c r="A216" t="s">
        <v>4606</v>
      </c>
      <c r="B216" t="s">
        <v>4737</v>
      </c>
      <c r="C216" t="s">
        <v>3915</v>
      </c>
      <c r="D216" t="s">
        <v>4740</v>
      </c>
      <c r="F216" t="s">
        <v>4741</v>
      </c>
      <c r="G216">
        <v>20</v>
      </c>
      <c r="H216" t="s">
        <v>529</v>
      </c>
      <c r="I216">
        <v>39.99</v>
      </c>
      <c r="J216">
        <v>10</v>
      </c>
      <c r="L216">
        <v>0</v>
      </c>
    </row>
    <row r="217" spans="1:12" x14ac:dyDescent="0.2">
      <c r="A217" t="s">
        <v>4606</v>
      </c>
      <c r="B217" t="s">
        <v>4737</v>
      </c>
      <c r="C217" t="s">
        <v>3913</v>
      </c>
      <c r="D217" t="s">
        <v>4742</v>
      </c>
      <c r="F217" t="s">
        <v>4743</v>
      </c>
      <c r="G217">
        <v>7.5</v>
      </c>
      <c r="H217" t="s">
        <v>529</v>
      </c>
      <c r="I217">
        <v>14.99</v>
      </c>
      <c r="J217">
        <v>10</v>
      </c>
      <c r="L217">
        <v>0</v>
      </c>
    </row>
    <row r="218" spans="1:12" x14ac:dyDescent="0.2">
      <c r="A218" t="s">
        <v>4606</v>
      </c>
      <c r="B218" t="s">
        <v>4744</v>
      </c>
      <c r="C218" t="s">
        <v>4104</v>
      </c>
      <c r="D218" t="s">
        <v>4745</v>
      </c>
      <c r="F218" t="s">
        <v>4746</v>
      </c>
      <c r="G218">
        <v>6</v>
      </c>
      <c r="H218" t="s">
        <v>529</v>
      </c>
      <c r="I218">
        <v>11.99</v>
      </c>
      <c r="J218">
        <v>10</v>
      </c>
      <c r="L218">
        <v>0</v>
      </c>
    </row>
    <row r="219" spans="1:12" x14ac:dyDescent="0.2">
      <c r="A219" t="s">
        <v>4606</v>
      </c>
      <c r="B219" t="s">
        <v>4744</v>
      </c>
      <c r="C219" t="s">
        <v>4106</v>
      </c>
      <c r="D219" t="s">
        <v>4747</v>
      </c>
      <c r="F219" t="s">
        <v>4748</v>
      </c>
      <c r="G219">
        <v>2.5</v>
      </c>
      <c r="H219" t="s">
        <v>529</v>
      </c>
      <c r="I219">
        <v>4.99</v>
      </c>
      <c r="J219">
        <v>10</v>
      </c>
      <c r="L219">
        <v>0</v>
      </c>
    </row>
    <row r="220" spans="1:12" x14ac:dyDescent="0.2">
      <c r="A220" t="s">
        <v>4606</v>
      </c>
      <c r="B220" t="s">
        <v>4744</v>
      </c>
      <c r="C220" t="s">
        <v>4102</v>
      </c>
      <c r="D220" t="s">
        <v>4103</v>
      </c>
      <c r="F220" t="s">
        <v>4749</v>
      </c>
      <c r="G220">
        <v>3.5</v>
      </c>
      <c r="H220" t="s">
        <v>529</v>
      </c>
      <c r="I220">
        <v>6.99</v>
      </c>
      <c r="J220">
        <v>5</v>
      </c>
      <c r="L220">
        <v>0</v>
      </c>
    </row>
    <row r="221" spans="1:12" x14ac:dyDescent="0.2">
      <c r="A221" t="s">
        <v>4606</v>
      </c>
      <c r="B221" t="s">
        <v>4744</v>
      </c>
      <c r="C221" t="s">
        <v>4100</v>
      </c>
      <c r="D221" t="s">
        <v>4101</v>
      </c>
      <c r="F221" t="s">
        <v>4750</v>
      </c>
      <c r="G221">
        <v>10</v>
      </c>
      <c r="H221" t="s">
        <v>529</v>
      </c>
      <c r="I221">
        <v>19.989999999999998</v>
      </c>
      <c r="J221">
        <v>10</v>
      </c>
      <c r="L221">
        <v>0</v>
      </c>
    </row>
    <row r="222" spans="1:12" x14ac:dyDescent="0.2">
      <c r="A222" t="s">
        <v>775</v>
      </c>
      <c r="B222" t="s">
        <v>3116</v>
      </c>
      <c r="C222" t="s">
        <v>804</v>
      </c>
      <c r="D222" t="s">
        <v>4751</v>
      </c>
      <c r="F222" t="s">
        <v>779</v>
      </c>
      <c r="G222">
        <v>4.79</v>
      </c>
      <c r="H222" t="s">
        <v>529</v>
      </c>
      <c r="I222">
        <v>7.99</v>
      </c>
      <c r="J222" t="s">
        <v>4752</v>
      </c>
      <c r="L222">
        <v>0</v>
      </c>
    </row>
    <row r="223" spans="1:12" x14ac:dyDescent="0.2">
      <c r="A223" t="s">
        <v>775</v>
      </c>
      <c r="B223" t="s">
        <v>4753</v>
      </c>
      <c r="C223" t="s">
        <v>3115</v>
      </c>
      <c r="D223" t="s">
        <v>4754</v>
      </c>
      <c r="F223" t="s">
        <v>3124</v>
      </c>
      <c r="G223">
        <v>3.99</v>
      </c>
      <c r="H223" t="s">
        <v>529</v>
      </c>
      <c r="I223">
        <v>5.99</v>
      </c>
      <c r="J223" t="s">
        <v>4755</v>
      </c>
      <c r="L223">
        <v>0</v>
      </c>
    </row>
    <row r="224" spans="1:12" x14ac:dyDescent="0.2">
      <c r="A224" t="s">
        <v>775</v>
      </c>
      <c r="B224" t="s">
        <v>4753</v>
      </c>
      <c r="C224" t="s">
        <v>805</v>
      </c>
      <c r="D224" t="s">
        <v>4756</v>
      </c>
      <c r="F224" t="s">
        <v>780</v>
      </c>
      <c r="G224">
        <v>3.99</v>
      </c>
      <c r="H224" t="s">
        <v>529</v>
      </c>
      <c r="I224">
        <v>5.99</v>
      </c>
      <c r="J224" t="s">
        <v>4757</v>
      </c>
      <c r="L224">
        <v>0</v>
      </c>
    </row>
    <row r="225" spans="1:12" x14ac:dyDescent="0.2">
      <c r="A225" t="s">
        <v>775</v>
      </c>
      <c r="B225" t="s">
        <v>4758</v>
      </c>
      <c r="C225" t="s">
        <v>801</v>
      </c>
      <c r="D225" t="s">
        <v>4759</v>
      </c>
      <c r="F225" t="s">
        <v>776</v>
      </c>
      <c r="G225">
        <v>7.49</v>
      </c>
      <c r="H225" t="s">
        <v>529</v>
      </c>
      <c r="I225">
        <v>12.99</v>
      </c>
      <c r="J225" t="s">
        <v>4760</v>
      </c>
      <c r="L225">
        <v>0</v>
      </c>
    </row>
    <row r="226" spans="1:12" x14ac:dyDescent="0.2">
      <c r="A226" t="s">
        <v>775</v>
      </c>
      <c r="B226" t="s">
        <v>4758</v>
      </c>
      <c r="C226" t="s">
        <v>1025</v>
      </c>
      <c r="D226" t="s">
        <v>4761</v>
      </c>
      <c r="F226" t="s">
        <v>4762</v>
      </c>
      <c r="G226">
        <v>12.99</v>
      </c>
      <c r="H226" t="s">
        <v>529</v>
      </c>
      <c r="I226">
        <v>22.99</v>
      </c>
      <c r="J226" t="s">
        <v>4763</v>
      </c>
      <c r="L226">
        <v>0</v>
      </c>
    </row>
    <row r="227" spans="1:12" x14ac:dyDescent="0.2">
      <c r="A227" t="s">
        <v>775</v>
      </c>
      <c r="B227" t="s">
        <v>4758</v>
      </c>
      <c r="C227" t="s">
        <v>803</v>
      </c>
      <c r="D227" t="s">
        <v>4764</v>
      </c>
      <c r="F227" t="s">
        <v>778</v>
      </c>
      <c r="G227">
        <v>3.49</v>
      </c>
      <c r="H227" t="s">
        <v>529</v>
      </c>
      <c r="I227">
        <v>5.99</v>
      </c>
      <c r="J227">
        <v>12</v>
      </c>
      <c r="L227">
        <v>0</v>
      </c>
    </row>
    <row r="228" spans="1:12" x14ac:dyDescent="0.2">
      <c r="A228" t="s">
        <v>775</v>
      </c>
      <c r="B228" t="s">
        <v>4758</v>
      </c>
      <c r="C228" t="s">
        <v>862</v>
      </c>
      <c r="D228" t="s">
        <v>4765</v>
      </c>
      <c r="F228" t="s">
        <v>863</v>
      </c>
      <c r="G228">
        <v>16.989999999999998</v>
      </c>
      <c r="H228" t="s">
        <v>529</v>
      </c>
      <c r="I228">
        <v>29.990000000000002</v>
      </c>
      <c r="J228" t="s">
        <v>4766</v>
      </c>
      <c r="L228">
        <v>0</v>
      </c>
    </row>
    <row r="229" spans="1:12" x14ac:dyDescent="0.2">
      <c r="A229" t="s">
        <v>775</v>
      </c>
      <c r="B229" t="s">
        <v>4758</v>
      </c>
      <c r="C229" t="s">
        <v>806</v>
      </c>
      <c r="D229" t="s">
        <v>4767</v>
      </c>
      <c r="F229" t="s">
        <v>781</v>
      </c>
      <c r="G229">
        <v>12.99</v>
      </c>
      <c r="H229" t="s">
        <v>529</v>
      </c>
      <c r="I229">
        <v>24.990000000000002</v>
      </c>
      <c r="J229" t="s">
        <v>4422</v>
      </c>
      <c r="L229">
        <v>0</v>
      </c>
    </row>
    <row r="230" spans="1:12" x14ac:dyDescent="0.2">
      <c r="A230" t="s">
        <v>775</v>
      </c>
      <c r="B230" t="s">
        <v>4758</v>
      </c>
      <c r="C230" t="s">
        <v>802</v>
      </c>
      <c r="D230" t="s">
        <v>4768</v>
      </c>
      <c r="F230" t="s">
        <v>777</v>
      </c>
      <c r="G230">
        <v>9.99</v>
      </c>
      <c r="H230" t="s">
        <v>529</v>
      </c>
      <c r="I230">
        <v>17.989999999999998</v>
      </c>
      <c r="J230" t="s">
        <v>4769</v>
      </c>
      <c r="L230">
        <v>0</v>
      </c>
    </row>
    <row r="231" spans="1:12" x14ac:dyDescent="0.2">
      <c r="A231" t="s">
        <v>775</v>
      </c>
      <c r="B231" t="s">
        <v>3119</v>
      </c>
      <c r="C231" t="s">
        <v>808</v>
      </c>
      <c r="D231" t="s">
        <v>4770</v>
      </c>
      <c r="F231" t="s">
        <v>783</v>
      </c>
      <c r="G231">
        <v>16.989999999999998</v>
      </c>
      <c r="H231" t="s">
        <v>529</v>
      </c>
      <c r="I231">
        <v>29.990000000000002</v>
      </c>
      <c r="J231" t="s">
        <v>4621</v>
      </c>
      <c r="L231">
        <v>0</v>
      </c>
    </row>
    <row r="232" spans="1:12" x14ac:dyDescent="0.2">
      <c r="A232" t="s">
        <v>775</v>
      </c>
      <c r="B232" t="s">
        <v>3119</v>
      </c>
      <c r="C232" t="s">
        <v>4771</v>
      </c>
      <c r="D232" t="s">
        <v>4772</v>
      </c>
      <c r="F232" t="s">
        <v>4773</v>
      </c>
      <c r="G232">
        <v>20.99</v>
      </c>
      <c r="H232" t="s">
        <v>529</v>
      </c>
      <c r="I232">
        <v>39.99</v>
      </c>
      <c r="J232" t="s">
        <v>4621</v>
      </c>
      <c r="L232">
        <v>0</v>
      </c>
    </row>
    <row r="233" spans="1:12" x14ac:dyDescent="0.2">
      <c r="A233" t="s">
        <v>775</v>
      </c>
      <c r="B233" t="s">
        <v>3119</v>
      </c>
      <c r="C233" t="s">
        <v>809</v>
      </c>
      <c r="D233" t="s">
        <v>4774</v>
      </c>
      <c r="F233" t="s">
        <v>784</v>
      </c>
      <c r="G233">
        <v>30.990000000000002</v>
      </c>
      <c r="H233" t="s">
        <v>529</v>
      </c>
      <c r="I233">
        <v>49.99</v>
      </c>
      <c r="J233" t="s">
        <v>4621</v>
      </c>
      <c r="L233">
        <v>0</v>
      </c>
    </row>
    <row r="234" spans="1:12" x14ac:dyDescent="0.2">
      <c r="A234" t="s">
        <v>775</v>
      </c>
      <c r="B234" t="s">
        <v>3119</v>
      </c>
      <c r="C234" t="s">
        <v>4268</v>
      </c>
      <c r="D234" t="s">
        <v>4774</v>
      </c>
      <c r="F234" t="s">
        <v>4270</v>
      </c>
      <c r="G234">
        <v>34.99</v>
      </c>
      <c r="H234" t="s">
        <v>529</v>
      </c>
      <c r="I234">
        <v>59.99</v>
      </c>
      <c r="J234" t="s">
        <v>4621</v>
      </c>
      <c r="L234">
        <v>0</v>
      </c>
    </row>
    <row r="235" spans="1:12" x14ac:dyDescent="0.2">
      <c r="A235" t="s">
        <v>775</v>
      </c>
      <c r="B235" t="s">
        <v>3119</v>
      </c>
      <c r="C235" t="s">
        <v>1132</v>
      </c>
      <c r="D235" t="s">
        <v>4775</v>
      </c>
      <c r="F235" t="s">
        <v>1134</v>
      </c>
      <c r="G235">
        <v>62.99</v>
      </c>
      <c r="H235" t="s">
        <v>529</v>
      </c>
      <c r="I235">
        <v>99.990000000000009</v>
      </c>
      <c r="J235" t="s">
        <v>4621</v>
      </c>
      <c r="L235">
        <v>0</v>
      </c>
    </row>
    <row r="236" spans="1:12" x14ac:dyDescent="0.2">
      <c r="A236" t="s">
        <v>775</v>
      </c>
      <c r="B236" t="s">
        <v>3119</v>
      </c>
      <c r="C236" t="s">
        <v>1586</v>
      </c>
      <c r="D236" t="s">
        <v>4776</v>
      </c>
      <c r="F236" t="s">
        <v>1587</v>
      </c>
      <c r="G236">
        <v>32.99</v>
      </c>
      <c r="H236" t="s">
        <v>529</v>
      </c>
      <c r="I236">
        <v>59.99</v>
      </c>
      <c r="J236">
        <v>3</v>
      </c>
      <c r="L236">
        <v>0</v>
      </c>
    </row>
    <row r="237" spans="1:12" x14ac:dyDescent="0.2">
      <c r="A237" t="s">
        <v>775</v>
      </c>
      <c r="B237" t="s">
        <v>3119</v>
      </c>
      <c r="C237" t="s">
        <v>857</v>
      </c>
      <c r="D237" t="s">
        <v>4777</v>
      </c>
      <c r="F237" t="s">
        <v>858</v>
      </c>
      <c r="G237">
        <v>38.99</v>
      </c>
      <c r="H237" t="s">
        <v>529</v>
      </c>
      <c r="I237">
        <v>69.990000000000009</v>
      </c>
      <c r="J237">
        <v>12</v>
      </c>
      <c r="L237">
        <v>0</v>
      </c>
    </row>
    <row r="238" spans="1:12" x14ac:dyDescent="0.2">
      <c r="A238" t="s">
        <v>775</v>
      </c>
      <c r="B238" t="s">
        <v>3119</v>
      </c>
      <c r="C238" t="s">
        <v>1023</v>
      </c>
      <c r="D238" t="s">
        <v>4778</v>
      </c>
      <c r="F238" t="s">
        <v>1024</v>
      </c>
      <c r="G238">
        <v>16.989999999999998</v>
      </c>
      <c r="H238" t="s">
        <v>529</v>
      </c>
      <c r="I238">
        <v>29.990000000000002</v>
      </c>
      <c r="J238">
        <v>12</v>
      </c>
      <c r="L238">
        <v>0</v>
      </c>
    </row>
    <row r="239" spans="1:12" x14ac:dyDescent="0.2">
      <c r="A239" t="s">
        <v>775</v>
      </c>
      <c r="B239" t="s">
        <v>3119</v>
      </c>
      <c r="C239" t="s">
        <v>859</v>
      </c>
      <c r="D239" t="s">
        <v>4779</v>
      </c>
      <c r="F239" t="s">
        <v>860</v>
      </c>
      <c r="G239">
        <v>16.989999999999998</v>
      </c>
      <c r="H239" t="s">
        <v>529</v>
      </c>
      <c r="I239">
        <v>29.990000000000002</v>
      </c>
      <c r="J239">
        <v>12</v>
      </c>
      <c r="L239">
        <v>0</v>
      </c>
    </row>
    <row r="240" spans="1:12" x14ac:dyDescent="0.2">
      <c r="A240" t="s">
        <v>775</v>
      </c>
      <c r="B240" t="s">
        <v>4780</v>
      </c>
      <c r="C240" t="s">
        <v>4781</v>
      </c>
      <c r="D240" t="s">
        <v>4782</v>
      </c>
      <c r="F240" t="s">
        <v>3139</v>
      </c>
      <c r="G240">
        <v>8.99</v>
      </c>
      <c r="H240" t="s">
        <v>529</v>
      </c>
      <c r="I240">
        <v>14.99</v>
      </c>
      <c r="J240">
        <v>50</v>
      </c>
      <c r="L240">
        <v>0</v>
      </c>
    </row>
    <row r="241" spans="1:12" x14ac:dyDescent="0.2">
      <c r="A241" t="s">
        <v>775</v>
      </c>
      <c r="B241" t="s">
        <v>4780</v>
      </c>
      <c r="C241" t="s">
        <v>4783</v>
      </c>
      <c r="D241" t="s">
        <v>4784</v>
      </c>
      <c r="F241" t="s">
        <v>3140</v>
      </c>
      <c r="G241">
        <v>8.99</v>
      </c>
      <c r="H241" t="s">
        <v>529</v>
      </c>
      <c r="I241">
        <v>14.99</v>
      </c>
      <c r="J241">
        <v>50</v>
      </c>
      <c r="L241">
        <v>0</v>
      </c>
    </row>
    <row r="242" spans="1:12" x14ac:dyDescent="0.2">
      <c r="A242" t="s">
        <v>775</v>
      </c>
      <c r="B242" t="s">
        <v>4780</v>
      </c>
      <c r="C242" t="s">
        <v>3070</v>
      </c>
      <c r="D242" t="s">
        <v>4785</v>
      </c>
      <c r="F242" t="s">
        <v>3138</v>
      </c>
      <c r="G242">
        <v>8.99</v>
      </c>
      <c r="H242" t="s">
        <v>529</v>
      </c>
      <c r="I242">
        <v>14.99</v>
      </c>
      <c r="J242">
        <v>50</v>
      </c>
      <c r="L242">
        <v>0</v>
      </c>
    </row>
    <row r="243" spans="1:12" x14ac:dyDescent="0.2">
      <c r="A243" t="s">
        <v>775</v>
      </c>
      <c r="B243" t="s">
        <v>4780</v>
      </c>
      <c r="C243" t="s">
        <v>3073</v>
      </c>
      <c r="D243" t="s">
        <v>4786</v>
      </c>
      <c r="F243" t="s">
        <v>3141</v>
      </c>
      <c r="G243">
        <v>17.989999999999998</v>
      </c>
      <c r="H243" t="s">
        <v>529</v>
      </c>
      <c r="I243">
        <v>29.990000000000002</v>
      </c>
      <c r="J243">
        <v>50</v>
      </c>
      <c r="L243">
        <v>0</v>
      </c>
    </row>
    <row r="244" spans="1:12" x14ac:dyDescent="0.2">
      <c r="A244" t="s">
        <v>775</v>
      </c>
      <c r="B244" t="s">
        <v>4787</v>
      </c>
      <c r="C244" t="s">
        <v>3133</v>
      </c>
      <c r="D244" t="s">
        <v>4788</v>
      </c>
      <c r="F244" t="s">
        <v>4789</v>
      </c>
      <c r="G244">
        <v>26.990000000000002</v>
      </c>
      <c r="H244" t="s">
        <v>529</v>
      </c>
      <c r="I244">
        <v>49.99</v>
      </c>
      <c r="J244" t="s">
        <v>4621</v>
      </c>
      <c r="L244">
        <v>0</v>
      </c>
    </row>
    <row r="245" spans="1:12" x14ac:dyDescent="0.2">
      <c r="A245" t="s">
        <v>775</v>
      </c>
      <c r="B245" t="s">
        <v>4790</v>
      </c>
      <c r="C245" t="s">
        <v>2090</v>
      </c>
      <c r="D245" t="s">
        <v>4788</v>
      </c>
      <c r="F245" t="s">
        <v>4791</v>
      </c>
      <c r="G245">
        <v>26.990000000000002</v>
      </c>
      <c r="H245" t="s">
        <v>529</v>
      </c>
      <c r="I245">
        <v>49.99</v>
      </c>
      <c r="J245" t="s">
        <v>4621</v>
      </c>
      <c r="L245">
        <v>0</v>
      </c>
    </row>
    <row r="246" spans="1:12" x14ac:dyDescent="0.2">
      <c r="A246" t="s">
        <v>775</v>
      </c>
      <c r="B246" t="s">
        <v>4787</v>
      </c>
      <c r="C246" t="s">
        <v>2091</v>
      </c>
      <c r="D246" t="s">
        <v>4788</v>
      </c>
      <c r="F246" t="s">
        <v>4792</v>
      </c>
      <c r="G246">
        <v>26.990000000000002</v>
      </c>
      <c r="H246" t="s">
        <v>529</v>
      </c>
      <c r="I246">
        <v>49.99</v>
      </c>
      <c r="J246" t="s">
        <v>4621</v>
      </c>
      <c r="L246">
        <v>0</v>
      </c>
    </row>
    <row r="247" spans="1:12" x14ac:dyDescent="0.2">
      <c r="A247" t="s">
        <v>775</v>
      </c>
      <c r="B247" t="s">
        <v>4793</v>
      </c>
      <c r="C247" t="s">
        <v>2092</v>
      </c>
      <c r="D247" t="s">
        <v>4794</v>
      </c>
      <c r="F247" t="s">
        <v>4795</v>
      </c>
      <c r="G247">
        <v>26.990000000000002</v>
      </c>
      <c r="H247" t="s">
        <v>529</v>
      </c>
      <c r="I247">
        <v>49.99</v>
      </c>
      <c r="J247" t="s">
        <v>4621</v>
      </c>
      <c r="L247">
        <v>0</v>
      </c>
    </row>
    <row r="248" spans="1:12" x14ac:dyDescent="0.2">
      <c r="A248" t="s">
        <v>775</v>
      </c>
      <c r="B248" t="s">
        <v>4793</v>
      </c>
      <c r="C248" t="s">
        <v>2093</v>
      </c>
      <c r="D248" t="s">
        <v>4794</v>
      </c>
      <c r="F248" t="s">
        <v>4796</v>
      </c>
      <c r="G248">
        <v>26.990000000000002</v>
      </c>
      <c r="H248" t="s">
        <v>529</v>
      </c>
      <c r="I248">
        <v>49.99</v>
      </c>
      <c r="J248" t="s">
        <v>4621</v>
      </c>
      <c r="L248">
        <v>0</v>
      </c>
    </row>
    <row r="249" spans="1:12" x14ac:dyDescent="0.2">
      <c r="A249" t="s">
        <v>775</v>
      </c>
      <c r="B249" t="s">
        <v>4793</v>
      </c>
      <c r="C249" t="s">
        <v>2094</v>
      </c>
      <c r="D249" t="s">
        <v>4794</v>
      </c>
      <c r="F249" t="s">
        <v>4797</v>
      </c>
      <c r="G249">
        <v>26.990000000000002</v>
      </c>
      <c r="H249" t="s">
        <v>529</v>
      </c>
      <c r="I249">
        <v>49.99</v>
      </c>
      <c r="J249" t="s">
        <v>4461</v>
      </c>
      <c r="L249">
        <v>0</v>
      </c>
    </row>
    <row r="250" spans="1:12" x14ac:dyDescent="0.2">
      <c r="A250" t="s">
        <v>4798</v>
      </c>
      <c r="B250" t="s">
        <v>4799</v>
      </c>
      <c r="C250" t="s">
        <v>3297</v>
      </c>
      <c r="D250" t="s">
        <v>3298</v>
      </c>
      <c r="E250" t="s">
        <v>370</v>
      </c>
      <c r="F250" t="s">
        <v>2893</v>
      </c>
      <c r="G250">
        <v>15.99</v>
      </c>
      <c r="H250" t="s">
        <v>529</v>
      </c>
      <c r="I250">
        <v>29.990000000000002</v>
      </c>
      <c r="J250" t="s">
        <v>4800</v>
      </c>
      <c r="L250">
        <v>0</v>
      </c>
    </row>
    <row r="251" spans="1:12" x14ac:dyDescent="0.2">
      <c r="A251" t="s">
        <v>4798</v>
      </c>
      <c r="B251" t="s">
        <v>4799</v>
      </c>
      <c r="C251" t="s">
        <v>3297</v>
      </c>
      <c r="D251" t="s">
        <v>3298</v>
      </c>
      <c r="E251" t="s">
        <v>3762</v>
      </c>
      <c r="F251" t="s">
        <v>2895</v>
      </c>
      <c r="G251">
        <v>15.99</v>
      </c>
      <c r="H251" t="s">
        <v>529</v>
      </c>
      <c r="I251">
        <v>29.990000000000002</v>
      </c>
      <c r="J251" t="s">
        <v>4800</v>
      </c>
      <c r="L251">
        <v>0</v>
      </c>
    </row>
    <row r="252" spans="1:12" x14ac:dyDescent="0.2">
      <c r="A252" t="s">
        <v>4798</v>
      </c>
      <c r="B252" t="s">
        <v>4799</v>
      </c>
      <c r="C252" t="s">
        <v>3297</v>
      </c>
      <c r="D252" t="s">
        <v>3298</v>
      </c>
      <c r="E252" t="s">
        <v>373</v>
      </c>
      <c r="F252" t="s">
        <v>2894</v>
      </c>
      <c r="G252">
        <v>15.99</v>
      </c>
      <c r="H252" t="s">
        <v>529</v>
      </c>
      <c r="I252">
        <v>29.990000000000002</v>
      </c>
      <c r="J252" t="s">
        <v>4800</v>
      </c>
      <c r="L252">
        <v>0</v>
      </c>
    </row>
    <row r="253" spans="1:12" x14ac:dyDescent="0.2">
      <c r="A253" t="s">
        <v>4798</v>
      </c>
      <c r="B253" t="s">
        <v>4799</v>
      </c>
      <c r="C253" t="s">
        <v>1853</v>
      </c>
      <c r="D253" t="s">
        <v>4801</v>
      </c>
      <c r="E253" t="s">
        <v>1779</v>
      </c>
      <c r="F253" t="s">
        <v>4802</v>
      </c>
      <c r="G253">
        <v>5.99</v>
      </c>
      <c r="H253" t="s">
        <v>529</v>
      </c>
      <c r="I253">
        <v>9.99</v>
      </c>
      <c r="J253" t="s">
        <v>4521</v>
      </c>
      <c r="L253">
        <v>0</v>
      </c>
    </row>
    <row r="254" spans="1:12" x14ac:dyDescent="0.2">
      <c r="A254" t="s">
        <v>4798</v>
      </c>
      <c r="B254" t="s">
        <v>4799</v>
      </c>
      <c r="C254" t="s">
        <v>1853</v>
      </c>
      <c r="D254" t="s">
        <v>4801</v>
      </c>
      <c r="E254" t="s">
        <v>1776</v>
      </c>
      <c r="F254" t="s">
        <v>4803</v>
      </c>
      <c r="G254">
        <v>5.99</v>
      </c>
      <c r="H254" t="s">
        <v>529</v>
      </c>
      <c r="I254">
        <v>9.99</v>
      </c>
      <c r="J254" t="s">
        <v>4521</v>
      </c>
      <c r="L254">
        <v>0</v>
      </c>
    </row>
    <row r="255" spans="1:12" x14ac:dyDescent="0.2">
      <c r="A255" t="s">
        <v>4798</v>
      </c>
      <c r="B255" t="s">
        <v>4799</v>
      </c>
      <c r="C255" t="s">
        <v>1853</v>
      </c>
      <c r="D255" t="s">
        <v>4801</v>
      </c>
      <c r="E255" t="s">
        <v>1775</v>
      </c>
      <c r="F255" t="s">
        <v>4804</v>
      </c>
      <c r="G255">
        <v>5.99</v>
      </c>
      <c r="H255" t="s">
        <v>529</v>
      </c>
      <c r="I255">
        <v>9.99</v>
      </c>
      <c r="J255" t="s">
        <v>4521</v>
      </c>
      <c r="L255">
        <v>0</v>
      </c>
    </row>
    <row r="256" spans="1:12" x14ac:dyDescent="0.2">
      <c r="A256" t="s">
        <v>4798</v>
      </c>
      <c r="B256" t="s">
        <v>4799</v>
      </c>
      <c r="C256" t="s">
        <v>1853</v>
      </c>
      <c r="D256" t="s">
        <v>4801</v>
      </c>
      <c r="E256" t="s">
        <v>1741</v>
      </c>
      <c r="F256" t="s">
        <v>4805</v>
      </c>
      <c r="G256">
        <v>5.99</v>
      </c>
      <c r="H256" t="s">
        <v>529</v>
      </c>
      <c r="I256">
        <v>9.99</v>
      </c>
      <c r="J256" t="s">
        <v>4521</v>
      </c>
      <c r="L256">
        <v>0</v>
      </c>
    </row>
    <row r="257" spans="1:12" x14ac:dyDescent="0.2">
      <c r="A257" t="s">
        <v>4798</v>
      </c>
      <c r="B257" t="s">
        <v>4799</v>
      </c>
      <c r="C257" t="s">
        <v>18</v>
      </c>
      <c r="D257" t="s">
        <v>4806</v>
      </c>
      <c r="E257" t="s">
        <v>369</v>
      </c>
      <c r="F257" t="s">
        <v>1839</v>
      </c>
      <c r="G257">
        <v>2.99</v>
      </c>
      <c r="H257" t="s">
        <v>529</v>
      </c>
      <c r="I257">
        <v>4.99</v>
      </c>
      <c r="J257">
        <v>6</v>
      </c>
      <c r="L257">
        <v>0</v>
      </c>
    </row>
    <row r="258" spans="1:12" x14ac:dyDescent="0.2">
      <c r="A258" t="s">
        <v>4798</v>
      </c>
      <c r="B258" t="s">
        <v>4799</v>
      </c>
      <c r="C258" t="s">
        <v>1079</v>
      </c>
      <c r="D258" t="s">
        <v>1504</v>
      </c>
      <c r="F258" t="s">
        <v>4807</v>
      </c>
      <c r="G258">
        <v>12.99</v>
      </c>
      <c r="H258" t="s">
        <v>529</v>
      </c>
      <c r="I258">
        <v>22.99</v>
      </c>
      <c r="J258" t="s">
        <v>4420</v>
      </c>
      <c r="L258">
        <v>0</v>
      </c>
    </row>
    <row r="259" spans="1:12" x14ac:dyDescent="0.2">
      <c r="A259" t="s">
        <v>4798</v>
      </c>
      <c r="B259" t="s">
        <v>4799</v>
      </c>
      <c r="C259" t="s">
        <v>1048</v>
      </c>
      <c r="D259" t="s">
        <v>4808</v>
      </c>
      <c r="E259" t="s">
        <v>4809</v>
      </c>
      <c r="F259" t="s">
        <v>4810</v>
      </c>
      <c r="G259">
        <v>11.99</v>
      </c>
      <c r="H259" t="s">
        <v>529</v>
      </c>
      <c r="I259">
        <v>19.989999999999998</v>
      </c>
      <c r="J259">
        <v>12</v>
      </c>
      <c r="L259">
        <v>0</v>
      </c>
    </row>
    <row r="260" spans="1:12" x14ac:dyDescent="0.2">
      <c r="A260" t="s">
        <v>4798</v>
      </c>
      <c r="B260" t="s">
        <v>4799</v>
      </c>
      <c r="C260" t="s">
        <v>1048</v>
      </c>
      <c r="D260" t="s">
        <v>4811</v>
      </c>
      <c r="E260" t="s">
        <v>1017</v>
      </c>
      <c r="F260" t="s">
        <v>4812</v>
      </c>
      <c r="G260">
        <v>11.99</v>
      </c>
      <c r="H260" t="s">
        <v>529</v>
      </c>
      <c r="I260">
        <v>19.989999999999998</v>
      </c>
      <c r="J260">
        <v>12</v>
      </c>
      <c r="L260">
        <v>0</v>
      </c>
    </row>
    <row r="261" spans="1:12" x14ac:dyDescent="0.2">
      <c r="A261" t="s">
        <v>4798</v>
      </c>
      <c r="B261" t="s">
        <v>4799</v>
      </c>
      <c r="C261" t="s">
        <v>1048</v>
      </c>
      <c r="D261" t="s">
        <v>4813</v>
      </c>
      <c r="E261" t="s">
        <v>371</v>
      </c>
      <c r="F261" t="s">
        <v>4814</v>
      </c>
      <c r="G261">
        <v>11.99</v>
      </c>
      <c r="H261" t="s">
        <v>529</v>
      </c>
      <c r="I261">
        <v>19.989999999999998</v>
      </c>
      <c r="J261">
        <v>12</v>
      </c>
      <c r="L261">
        <v>0</v>
      </c>
    </row>
    <row r="262" spans="1:12" x14ac:dyDescent="0.2">
      <c r="A262" t="s">
        <v>4798</v>
      </c>
      <c r="B262" t="s">
        <v>4799</v>
      </c>
      <c r="C262" t="s">
        <v>1048</v>
      </c>
      <c r="D262" t="s">
        <v>4815</v>
      </c>
      <c r="E262" t="s">
        <v>374</v>
      </c>
      <c r="F262" t="s">
        <v>4816</v>
      </c>
      <c r="G262">
        <v>11.99</v>
      </c>
      <c r="H262" t="s">
        <v>529</v>
      </c>
      <c r="I262">
        <v>19.989999999999998</v>
      </c>
      <c r="J262">
        <v>12</v>
      </c>
      <c r="L262">
        <v>0</v>
      </c>
    </row>
    <row r="263" spans="1:12" x14ac:dyDescent="0.2">
      <c r="A263" t="s">
        <v>4798</v>
      </c>
      <c r="B263" t="s">
        <v>4799</v>
      </c>
      <c r="C263" t="s">
        <v>1048</v>
      </c>
      <c r="D263" t="s">
        <v>4817</v>
      </c>
      <c r="E263" t="s">
        <v>2882</v>
      </c>
      <c r="F263" t="s">
        <v>4818</v>
      </c>
      <c r="G263">
        <v>11.99</v>
      </c>
      <c r="H263" t="s">
        <v>529</v>
      </c>
      <c r="I263">
        <v>19.989999999999998</v>
      </c>
      <c r="J263">
        <v>12</v>
      </c>
      <c r="L263">
        <v>0</v>
      </c>
    </row>
    <row r="264" spans="1:12" x14ac:dyDescent="0.2">
      <c r="A264" t="s">
        <v>4798</v>
      </c>
      <c r="B264" t="s">
        <v>4799</v>
      </c>
      <c r="C264" t="s">
        <v>1048</v>
      </c>
      <c r="D264" t="s">
        <v>4819</v>
      </c>
      <c r="E264" t="s">
        <v>4820</v>
      </c>
      <c r="F264" t="s">
        <v>4821</v>
      </c>
      <c r="G264">
        <v>11.99</v>
      </c>
      <c r="H264" t="s">
        <v>529</v>
      </c>
      <c r="I264">
        <v>19.989999999999998</v>
      </c>
      <c r="J264">
        <v>12</v>
      </c>
      <c r="L264">
        <v>0</v>
      </c>
    </row>
    <row r="265" spans="1:12" x14ac:dyDescent="0.2">
      <c r="A265" t="s">
        <v>4798</v>
      </c>
      <c r="B265" t="s">
        <v>4799</v>
      </c>
      <c r="C265" t="s">
        <v>1048</v>
      </c>
      <c r="D265" t="s">
        <v>4822</v>
      </c>
      <c r="E265" t="s">
        <v>4823</v>
      </c>
      <c r="F265" t="s">
        <v>4824</v>
      </c>
      <c r="G265">
        <v>11.99</v>
      </c>
      <c r="H265" t="s">
        <v>529</v>
      </c>
      <c r="I265">
        <v>19.989999999999998</v>
      </c>
      <c r="J265">
        <v>12</v>
      </c>
      <c r="L265">
        <v>0</v>
      </c>
    </row>
    <row r="266" spans="1:12" x14ac:dyDescent="0.2">
      <c r="A266" t="s">
        <v>4798</v>
      </c>
      <c r="B266" t="s">
        <v>4799</v>
      </c>
      <c r="C266" t="s">
        <v>1048</v>
      </c>
      <c r="D266" t="s">
        <v>4825</v>
      </c>
      <c r="E266" t="s">
        <v>369</v>
      </c>
      <c r="F266" t="s">
        <v>4826</v>
      </c>
      <c r="G266">
        <v>11.99</v>
      </c>
      <c r="H266" t="s">
        <v>529</v>
      </c>
      <c r="I266">
        <v>19.989999999999998</v>
      </c>
      <c r="J266">
        <v>12</v>
      </c>
      <c r="L266">
        <v>0</v>
      </c>
    </row>
    <row r="267" spans="1:12" x14ac:dyDescent="0.2">
      <c r="A267" t="s">
        <v>4798</v>
      </c>
      <c r="B267" t="s">
        <v>4799</v>
      </c>
      <c r="C267" t="s">
        <v>1048</v>
      </c>
      <c r="D267" t="s">
        <v>4827</v>
      </c>
      <c r="E267" t="s">
        <v>1741</v>
      </c>
      <c r="F267" t="s">
        <v>4828</v>
      </c>
      <c r="G267">
        <v>11.99</v>
      </c>
      <c r="H267" t="s">
        <v>529</v>
      </c>
      <c r="I267">
        <v>19.989999999999998</v>
      </c>
      <c r="J267">
        <v>12</v>
      </c>
      <c r="L267">
        <v>0</v>
      </c>
    </row>
    <row r="268" spans="1:12" x14ac:dyDescent="0.2">
      <c r="A268" t="s">
        <v>4798</v>
      </c>
      <c r="B268" t="s">
        <v>4799</v>
      </c>
      <c r="C268" t="s">
        <v>1049</v>
      </c>
      <c r="D268" t="s">
        <v>4829</v>
      </c>
      <c r="E268" t="s">
        <v>383</v>
      </c>
      <c r="F268" t="s">
        <v>4830</v>
      </c>
      <c r="G268">
        <v>16.989999999999998</v>
      </c>
      <c r="H268" t="s">
        <v>529</v>
      </c>
      <c r="I268">
        <v>29.990000000000002</v>
      </c>
      <c r="J268">
        <v>12</v>
      </c>
      <c r="L268">
        <v>0</v>
      </c>
    </row>
    <row r="269" spans="1:12" x14ac:dyDescent="0.2">
      <c r="A269" t="s">
        <v>4798</v>
      </c>
      <c r="B269" t="s">
        <v>4799</v>
      </c>
      <c r="C269" t="s">
        <v>1049</v>
      </c>
      <c r="D269" t="s">
        <v>4831</v>
      </c>
      <c r="E269" t="s">
        <v>1017</v>
      </c>
      <c r="F269" t="s">
        <v>4832</v>
      </c>
      <c r="G269">
        <v>16.989999999999998</v>
      </c>
      <c r="H269" t="s">
        <v>529</v>
      </c>
      <c r="I269">
        <v>29.990000000000002</v>
      </c>
      <c r="J269">
        <v>12</v>
      </c>
      <c r="L269">
        <v>0</v>
      </c>
    </row>
    <row r="270" spans="1:12" x14ac:dyDescent="0.2">
      <c r="A270" t="s">
        <v>4798</v>
      </c>
      <c r="B270" t="s">
        <v>4799</v>
      </c>
      <c r="C270" t="s">
        <v>1049</v>
      </c>
      <c r="D270" t="s">
        <v>4833</v>
      </c>
      <c r="E270" t="s">
        <v>1739</v>
      </c>
      <c r="F270" t="s">
        <v>4834</v>
      </c>
      <c r="G270">
        <v>16.989999999999998</v>
      </c>
      <c r="H270" t="s">
        <v>529</v>
      </c>
      <c r="I270">
        <v>29.990000000000002</v>
      </c>
      <c r="J270">
        <v>12</v>
      </c>
      <c r="L270">
        <v>0</v>
      </c>
    </row>
    <row r="271" spans="1:12" x14ac:dyDescent="0.2">
      <c r="A271" t="s">
        <v>4798</v>
      </c>
      <c r="B271" t="s">
        <v>4799</v>
      </c>
      <c r="C271" t="s">
        <v>1049</v>
      </c>
      <c r="D271" t="s">
        <v>4835</v>
      </c>
      <c r="E271" t="s">
        <v>371</v>
      </c>
      <c r="F271" t="s">
        <v>4836</v>
      </c>
      <c r="G271">
        <v>16.989999999999998</v>
      </c>
      <c r="H271" t="s">
        <v>529</v>
      </c>
      <c r="I271">
        <v>29.990000000000002</v>
      </c>
      <c r="J271">
        <v>12</v>
      </c>
      <c r="L271">
        <v>0</v>
      </c>
    </row>
    <row r="272" spans="1:12" x14ac:dyDescent="0.2">
      <c r="A272" t="s">
        <v>4798</v>
      </c>
      <c r="B272" t="s">
        <v>4799</v>
      </c>
      <c r="C272" t="s">
        <v>1049</v>
      </c>
      <c r="D272" t="s">
        <v>4837</v>
      </c>
      <c r="E272" t="s">
        <v>1740</v>
      </c>
      <c r="F272" t="s">
        <v>4838</v>
      </c>
      <c r="G272">
        <v>16.989999999999998</v>
      </c>
      <c r="H272" t="s">
        <v>529</v>
      </c>
      <c r="I272">
        <v>29.990000000000002</v>
      </c>
      <c r="J272">
        <v>12</v>
      </c>
      <c r="L272">
        <v>0</v>
      </c>
    </row>
    <row r="273" spans="1:12" x14ac:dyDescent="0.2">
      <c r="A273" t="s">
        <v>4798</v>
      </c>
      <c r="B273" t="s">
        <v>4799</v>
      </c>
      <c r="C273" t="s">
        <v>1049</v>
      </c>
      <c r="D273" t="s">
        <v>4839</v>
      </c>
      <c r="E273" t="s">
        <v>374</v>
      </c>
      <c r="F273" t="s">
        <v>4840</v>
      </c>
      <c r="G273">
        <v>16.989999999999998</v>
      </c>
      <c r="H273" t="s">
        <v>529</v>
      </c>
      <c r="I273">
        <v>29.990000000000002</v>
      </c>
      <c r="J273">
        <v>12</v>
      </c>
      <c r="L273">
        <v>0</v>
      </c>
    </row>
    <row r="274" spans="1:12" x14ac:dyDescent="0.2">
      <c r="A274" t="s">
        <v>4798</v>
      </c>
      <c r="B274" t="s">
        <v>4799</v>
      </c>
      <c r="C274" t="s">
        <v>1049</v>
      </c>
      <c r="D274" t="s">
        <v>4841</v>
      </c>
      <c r="E274" t="s">
        <v>369</v>
      </c>
      <c r="F274" t="s">
        <v>4842</v>
      </c>
      <c r="G274">
        <v>16.989999999999998</v>
      </c>
      <c r="H274" t="s">
        <v>529</v>
      </c>
      <c r="I274">
        <v>29.990000000000002</v>
      </c>
      <c r="J274">
        <v>12</v>
      </c>
      <c r="L274">
        <v>0</v>
      </c>
    </row>
    <row r="275" spans="1:12" x14ac:dyDescent="0.2">
      <c r="A275" t="s">
        <v>4798</v>
      </c>
      <c r="B275" t="s">
        <v>4799</v>
      </c>
      <c r="C275" t="s">
        <v>948</v>
      </c>
      <c r="D275" t="s">
        <v>4843</v>
      </c>
      <c r="E275" t="s">
        <v>293</v>
      </c>
      <c r="F275" t="s">
        <v>4844</v>
      </c>
      <c r="G275">
        <v>3.99</v>
      </c>
      <c r="H275" t="s">
        <v>529</v>
      </c>
      <c r="I275">
        <v>6.99</v>
      </c>
      <c r="J275" t="s">
        <v>4845</v>
      </c>
      <c r="L275">
        <v>0</v>
      </c>
    </row>
    <row r="276" spans="1:12" x14ac:dyDescent="0.2">
      <c r="A276" t="s">
        <v>4798</v>
      </c>
      <c r="B276" t="s">
        <v>4799</v>
      </c>
      <c r="C276" t="s">
        <v>1760</v>
      </c>
      <c r="D276" t="s">
        <v>4846</v>
      </c>
      <c r="E276" t="s">
        <v>1761</v>
      </c>
      <c r="F276" t="s">
        <v>1762</v>
      </c>
      <c r="G276">
        <v>18.989999999999998</v>
      </c>
      <c r="H276" t="s">
        <v>529</v>
      </c>
      <c r="I276">
        <v>34.99</v>
      </c>
      <c r="J276" t="s">
        <v>4800</v>
      </c>
      <c r="L276">
        <v>0</v>
      </c>
    </row>
    <row r="277" spans="1:12" x14ac:dyDescent="0.2">
      <c r="A277" t="s">
        <v>4798</v>
      </c>
      <c r="B277" t="s">
        <v>4799</v>
      </c>
      <c r="C277" t="s">
        <v>1760</v>
      </c>
      <c r="D277" t="s">
        <v>4846</v>
      </c>
      <c r="E277" t="s">
        <v>1743</v>
      </c>
      <c r="F277" t="s">
        <v>1763</v>
      </c>
      <c r="G277">
        <v>18.989999999999998</v>
      </c>
      <c r="H277" t="s">
        <v>529</v>
      </c>
      <c r="I277">
        <v>34.99</v>
      </c>
      <c r="J277" t="s">
        <v>4800</v>
      </c>
      <c r="L277">
        <v>0</v>
      </c>
    </row>
    <row r="278" spans="1:12" x14ac:dyDescent="0.2">
      <c r="A278" t="s">
        <v>4798</v>
      </c>
      <c r="B278" t="s">
        <v>4799</v>
      </c>
      <c r="C278" t="s">
        <v>1760</v>
      </c>
      <c r="D278" t="s">
        <v>4846</v>
      </c>
      <c r="E278" t="s">
        <v>1766</v>
      </c>
      <c r="F278" t="s">
        <v>1764</v>
      </c>
      <c r="G278">
        <v>18.989999999999998</v>
      </c>
      <c r="H278" t="s">
        <v>529</v>
      </c>
      <c r="I278">
        <v>34.99</v>
      </c>
      <c r="J278" t="s">
        <v>4800</v>
      </c>
      <c r="L278">
        <v>0</v>
      </c>
    </row>
    <row r="279" spans="1:12" x14ac:dyDescent="0.2">
      <c r="A279" t="s">
        <v>4798</v>
      </c>
      <c r="B279" t="s">
        <v>4799</v>
      </c>
      <c r="C279" t="s">
        <v>1771</v>
      </c>
      <c r="D279" t="s">
        <v>4847</v>
      </c>
      <c r="E279" t="s">
        <v>1761</v>
      </c>
      <c r="F279" t="s">
        <v>4848</v>
      </c>
      <c r="G279">
        <v>21.99</v>
      </c>
      <c r="H279" t="s">
        <v>529</v>
      </c>
      <c r="I279">
        <v>39.99</v>
      </c>
      <c r="J279" t="s">
        <v>4800</v>
      </c>
      <c r="L279">
        <v>0</v>
      </c>
    </row>
    <row r="280" spans="1:12" x14ac:dyDescent="0.2">
      <c r="A280" t="s">
        <v>4798</v>
      </c>
      <c r="B280" t="s">
        <v>4799</v>
      </c>
      <c r="C280" t="s">
        <v>1771</v>
      </c>
      <c r="D280" t="s">
        <v>4847</v>
      </c>
      <c r="E280" t="s">
        <v>1743</v>
      </c>
      <c r="F280" t="s">
        <v>1773</v>
      </c>
      <c r="G280">
        <v>21.99</v>
      </c>
      <c r="H280" t="s">
        <v>529</v>
      </c>
      <c r="I280">
        <v>39.99</v>
      </c>
      <c r="J280" t="s">
        <v>4800</v>
      </c>
      <c r="L280">
        <v>0</v>
      </c>
    </row>
    <row r="281" spans="1:12" x14ac:dyDescent="0.2">
      <c r="A281" t="s">
        <v>4798</v>
      </c>
      <c r="B281" t="s">
        <v>4799</v>
      </c>
      <c r="C281" t="s">
        <v>1771</v>
      </c>
      <c r="D281" t="s">
        <v>4847</v>
      </c>
      <c r="E281" t="s">
        <v>1766</v>
      </c>
      <c r="F281" t="s">
        <v>1772</v>
      </c>
      <c r="G281">
        <v>21.99</v>
      </c>
      <c r="H281" t="s">
        <v>529</v>
      </c>
      <c r="I281">
        <v>39.99</v>
      </c>
      <c r="J281" t="s">
        <v>4800</v>
      </c>
      <c r="L281">
        <v>0</v>
      </c>
    </row>
    <row r="282" spans="1:12" x14ac:dyDescent="0.2">
      <c r="A282" t="s">
        <v>4798</v>
      </c>
      <c r="B282" t="s">
        <v>4799</v>
      </c>
      <c r="C282" t="s">
        <v>1135</v>
      </c>
      <c r="D282" t="s">
        <v>4849</v>
      </c>
      <c r="E282" t="s">
        <v>383</v>
      </c>
      <c r="F282" t="s">
        <v>1141</v>
      </c>
      <c r="G282">
        <v>11.99</v>
      </c>
      <c r="H282" t="s">
        <v>529</v>
      </c>
      <c r="I282">
        <v>19.989999999999998</v>
      </c>
      <c r="J282" t="s">
        <v>4800</v>
      </c>
      <c r="L282">
        <v>0</v>
      </c>
    </row>
    <row r="283" spans="1:12" x14ac:dyDescent="0.2">
      <c r="A283" t="s">
        <v>4798</v>
      </c>
      <c r="B283" t="s">
        <v>4799</v>
      </c>
      <c r="C283" t="s">
        <v>1135</v>
      </c>
      <c r="D283" t="s">
        <v>4850</v>
      </c>
      <c r="E283" t="s">
        <v>1017</v>
      </c>
      <c r="F283" t="s">
        <v>1139</v>
      </c>
      <c r="G283">
        <v>11.99</v>
      </c>
      <c r="H283" t="s">
        <v>529</v>
      </c>
      <c r="I283">
        <v>19.989999999999998</v>
      </c>
      <c r="J283" t="s">
        <v>4800</v>
      </c>
      <c r="L283">
        <v>0</v>
      </c>
    </row>
    <row r="284" spans="1:12" x14ac:dyDescent="0.2">
      <c r="A284" t="s">
        <v>4798</v>
      </c>
      <c r="B284" t="s">
        <v>4799</v>
      </c>
      <c r="C284" t="s">
        <v>1135</v>
      </c>
      <c r="D284" t="s">
        <v>4851</v>
      </c>
      <c r="E284" t="s">
        <v>1739</v>
      </c>
      <c r="F284" t="s">
        <v>1757</v>
      </c>
      <c r="G284">
        <v>11.99</v>
      </c>
      <c r="H284" t="s">
        <v>529</v>
      </c>
      <c r="I284">
        <v>19.989999999999998</v>
      </c>
      <c r="J284" t="s">
        <v>4800</v>
      </c>
      <c r="L284">
        <v>0</v>
      </c>
    </row>
    <row r="285" spans="1:12" x14ac:dyDescent="0.2">
      <c r="A285" t="s">
        <v>4798</v>
      </c>
      <c r="B285" t="s">
        <v>4799</v>
      </c>
      <c r="C285" t="s">
        <v>1135</v>
      </c>
      <c r="D285" t="s">
        <v>4852</v>
      </c>
      <c r="E285" t="s">
        <v>371</v>
      </c>
      <c r="F285" t="s">
        <v>1138</v>
      </c>
      <c r="G285">
        <v>11.99</v>
      </c>
      <c r="H285" t="s">
        <v>529</v>
      </c>
      <c r="I285">
        <v>19.989999999999998</v>
      </c>
      <c r="J285" t="s">
        <v>4800</v>
      </c>
      <c r="L285">
        <v>0</v>
      </c>
    </row>
    <row r="286" spans="1:12" x14ac:dyDescent="0.2">
      <c r="A286" t="s">
        <v>4798</v>
      </c>
      <c r="B286" t="s">
        <v>4799</v>
      </c>
      <c r="C286" t="s">
        <v>1135</v>
      </c>
      <c r="D286" t="s">
        <v>4853</v>
      </c>
      <c r="E286" t="s">
        <v>1740</v>
      </c>
      <c r="F286" t="s">
        <v>1758</v>
      </c>
      <c r="G286">
        <v>11.99</v>
      </c>
      <c r="H286" t="s">
        <v>529</v>
      </c>
      <c r="I286">
        <v>19.989999999999998</v>
      </c>
      <c r="J286" t="s">
        <v>4800</v>
      </c>
      <c r="L286">
        <v>0</v>
      </c>
    </row>
    <row r="287" spans="1:12" x14ac:dyDescent="0.2">
      <c r="A287" t="s">
        <v>4798</v>
      </c>
      <c r="B287" t="s">
        <v>4799</v>
      </c>
      <c r="C287" t="s">
        <v>1135</v>
      </c>
      <c r="D287" t="s">
        <v>4854</v>
      </c>
      <c r="E287" t="s">
        <v>374</v>
      </c>
      <c r="F287" t="s">
        <v>1137</v>
      </c>
      <c r="G287">
        <v>11.99</v>
      </c>
      <c r="H287" t="s">
        <v>529</v>
      </c>
      <c r="I287">
        <v>19.989999999999998</v>
      </c>
      <c r="J287" t="s">
        <v>4800</v>
      </c>
      <c r="L287">
        <v>0</v>
      </c>
    </row>
    <row r="288" spans="1:12" x14ac:dyDescent="0.2">
      <c r="A288" t="s">
        <v>4798</v>
      </c>
      <c r="B288" t="s">
        <v>4799</v>
      </c>
      <c r="C288" t="s">
        <v>1135</v>
      </c>
      <c r="D288" t="s">
        <v>4855</v>
      </c>
      <c r="E288" t="s">
        <v>369</v>
      </c>
      <c r="F288" t="s">
        <v>1136</v>
      </c>
      <c r="G288">
        <v>11.99</v>
      </c>
      <c r="H288" t="s">
        <v>529</v>
      </c>
      <c r="I288">
        <v>19.989999999999998</v>
      </c>
      <c r="J288" t="s">
        <v>4800</v>
      </c>
      <c r="L288">
        <v>0</v>
      </c>
    </row>
    <row r="289" spans="1:12" x14ac:dyDescent="0.2">
      <c r="A289" t="s">
        <v>4798</v>
      </c>
      <c r="B289" t="s">
        <v>4799</v>
      </c>
      <c r="C289" t="s">
        <v>1135</v>
      </c>
      <c r="D289" t="s">
        <v>4856</v>
      </c>
      <c r="E289" t="s">
        <v>1741</v>
      </c>
      <c r="F289" t="s">
        <v>1759</v>
      </c>
      <c r="G289">
        <v>11.99</v>
      </c>
      <c r="H289" t="s">
        <v>529</v>
      </c>
      <c r="I289">
        <v>19.989999999999998</v>
      </c>
      <c r="J289" t="s">
        <v>4800</v>
      </c>
      <c r="L289">
        <v>0</v>
      </c>
    </row>
    <row r="290" spans="1:12" x14ac:dyDescent="0.2">
      <c r="A290" t="s">
        <v>4798</v>
      </c>
      <c r="B290" t="s">
        <v>4799</v>
      </c>
      <c r="C290" t="s">
        <v>1085</v>
      </c>
      <c r="D290" t="s">
        <v>4857</v>
      </c>
      <c r="E290" t="s">
        <v>1017</v>
      </c>
      <c r="F290" t="s">
        <v>1092</v>
      </c>
      <c r="G290">
        <v>5.99</v>
      </c>
      <c r="H290" t="s">
        <v>529</v>
      </c>
      <c r="I290">
        <v>9.99</v>
      </c>
      <c r="J290" t="s">
        <v>4858</v>
      </c>
      <c r="L290">
        <v>0</v>
      </c>
    </row>
    <row r="291" spans="1:12" x14ac:dyDescent="0.2">
      <c r="A291" t="s">
        <v>4798</v>
      </c>
      <c r="B291" t="s">
        <v>4799</v>
      </c>
      <c r="C291" t="s">
        <v>1085</v>
      </c>
      <c r="D291" t="s">
        <v>4859</v>
      </c>
      <c r="E291" t="s">
        <v>1739</v>
      </c>
      <c r="F291" t="s">
        <v>1755</v>
      </c>
      <c r="G291">
        <v>5.99</v>
      </c>
      <c r="H291" t="s">
        <v>529</v>
      </c>
      <c r="I291">
        <v>9.99</v>
      </c>
      <c r="J291" t="s">
        <v>4858</v>
      </c>
      <c r="L291">
        <v>0</v>
      </c>
    </row>
    <row r="292" spans="1:12" x14ac:dyDescent="0.2">
      <c r="A292" t="s">
        <v>4798</v>
      </c>
      <c r="B292" t="s">
        <v>4799</v>
      </c>
      <c r="C292" t="s">
        <v>1085</v>
      </c>
      <c r="D292" t="s">
        <v>4860</v>
      </c>
      <c r="E292" t="s">
        <v>371</v>
      </c>
      <c r="F292" t="s">
        <v>1091</v>
      </c>
      <c r="G292">
        <v>5.99</v>
      </c>
      <c r="H292" t="s">
        <v>529</v>
      </c>
      <c r="I292">
        <v>9.99</v>
      </c>
      <c r="J292" t="s">
        <v>4858</v>
      </c>
      <c r="L292">
        <v>0</v>
      </c>
    </row>
    <row r="293" spans="1:12" x14ac:dyDescent="0.2">
      <c r="A293" t="s">
        <v>4798</v>
      </c>
      <c r="B293" t="s">
        <v>4799</v>
      </c>
      <c r="C293" t="s">
        <v>1085</v>
      </c>
      <c r="D293" t="s">
        <v>4861</v>
      </c>
      <c r="E293" t="s">
        <v>1740</v>
      </c>
      <c r="F293" t="s">
        <v>1754</v>
      </c>
      <c r="G293">
        <v>5.99</v>
      </c>
      <c r="H293" t="s">
        <v>529</v>
      </c>
      <c r="I293">
        <v>9.99</v>
      </c>
      <c r="J293" t="s">
        <v>4858</v>
      </c>
      <c r="L293">
        <v>0</v>
      </c>
    </row>
    <row r="294" spans="1:12" x14ac:dyDescent="0.2">
      <c r="A294" t="s">
        <v>4798</v>
      </c>
      <c r="B294" t="s">
        <v>4799</v>
      </c>
      <c r="C294" t="s">
        <v>1085</v>
      </c>
      <c r="D294" t="s">
        <v>4862</v>
      </c>
      <c r="E294" t="s">
        <v>374</v>
      </c>
      <c r="F294" t="s">
        <v>1090</v>
      </c>
      <c r="G294">
        <v>5.99</v>
      </c>
      <c r="H294" t="s">
        <v>529</v>
      </c>
      <c r="I294">
        <v>9.99</v>
      </c>
      <c r="J294" t="s">
        <v>4858</v>
      </c>
      <c r="L294">
        <v>0</v>
      </c>
    </row>
    <row r="295" spans="1:12" x14ac:dyDescent="0.2">
      <c r="A295" t="s">
        <v>4798</v>
      </c>
      <c r="B295" t="s">
        <v>4799</v>
      </c>
      <c r="C295" t="s">
        <v>1085</v>
      </c>
      <c r="D295" t="s">
        <v>4863</v>
      </c>
      <c r="E295" t="s">
        <v>369</v>
      </c>
      <c r="F295" t="s">
        <v>1089</v>
      </c>
      <c r="G295">
        <v>5.99</v>
      </c>
      <c r="H295" t="s">
        <v>529</v>
      </c>
      <c r="I295">
        <v>9.99</v>
      </c>
      <c r="J295" t="s">
        <v>4858</v>
      </c>
      <c r="L295">
        <v>0</v>
      </c>
    </row>
    <row r="296" spans="1:12" x14ac:dyDescent="0.2">
      <c r="A296" t="s">
        <v>4798</v>
      </c>
      <c r="B296" t="s">
        <v>4799</v>
      </c>
      <c r="C296" t="s">
        <v>1085</v>
      </c>
      <c r="D296" t="s">
        <v>4864</v>
      </c>
      <c r="E296" t="s">
        <v>1741</v>
      </c>
      <c r="F296" t="s">
        <v>1756</v>
      </c>
      <c r="G296">
        <v>5.99</v>
      </c>
      <c r="H296" t="s">
        <v>529</v>
      </c>
      <c r="I296">
        <v>9.99</v>
      </c>
      <c r="J296" t="s">
        <v>4858</v>
      </c>
      <c r="L296">
        <v>0</v>
      </c>
    </row>
    <row r="297" spans="1:12" x14ac:dyDescent="0.2">
      <c r="A297" t="s">
        <v>4798</v>
      </c>
      <c r="B297" t="s">
        <v>4799</v>
      </c>
      <c r="C297" t="s">
        <v>1086</v>
      </c>
      <c r="D297" t="s">
        <v>4865</v>
      </c>
      <c r="E297" t="s">
        <v>1741</v>
      </c>
      <c r="F297" t="s">
        <v>2843</v>
      </c>
      <c r="G297">
        <v>16.989999999999998</v>
      </c>
      <c r="H297" t="s">
        <v>529</v>
      </c>
      <c r="I297">
        <v>29.990000000000002</v>
      </c>
      <c r="J297" t="s">
        <v>4800</v>
      </c>
      <c r="L297">
        <v>0</v>
      </c>
    </row>
    <row r="298" spans="1:12" x14ac:dyDescent="0.2">
      <c r="A298" t="s">
        <v>4798</v>
      </c>
      <c r="B298" t="s">
        <v>4799</v>
      </c>
      <c r="C298" t="s">
        <v>1053</v>
      </c>
      <c r="D298" t="s">
        <v>4866</v>
      </c>
      <c r="E298" t="s">
        <v>1776</v>
      </c>
      <c r="F298" t="s">
        <v>4867</v>
      </c>
      <c r="G298">
        <v>5.99</v>
      </c>
      <c r="H298" t="s">
        <v>529</v>
      </c>
      <c r="I298">
        <v>9.99</v>
      </c>
      <c r="J298" t="s">
        <v>4858</v>
      </c>
      <c r="L298">
        <v>0</v>
      </c>
    </row>
    <row r="299" spans="1:12" x14ac:dyDescent="0.2">
      <c r="A299" t="s">
        <v>4798</v>
      </c>
      <c r="B299" t="s">
        <v>4799</v>
      </c>
      <c r="C299" t="s">
        <v>1053</v>
      </c>
      <c r="D299" t="s">
        <v>4866</v>
      </c>
      <c r="E299" t="s">
        <v>1775</v>
      </c>
      <c r="F299" t="s">
        <v>4868</v>
      </c>
      <c r="G299">
        <v>5.99</v>
      </c>
      <c r="H299" t="s">
        <v>529</v>
      </c>
      <c r="I299">
        <v>9.99</v>
      </c>
      <c r="J299" t="s">
        <v>4858</v>
      </c>
      <c r="L299">
        <v>0</v>
      </c>
    </row>
    <row r="300" spans="1:12" x14ac:dyDescent="0.2">
      <c r="A300" t="s">
        <v>4798</v>
      </c>
      <c r="B300" t="s">
        <v>4799</v>
      </c>
      <c r="C300" t="s">
        <v>1053</v>
      </c>
      <c r="D300" t="s">
        <v>4866</v>
      </c>
      <c r="E300" t="s">
        <v>1741</v>
      </c>
      <c r="F300" t="s">
        <v>4869</v>
      </c>
      <c r="G300">
        <v>5.99</v>
      </c>
      <c r="H300" t="s">
        <v>529</v>
      </c>
      <c r="I300">
        <v>9.99</v>
      </c>
      <c r="J300" t="s">
        <v>4858</v>
      </c>
      <c r="L300">
        <v>0</v>
      </c>
    </row>
    <row r="301" spans="1:12" x14ac:dyDescent="0.2">
      <c r="A301" t="s">
        <v>4798</v>
      </c>
      <c r="B301" t="s">
        <v>4799</v>
      </c>
      <c r="C301" t="s">
        <v>1051</v>
      </c>
      <c r="D301" t="s">
        <v>4870</v>
      </c>
      <c r="E301" t="s">
        <v>1776</v>
      </c>
      <c r="F301" t="s">
        <v>4871</v>
      </c>
      <c r="G301">
        <v>4.99</v>
      </c>
      <c r="H301" t="s">
        <v>529</v>
      </c>
      <c r="I301">
        <v>8.99</v>
      </c>
      <c r="J301" t="s">
        <v>4858</v>
      </c>
      <c r="L301">
        <v>0</v>
      </c>
    </row>
    <row r="302" spans="1:12" x14ac:dyDescent="0.2">
      <c r="A302" t="s">
        <v>4798</v>
      </c>
      <c r="B302" t="s">
        <v>4799</v>
      </c>
      <c r="C302" t="s">
        <v>1051</v>
      </c>
      <c r="D302" t="s">
        <v>4870</v>
      </c>
      <c r="E302" t="s">
        <v>1775</v>
      </c>
      <c r="F302" t="s">
        <v>4872</v>
      </c>
      <c r="G302">
        <v>4.99</v>
      </c>
      <c r="H302" t="s">
        <v>529</v>
      </c>
      <c r="I302">
        <v>8.99</v>
      </c>
      <c r="J302" t="s">
        <v>4858</v>
      </c>
      <c r="L302">
        <v>0</v>
      </c>
    </row>
    <row r="303" spans="1:12" x14ac:dyDescent="0.2">
      <c r="A303" t="s">
        <v>4798</v>
      </c>
      <c r="B303" t="s">
        <v>4799</v>
      </c>
      <c r="C303" t="s">
        <v>1016</v>
      </c>
      <c r="D303" t="s">
        <v>4873</v>
      </c>
      <c r="E303" t="s">
        <v>383</v>
      </c>
      <c r="F303" t="s">
        <v>4874</v>
      </c>
      <c r="G303">
        <v>5.99</v>
      </c>
      <c r="H303" t="s">
        <v>529</v>
      </c>
      <c r="I303">
        <v>9.99</v>
      </c>
      <c r="J303" t="s">
        <v>4875</v>
      </c>
      <c r="L303">
        <v>0</v>
      </c>
    </row>
    <row r="304" spans="1:12" x14ac:dyDescent="0.2">
      <c r="A304" t="s">
        <v>4798</v>
      </c>
      <c r="B304" t="s">
        <v>4799</v>
      </c>
      <c r="C304" t="s">
        <v>1016</v>
      </c>
      <c r="D304" t="s">
        <v>4873</v>
      </c>
      <c r="E304" t="s">
        <v>1017</v>
      </c>
      <c r="F304" t="s">
        <v>4876</v>
      </c>
      <c r="G304">
        <v>5.99</v>
      </c>
      <c r="H304" t="s">
        <v>529</v>
      </c>
      <c r="I304">
        <v>9.99</v>
      </c>
      <c r="J304" t="s">
        <v>4875</v>
      </c>
      <c r="L304">
        <v>0</v>
      </c>
    </row>
    <row r="305" spans="1:12" x14ac:dyDescent="0.2">
      <c r="A305" t="s">
        <v>4798</v>
      </c>
      <c r="B305" t="s">
        <v>4799</v>
      </c>
      <c r="C305" t="s">
        <v>1016</v>
      </c>
      <c r="D305" t="s">
        <v>4873</v>
      </c>
      <c r="E305" t="s">
        <v>1739</v>
      </c>
      <c r="F305" t="s">
        <v>4877</v>
      </c>
      <c r="G305">
        <v>5.99</v>
      </c>
      <c r="H305" t="s">
        <v>529</v>
      </c>
      <c r="I305">
        <v>9.99</v>
      </c>
      <c r="J305" t="s">
        <v>4875</v>
      </c>
      <c r="L305">
        <v>0</v>
      </c>
    </row>
    <row r="306" spans="1:12" x14ac:dyDescent="0.2">
      <c r="A306" t="s">
        <v>4798</v>
      </c>
      <c r="B306" t="s">
        <v>4799</v>
      </c>
      <c r="C306" t="s">
        <v>1016</v>
      </c>
      <c r="D306" t="s">
        <v>4873</v>
      </c>
      <c r="E306" t="s">
        <v>371</v>
      </c>
      <c r="F306" t="s">
        <v>4878</v>
      </c>
      <c r="G306">
        <v>5.99</v>
      </c>
      <c r="H306" t="s">
        <v>529</v>
      </c>
      <c r="I306">
        <v>9.99</v>
      </c>
      <c r="J306" t="s">
        <v>4875</v>
      </c>
      <c r="L306">
        <v>0</v>
      </c>
    </row>
    <row r="307" spans="1:12" x14ac:dyDescent="0.2">
      <c r="A307" t="s">
        <v>4798</v>
      </c>
      <c r="B307" t="s">
        <v>4799</v>
      </c>
      <c r="C307" t="s">
        <v>1016</v>
      </c>
      <c r="D307" t="s">
        <v>4873</v>
      </c>
      <c r="E307" t="s">
        <v>1740</v>
      </c>
      <c r="F307" t="s">
        <v>4879</v>
      </c>
      <c r="G307">
        <v>5.99</v>
      </c>
      <c r="H307" t="s">
        <v>529</v>
      </c>
      <c r="I307">
        <v>9.99</v>
      </c>
      <c r="J307" t="s">
        <v>4875</v>
      </c>
      <c r="L307">
        <v>0</v>
      </c>
    </row>
    <row r="308" spans="1:12" x14ac:dyDescent="0.2">
      <c r="A308" t="s">
        <v>4798</v>
      </c>
      <c r="B308" t="s">
        <v>4799</v>
      </c>
      <c r="C308" t="s">
        <v>1016</v>
      </c>
      <c r="D308" t="s">
        <v>4873</v>
      </c>
      <c r="E308" t="s">
        <v>374</v>
      </c>
      <c r="F308" t="s">
        <v>4880</v>
      </c>
      <c r="G308">
        <v>5.99</v>
      </c>
      <c r="H308" t="s">
        <v>529</v>
      </c>
      <c r="I308">
        <v>9.99</v>
      </c>
      <c r="J308" t="s">
        <v>4875</v>
      </c>
      <c r="L308">
        <v>0</v>
      </c>
    </row>
    <row r="309" spans="1:12" x14ac:dyDescent="0.2">
      <c r="A309" t="s">
        <v>4798</v>
      </c>
      <c r="B309" t="s">
        <v>4799</v>
      </c>
      <c r="C309" t="s">
        <v>1016</v>
      </c>
      <c r="D309" t="s">
        <v>4873</v>
      </c>
      <c r="E309" t="s">
        <v>369</v>
      </c>
      <c r="F309" t="s">
        <v>4881</v>
      </c>
      <c r="G309">
        <v>5.99</v>
      </c>
      <c r="H309" t="s">
        <v>529</v>
      </c>
      <c r="I309">
        <v>9.99</v>
      </c>
      <c r="J309" t="s">
        <v>4875</v>
      </c>
      <c r="L309">
        <v>0</v>
      </c>
    </row>
    <row r="310" spans="1:12" x14ac:dyDescent="0.2">
      <c r="A310" t="s">
        <v>4798</v>
      </c>
      <c r="B310" t="s">
        <v>4799</v>
      </c>
      <c r="C310" t="s">
        <v>4222</v>
      </c>
      <c r="D310" t="s">
        <v>4882</v>
      </c>
      <c r="E310" t="s">
        <v>1017</v>
      </c>
      <c r="F310" t="s">
        <v>4883</v>
      </c>
      <c r="G310">
        <v>3.49</v>
      </c>
      <c r="H310" t="s">
        <v>529</v>
      </c>
      <c r="I310">
        <v>4.99</v>
      </c>
      <c r="J310" t="s">
        <v>4420</v>
      </c>
      <c r="L310">
        <v>0</v>
      </c>
    </row>
    <row r="311" spans="1:12" x14ac:dyDescent="0.2">
      <c r="A311" t="s">
        <v>4798</v>
      </c>
      <c r="B311" t="s">
        <v>4799</v>
      </c>
      <c r="C311" t="s">
        <v>4222</v>
      </c>
      <c r="D311" t="s">
        <v>4884</v>
      </c>
      <c r="E311" t="s">
        <v>1739</v>
      </c>
      <c r="F311" t="s">
        <v>4885</v>
      </c>
      <c r="G311">
        <v>3.49</v>
      </c>
      <c r="H311" t="s">
        <v>529</v>
      </c>
      <c r="I311">
        <v>4.99</v>
      </c>
      <c r="J311" t="s">
        <v>4420</v>
      </c>
      <c r="L311">
        <v>0</v>
      </c>
    </row>
    <row r="312" spans="1:12" x14ac:dyDescent="0.2">
      <c r="A312" t="s">
        <v>4798</v>
      </c>
      <c r="B312" t="s">
        <v>4799</v>
      </c>
      <c r="C312" t="s">
        <v>4222</v>
      </c>
      <c r="D312" t="s">
        <v>4886</v>
      </c>
      <c r="E312" t="s">
        <v>371</v>
      </c>
      <c r="F312" t="s">
        <v>4887</v>
      </c>
      <c r="G312">
        <v>3.49</v>
      </c>
      <c r="H312" t="s">
        <v>529</v>
      </c>
      <c r="I312">
        <v>4.99</v>
      </c>
      <c r="J312" t="s">
        <v>4420</v>
      </c>
      <c r="L312">
        <v>0</v>
      </c>
    </row>
    <row r="313" spans="1:12" x14ac:dyDescent="0.2">
      <c r="A313" t="s">
        <v>4798</v>
      </c>
      <c r="B313" t="s">
        <v>4799</v>
      </c>
      <c r="C313" t="s">
        <v>4222</v>
      </c>
      <c r="D313" t="s">
        <v>4888</v>
      </c>
      <c r="E313" t="s">
        <v>293</v>
      </c>
      <c r="F313" t="s">
        <v>4889</v>
      </c>
      <c r="G313">
        <v>3.49</v>
      </c>
      <c r="H313" t="s">
        <v>529</v>
      </c>
      <c r="I313">
        <v>4.99</v>
      </c>
      <c r="J313" t="s">
        <v>4420</v>
      </c>
      <c r="L313">
        <v>0</v>
      </c>
    </row>
    <row r="314" spans="1:12" x14ac:dyDescent="0.2">
      <c r="A314" t="s">
        <v>4798</v>
      </c>
      <c r="B314" t="s">
        <v>4799</v>
      </c>
      <c r="C314" t="s">
        <v>4222</v>
      </c>
      <c r="D314" t="s">
        <v>4890</v>
      </c>
      <c r="E314" t="s">
        <v>1740</v>
      </c>
      <c r="F314" t="s">
        <v>4891</v>
      </c>
      <c r="G314">
        <v>3.49</v>
      </c>
      <c r="H314" t="s">
        <v>529</v>
      </c>
      <c r="I314">
        <v>4.99</v>
      </c>
      <c r="J314" t="s">
        <v>4420</v>
      </c>
      <c r="L314">
        <v>0</v>
      </c>
    </row>
    <row r="315" spans="1:12" x14ac:dyDescent="0.2">
      <c r="A315" t="s">
        <v>4798</v>
      </c>
      <c r="B315" t="s">
        <v>4799</v>
      </c>
      <c r="C315" t="s">
        <v>1847</v>
      </c>
      <c r="D315" t="s">
        <v>4892</v>
      </c>
      <c r="E315" t="s">
        <v>2839</v>
      </c>
      <c r="F315" t="s">
        <v>4893</v>
      </c>
      <c r="G315">
        <v>5.49</v>
      </c>
      <c r="H315" t="s">
        <v>529</v>
      </c>
      <c r="I315">
        <v>9.99</v>
      </c>
      <c r="J315" t="s">
        <v>4521</v>
      </c>
      <c r="L315">
        <v>0</v>
      </c>
    </row>
    <row r="316" spans="1:12" x14ac:dyDescent="0.2">
      <c r="A316" t="s">
        <v>4798</v>
      </c>
      <c r="B316" t="s">
        <v>4799</v>
      </c>
      <c r="C316" t="s">
        <v>4894</v>
      </c>
      <c r="D316" t="s">
        <v>4895</v>
      </c>
      <c r="F316" t="s">
        <v>4896</v>
      </c>
      <c r="G316">
        <v>10.99</v>
      </c>
      <c r="H316" t="s">
        <v>529</v>
      </c>
      <c r="I316">
        <v>19.989999999999998</v>
      </c>
      <c r="J316" t="s">
        <v>4897</v>
      </c>
      <c r="L316">
        <v>0</v>
      </c>
    </row>
    <row r="317" spans="1:12" x14ac:dyDescent="0.2">
      <c r="A317" t="s">
        <v>4798</v>
      </c>
      <c r="B317" t="s">
        <v>4898</v>
      </c>
      <c r="C317" t="s">
        <v>844</v>
      </c>
      <c r="D317" t="s">
        <v>4899</v>
      </c>
      <c r="E317" t="s">
        <v>383</v>
      </c>
      <c r="F317" t="s">
        <v>4900</v>
      </c>
      <c r="G317">
        <v>21.99</v>
      </c>
      <c r="H317">
        <v>29.990000000000002</v>
      </c>
      <c r="I317">
        <v>39.99</v>
      </c>
      <c r="J317" t="s">
        <v>4420</v>
      </c>
      <c r="L317">
        <v>0</v>
      </c>
    </row>
    <row r="318" spans="1:12" x14ac:dyDescent="0.2">
      <c r="A318" t="s">
        <v>4798</v>
      </c>
      <c r="B318" t="s">
        <v>4898</v>
      </c>
      <c r="C318" t="s">
        <v>844</v>
      </c>
      <c r="D318" t="s">
        <v>4901</v>
      </c>
      <c r="E318" t="s">
        <v>1017</v>
      </c>
      <c r="F318" t="s">
        <v>4902</v>
      </c>
      <c r="G318">
        <v>21.99</v>
      </c>
      <c r="H318">
        <v>29.990000000000002</v>
      </c>
      <c r="I318">
        <v>39.99</v>
      </c>
      <c r="J318" t="s">
        <v>4420</v>
      </c>
      <c r="L318">
        <v>0</v>
      </c>
    </row>
    <row r="319" spans="1:12" x14ac:dyDescent="0.2">
      <c r="A319" t="s">
        <v>4798</v>
      </c>
      <c r="B319" t="s">
        <v>4898</v>
      </c>
      <c r="C319" t="s">
        <v>844</v>
      </c>
      <c r="D319" t="s">
        <v>4903</v>
      </c>
      <c r="E319" t="s">
        <v>1739</v>
      </c>
      <c r="F319" t="s">
        <v>4904</v>
      </c>
      <c r="G319">
        <v>21.99</v>
      </c>
      <c r="H319">
        <v>29.990000000000002</v>
      </c>
      <c r="I319">
        <v>39.99</v>
      </c>
      <c r="J319" t="s">
        <v>4420</v>
      </c>
      <c r="L319">
        <v>0</v>
      </c>
    </row>
    <row r="320" spans="1:12" x14ac:dyDescent="0.2">
      <c r="A320" t="s">
        <v>4798</v>
      </c>
      <c r="B320" t="s">
        <v>4898</v>
      </c>
      <c r="C320" t="s">
        <v>844</v>
      </c>
      <c r="D320" t="s">
        <v>4905</v>
      </c>
      <c r="E320" t="s">
        <v>371</v>
      </c>
      <c r="F320" t="s">
        <v>4906</v>
      </c>
      <c r="G320">
        <v>21.99</v>
      </c>
      <c r="H320">
        <v>29.990000000000002</v>
      </c>
      <c r="I320">
        <v>39.99</v>
      </c>
      <c r="J320" t="s">
        <v>4420</v>
      </c>
      <c r="L320">
        <v>0</v>
      </c>
    </row>
    <row r="321" spans="1:12" x14ac:dyDescent="0.2">
      <c r="A321" t="s">
        <v>4798</v>
      </c>
      <c r="B321" t="s">
        <v>4898</v>
      </c>
      <c r="C321" t="s">
        <v>844</v>
      </c>
      <c r="D321" t="s">
        <v>4907</v>
      </c>
      <c r="E321" t="s">
        <v>1740</v>
      </c>
      <c r="F321" t="s">
        <v>4908</v>
      </c>
      <c r="G321">
        <v>21.99</v>
      </c>
      <c r="H321">
        <v>29.990000000000002</v>
      </c>
      <c r="I321">
        <v>39.99</v>
      </c>
      <c r="J321" t="s">
        <v>4420</v>
      </c>
      <c r="L321">
        <v>0</v>
      </c>
    </row>
    <row r="322" spans="1:12" x14ac:dyDescent="0.2">
      <c r="A322" t="s">
        <v>4798</v>
      </c>
      <c r="B322" t="s">
        <v>4898</v>
      </c>
      <c r="C322" t="s">
        <v>844</v>
      </c>
      <c r="D322" t="s">
        <v>4909</v>
      </c>
      <c r="E322" t="s">
        <v>374</v>
      </c>
      <c r="F322" t="s">
        <v>4910</v>
      </c>
      <c r="G322">
        <v>21.99</v>
      </c>
      <c r="H322">
        <v>29.990000000000002</v>
      </c>
      <c r="I322">
        <v>39.99</v>
      </c>
      <c r="J322" t="s">
        <v>4420</v>
      </c>
      <c r="L322">
        <v>0</v>
      </c>
    </row>
    <row r="323" spans="1:12" x14ac:dyDescent="0.2">
      <c r="A323" t="s">
        <v>4798</v>
      </c>
      <c r="B323" t="s">
        <v>4898</v>
      </c>
      <c r="C323" t="s">
        <v>844</v>
      </c>
      <c r="D323" t="s">
        <v>4911</v>
      </c>
      <c r="E323" t="s">
        <v>369</v>
      </c>
      <c r="F323" t="s">
        <v>4912</v>
      </c>
      <c r="G323">
        <v>21.99</v>
      </c>
      <c r="H323">
        <v>29.990000000000002</v>
      </c>
      <c r="I323">
        <v>39.99</v>
      </c>
      <c r="J323" t="s">
        <v>4420</v>
      </c>
      <c r="L323">
        <v>0</v>
      </c>
    </row>
    <row r="324" spans="1:12" x14ac:dyDescent="0.2">
      <c r="A324" t="s">
        <v>4798</v>
      </c>
      <c r="B324" t="s">
        <v>4898</v>
      </c>
      <c r="C324" t="s">
        <v>4913</v>
      </c>
      <c r="D324" t="s">
        <v>4914</v>
      </c>
      <c r="E324" t="s">
        <v>383</v>
      </c>
      <c r="F324" t="s">
        <v>4915</v>
      </c>
      <c r="G324">
        <v>21.99</v>
      </c>
      <c r="H324">
        <v>29.990000000000002</v>
      </c>
      <c r="I324">
        <v>39.99</v>
      </c>
      <c r="J324">
        <v>15</v>
      </c>
      <c r="L324">
        <v>0</v>
      </c>
    </row>
    <row r="325" spans="1:12" x14ac:dyDescent="0.2">
      <c r="A325" t="s">
        <v>4798</v>
      </c>
      <c r="B325" t="s">
        <v>4898</v>
      </c>
      <c r="C325" t="s">
        <v>4913</v>
      </c>
      <c r="D325" t="s">
        <v>4916</v>
      </c>
      <c r="E325" t="s">
        <v>374</v>
      </c>
      <c r="F325" t="s">
        <v>4917</v>
      </c>
      <c r="G325">
        <v>21.99</v>
      </c>
      <c r="H325">
        <v>29.990000000000002</v>
      </c>
      <c r="I325">
        <v>39.99</v>
      </c>
      <c r="J325">
        <v>15</v>
      </c>
      <c r="L325">
        <v>0</v>
      </c>
    </row>
    <row r="326" spans="1:12" x14ac:dyDescent="0.2">
      <c r="A326" t="s">
        <v>4798</v>
      </c>
      <c r="B326" t="s">
        <v>4898</v>
      </c>
      <c r="C326" t="s">
        <v>4913</v>
      </c>
      <c r="D326" t="s">
        <v>4918</v>
      </c>
      <c r="E326" t="s">
        <v>369</v>
      </c>
      <c r="F326" t="s">
        <v>4919</v>
      </c>
      <c r="G326">
        <v>21.99</v>
      </c>
      <c r="H326">
        <v>29.990000000000002</v>
      </c>
      <c r="I326">
        <v>39.99</v>
      </c>
      <c r="J326">
        <v>15</v>
      </c>
      <c r="L326">
        <v>0</v>
      </c>
    </row>
    <row r="327" spans="1:12" x14ac:dyDescent="0.2">
      <c r="A327" t="s">
        <v>4798</v>
      </c>
      <c r="B327" t="s">
        <v>4898</v>
      </c>
      <c r="C327" t="s">
        <v>4913</v>
      </c>
      <c r="D327" t="s">
        <v>4920</v>
      </c>
      <c r="E327" t="s">
        <v>1741</v>
      </c>
      <c r="F327" t="s">
        <v>4921</v>
      </c>
      <c r="G327">
        <v>21.99</v>
      </c>
      <c r="H327">
        <v>29.990000000000002</v>
      </c>
      <c r="I327">
        <v>39.99</v>
      </c>
      <c r="J327">
        <v>15</v>
      </c>
      <c r="L327">
        <v>0</v>
      </c>
    </row>
    <row r="328" spans="1:12" x14ac:dyDescent="0.2">
      <c r="A328" t="s">
        <v>4798</v>
      </c>
      <c r="B328" t="s">
        <v>4922</v>
      </c>
      <c r="C328" t="s">
        <v>1742</v>
      </c>
      <c r="D328" t="s">
        <v>4923</v>
      </c>
      <c r="E328" t="s">
        <v>1761</v>
      </c>
      <c r="F328" t="s">
        <v>1749</v>
      </c>
      <c r="G328">
        <v>13.99</v>
      </c>
      <c r="H328" t="s">
        <v>529</v>
      </c>
      <c r="I328">
        <v>24.990000000000002</v>
      </c>
      <c r="J328" t="s">
        <v>4858</v>
      </c>
      <c r="L328">
        <v>0</v>
      </c>
    </row>
    <row r="329" spans="1:12" x14ac:dyDescent="0.2">
      <c r="A329" t="s">
        <v>4798</v>
      </c>
      <c r="B329" t="s">
        <v>4922</v>
      </c>
      <c r="C329" t="s">
        <v>1742</v>
      </c>
      <c r="D329" t="s">
        <v>4924</v>
      </c>
      <c r="E329" t="s">
        <v>1743</v>
      </c>
      <c r="F329" t="s">
        <v>1744</v>
      </c>
      <c r="G329">
        <v>13.99</v>
      </c>
      <c r="H329" t="s">
        <v>529</v>
      </c>
      <c r="I329">
        <v>24.990000000000002</v>
      </c>
      <c r="J329" t="s">
        <v>4858</v>
      </c>
      <c r="L329">
        <v>0</v>
      </c>
    </row>
    <row r="330" spans="1:12" x14ac:dyDescent="0.2">
      <c r="A330" t="s">
        <v>4798</v>
      </c>
      <c r="B330" t="s">
        <v>4922</v>
      </c>
      <c r="C330" t="s">
        <v>1742</v>
      </c>
      <c r="D330" t="s">
        <v>4925</v>
      </c>
      <c r="E330" t="s">
        <v>1766</v>
      </c>
      <c r="F330" t="s">
        <v>1745</v>
      </c>
      <c r="G330">
        <v>13.99</v>
      </c>
      <c r="H330" t="s">
        <v>529</v>
      </c>
      <c r="I330">
        <v>24.990000000000002</v>
      </c>
      <c r="J330" t="s">
        <v>4858</v>
      </c>
      <c r="L330">
        <v>0</v>
      </c>
    </row>
    <row r="331" spans="1:12" x14ac:dyDescent="0.2">
      <c r="A331" t="s">
        <v>4798</v>
      </c>
      <c r="B331" t="s">
        <v>502</v>
      </c>
      <c r="C331" t="s">
        <v>696</v>
      </c>
      <c r="D331" t="s">
        <v>4926</v>
      </c>
      <c r="E331" t="s">
        <v>383</v>
      </c>
      <c r="F331" t="s">
        <v>697</v>
      </c>
      <c r="G331">
        <v>11.99</v>
      </c>
      <c r="H331" t="s">
        <v>529</v>
      </c>
      <c r="I331">
        <v>19.989999999999998</v>
      </c>
      <c r="J331" t="s">
        <v>4521</v>
      </c>
      <c r="L331">
        <v>0</v>
      </c>
    </row>
    <row r="332" spans="1:12" x14ac:dyDescent="0.2">
      <c r="A332" t="s">
        <v>4798</v>
      </c>
      <c r="B332" t="s">
        <v>502</v>
      </c>
      <c r="C332" t="s">
        <v>696</v>
      </c>
      <c r="D332" t="s">
        <v>4927</v>
      </c>
      <c r="E332" t="s">
        <v>2667</v>
      </c>
      <c r="F332" t="s">
        <v>1632</v>
      </c>
      <c r="G332">
        <v>11.99</v>
      </c>
      <c r="H332" t="s">
        <v>529</v>
      </c>
      <c r="I332">
        <v>19.989999999999998</v>
      </c>
      <c r="J332" t="s">
        <v>4521</v>
      </c>
      <c r="L332">
        <v>0</v>
      </c>
    </row>
    <row r="333" spans="1:12" x14ac:dyDescent="0.2">
      <c r="A333" t="s">
        <v>4798</v>
      </c>
      <c r="B333" t="s">
        <v>502</v>
      </c>
      <c r="C333" t="s">
        <v>696</v>
      </c>
      <c r="D333" t="s">
        <v>4928</v>
      </c>
      <c r="E333" t="s">
        <v>374</v>
      </c>
      <c r="F333" t="s">
        <v>698</v>
      </c>
      <c r="G333">
        <v>11.99</v>
      </c>
      <c r="H333" t="s">
        <v>529</v>
      </c>
      <c r="I333">
        <v>19.989999999999998</v>
      </c>
      <c r="J333" t="s">
        <v>4521</v>
      </c>
      <c r="L333">
        <v>0</v>
      </c>
    </row>
    <row r="334" spans="1:12" x14ac:dyDescent="0.2">
      <c r="A334" t="s">
        <v>4798</v>
      </c>
      <c r="B334" t="s">
        <v>502</v>
      </c>
      <c r="C334" t="s">
        <v>386</v>
      </c>
      <c r="D334" t="s">
        <v>4929</v>
      </c>
      <c r="E334" t="s">
        <v>374</v>
      </c>
      <c r="F334" t="s">
        <v>4930</v>
      </c>
      <c r="G334">
        <v>5.99</v>
      </c>
      <c r="H334" t="s">
        <v>529</v>
      </c>
      <c r="I334">
        <v>9.99</v>
      </c>
      <c r="J334" t="s">
        <v>4521</v>
      </c>
      <c r="L334">
        <v>0</v>
      </c>
    </row>
    <row r="335" spans="1:12" x14ac:dyDescent="0.2">
      <c r="A335" t="s">
        <v>4798</v>
      </c>
      <c r="B335" t="s">
        <v>502</v>
      </c>
      <c r="C335" t="s">
        <v>688</v>
      </c>
      <c r="D335" t="s">
        <v>4931</v>
      </c>
      <c r="E335" t="s">
        <v>383</v>
      </c>
      <c r="F335" t="s">
        <v>691</v>
      </c>
      <c r="G335">
        <v>7.99</v>
      </c>
      <c r="H335" t="s">
        <v>529</v>
      </c>
      <c r="I335">
        <v>14.99</v>
      </c>
      <c r="J335" t="s">
        <v>4521</v>
      </c>
      <c r="L335">
        <v>0</v>
      </c>
    </row>
    <row r="336" spans="1:12" x14ac:dyDescent="0.2">
      <c r="A336" t="s">
        <v>4798</v>
      </c>
      <c r="B336" t="s">
        <v>502</v>
      </c>
      <c r="C336" t="s">
        <v>688</v>
      </c>
      <c r="D336" t="s">
        <v>4932</v>
      </c>
      <c r="E336" t="s">
        <v>2667</v>
      </c>
      <c r="F336" t="s">
        <v>4933</v>
      </c>
      <c r="G336">
        <v>7.99</v>
      </c>
      <c r="H336" t="s">
        <v>529</v>
      </c>
      <c r="I336">
        <v>14.99</v>
      </c>
      <c r="J336" t="s">
        <v>4521</v>
      </c>
      <c r="L336">
        <v>0</v>
      </c>
    </row>
    <row r="337" spans="1:12" x14ac:dyDescent="0.2">
      <c r="A337" t="s">
        <v>4798</v>
      </c>
      <c r="B337" t="s">
        <v>502</v>
      </c>
      <c r="C337" t="s">
        <v>688</v>
      </c>
      <c r="D337" t="s">
        <v>4934</v>
      </c>
      <c r="E337" t="s">
        <v>1017</v>
      </c>
      <c r="F337" t="s">
        <v>4935</v>
      </c>
      <c r="G337">
        <v>7.99</v>
      </c>
      <c r="H337" t="s">
        <v>529</v>
      </c>
      <c r="I337">
        <v>14.99</v>
      </c>
      <c r="J337" t="s">
        <v>4521</v>
      </c>
      <c r="L337">
        <v>0</v>
      </c>
    </row>
    <row r="338" spans="1:12" x14ac:dyDescent="0.2">
      <c r="A338" t="s">
        <v>4798</v>
      </c>
      <c r="B338" t="s">
        <v>502</v>
      </c>
      <c r="C338" t="s">
        <v>688</v>
      </c>
      <c r="D338" t="s">
        <v>4936</v>
      </c>
      <c r="E338" t="s">
        <v>1739</v>
      </c>
      <c r="F338" t="s">
        <v>4937</v>
      </c>
      <c r="G338">
        <v>7.99</v>
      </c>
      <c r="H338" t="s">
        <v>529</v>
      </c>
      <c r="I338">
        <v>14.99</v>
      </c>
      <c r="J338" t="s">
        <v>4521</v>
      </c>
      <c r="L338">
        <v>0</v>
      </c>
    </row>
    <row r="339" spans="1:12" x14ac:dyDescent="0.2">
      <c r="A339" t="s">
        <v>4798</v>
      </c>
      <c r="B339" t="s">
        <v>502</v>
      </c>
      <c r="C339" t="s">
        <v>688</v>
      </c>
      <c r="D339" t="s">
        <v>4938</v>
      </c>
      <c r="E339" t="s">
        <v>371</v>
      </c>
      <c r="F339" t="s">
        <v>695</v>
      </c>
      <c r="G339">
        <v>7.99</v>
      </c>
      <c r="H339" t="s">
        <v>529</v>
      </c>
      <c r="I339">
        <v>14.99</v>
      </c>
      <c r="J339" t="s">
        <v>4521</v>
      </c>
      <c r="L339">
        <v>0</v>
      </c>
    </row>
    <row r="340" spans="1:12" x14ac:dyDescent="0.2">
      <c r="A340" t="s">
        <v>4798</v>
      </c>
      <c r="B340" t="s">
        <v>502</v>
      </c>
      <c r="C340" t="s">
        <v>688</v>
      </c>
      <c r="D340" t="s">
        <v>4939</v>
      </c>
      <c r="E340" t="s">
        <v>1740</v>
      </c>
      <c r="F340" t="s">
        <v>4940</v>
      </c>
      <c r="G340">
        <v>7.99</v>
      </c>
      <c r="H340" t="s">
        <v>529</v>
      </c>
      <c r="I340">
        <v>14.99</v>
      </c>
      <c r="J340" t="s">
        <v>4521</v>
      </c>
      <c r="L340">
        <v>0</v>
      </c>
    </row>
    <row r="341" spans="1:12" x14ac:dyDescent="0.2">
      <c r="A341" t="s">
        <v>4798</v>
      </c>
      <c r="B341" t="s">
        <v>502</v>
      </c>
      <c r="C341" t="s">
        <v>688</v>
      </c>
      <c r="D341" t="s">
        <v>4941</v>
      </c>
      <c r="E341" t="s">
        <v>374</v>
      </c>
      <c r="F341" t="s">
        <v>4942</v>
      </c>
      <c r="G341">
        <v>7.99</v>
      </c>
      <c r="H341" t="s">
        <v>529</v>
      </c>
      <c r="I341">
        <v>14.99</v>
      </c>
      <c r="J341" t="s">
        <v>4521</v>
      </c>
      <c r="L341">
        <v>0</v>
      </c>
    </row>
    <row r="342" spans="1:12" x14ac:dyDescent="0.2">
      <c r="A342" t="s">
        <v>4798</v>
      </c>
      <c r="B342" t="s">
        <v>502</v>
      </c>
      <c r="C342" t="s">
        <v>688</v>
      </c>
      <c r="D342" t="s">
        <v>4943</v>
      </c>
      <c r="E342" t="s">
        <v>369</v>
      </c>
      <c r="F342" t="s">
        <v>692</v>
      </c>
      <c r="G342">
        <v>7.99</v>
      </c>
      <c r="H342" t="s">
        <v>529</v>
      </c>
      <c r="I342">
        <v>14.99</v>
      </c>
      <c r="J342" t="s">
        <v>4521</v>
      </c>
      <c r="L342">
        <v>0</v>
      </c>
    </row>
    <row r="343" spans="1:12" x14ac:dyDescent="0.2">
      <c r="A343" t="s">
        <v>4798</v>
      </c>
      <c r="B343" t="s">
        <v>502</v>
      </c>
      <c r="C343" t="s">
        <v>688</v>
      </c>
      <c r="D343" t="s">
        <v>4944</v>
      </c>
      <c r="E343" t="s">
        <v>1741</v>
      </c>
      <c r="F343" t="s">
        <v>4945</v>
      </c>
      <c r="G343">
        <v>7.99</v>
      </c>
      <c r="H343" t="s">
        <v>529</v>
      </c>
      <c r="I343">
        <v>14.99</v>
      </c>
      <c r="J343" t="s">
        <v>4521</v>
      </c>
      <c r="L343">
        <v>0</v>
      </c>
    </row>
    <row r="344" spans="1:12" x14ac:dyDescent="0.2">
      <c r="A344" t="s">
        <v>4798</v>
      </c>
      <c r="B344" t="s">
        <v>502</v>
      </c>
      <c r="C344" t="s">
        <v>3801</v>
      </c>
      <c r="D344" t="s">
        <v>4946</v>
      </c>
      <c r="E344" t="s">
        <v>245</v>
      </c>
      <c r="F344" t="s">
        <v>4947</v>
      </c>
      <c r="G344">
        <v>7.99</v>
      </c>
      <c r="H344" t="s">
        <v>529</v>
      </c>
      <c r="I344">
        <v>14.99</v>
      </c>
      <c r="J344">
        <v>16</v>
      </c>
      <c r="L344">
        <v>0</v>
      </c>
    </row>
    <row r="345" spans="1:12" x14ac:dyDescent="0.2">
      <c r="A345" t="s">
        <v>4798</v>
      </c>
      <c r="B345" t="s">
        <v>502</v>
      </c>
      <c r="C345" t="s">
        <v>3801</v>
      </c>
      <c r="D345" t="s">
        <v>4948</v>
      </c>
      <c r="E345" t="s">
        <v>1739</v>
      </c>
      <c r="F345" t="s">
        <v>4949</v>
      </c>
      <c r="G345">
        <v>7.99</v>
      </c>
      <c r="H345" t="s">
        <v>529</v>
      </c>
      <c r="I345">
        <v>14.99</v>
      </c>
      <c r="J345">
        <v>16</v>
      </c>
      <c r="L345">
        <v>0</v>
      </c>
    </row>
    <row r="346" spans="1:12" x14ac:dyDescent="0.2">
      <c r="A346" t="s">
        <v>4798</v>
      </c>
      <c r="B346" t="s">
        <v>502</v>
      </c>
      <c r="C346" t="s">
        <v>3801</v>
      </c>
      <c r="D346" t="s">
        <v>4950</v>
      </c>
      <c r="E346" t="s">
        <v>371</v>
      </c>
      <c r="F346" t="s">
        <v>4951</v>
      </c>
      <c r="G346">
        <v>7.99</v>
      </c>
      <c r="H346" t="s">
        <v>529</v>
      </c>
      <c r="I346">
        <v>14.99</v>
      </c>
      <c r="J346">
        <v>16</v>
      </c>
      <c r="L346">
        <v>0</v>
      </c>
    </row>
    <row r="347" spans="1:12" x14ac:dyDescent="0.2">
      <c r="A347" t="s">
        <v>4798</v>
      </c>
      <c r="B347" t="s">
        <v>502</v>
      </c>
      <c r="C347" t="s">
        <v>3801</v>
      </c>
      <c r="D347" t="s">
        <v>4952</v>
      </c>
      <c r="E347" t="s">
        <v>1740</v>
      </c>
      <c r="F347" t="s">
        <v>4953</v>
      </c>
      <c r="G347">
        <v>7.99</v>
      </c>
      <c r="H347" t="s">
        <v>529</v>
      </c>
      <c r="I347">
        <v>14.99</v>
      </c>
      <c r="J347">
        <v>16</v>
      </c>
      <c r="L347">
        <v>0</v>
      </c>
    </row>
    <row r="348" spans="1:12" x14ac:dyDescent="0.2">
      <c r="A348" t="s">
        <v>4798</v>
      </c>
      <c r="B348" t="s">
        <v>4954</v>
      </c>
      <c r="C348" t="s">
        <v>539</v>
      </c>
      <c r="D348" t="s">
        <v>4955</v>
      </c>
      <c r="F348" t="s">
        <v>4956</v>
      </c>
      <c r="G348">
        <v>3.99</v>
      </c>
      <c r="H348" t="s">
        <v>529</v>
      </c>
      <c r="I348">
        <v>6.99</v>
      </c>
      <c r="J348" t="s">
        <v>4957</v>
      </c>
      <c r="L348">
        <v>0</v>
      </c>
    </row>
    <row r="349" spans="1:12" x14ac:dyDescent="0.2">
      <c r="A349" t="s">
        <v>4798</v>
      </c>
      <c r="B349" t="s">
        <v>4954</v>
      </c>
      <c r="C349" t="s">
        <v>842</v>
      </c>
      <c r="D349" t="s">
        <v>4958</v>
      </c>
      <c r="F349" t="s">
        <v>4959</v>
      </c>
      <c r="G349">
        <v>2.99</v>
      </c>
      <c r="H349" t="s">
        <v>529</v>
      </c>
      <c r="I349">
        <v>4.99</v>
      </c>
      <c r="J349" t="s">
        <v>4579</v>
      </c>
      <c r="L349">
        <v>0</v>
      </c>
    </row>
    <row r="350" spans="1:12" x14ac:dyDescent="0.2">
      <c r="A350" t="s">
        <v>4798</v>
      </c>
      <c r="B350" t="s">
        <v>4960</v>
      </c>
      <c r="C350" t="s">
        <v>1927</v>
      </c>
      <c r="D350" t="s">
        <v>4961</v>
      </c>
      <c r="F350" t="s">
        <v>4962</v>
      </c>
      <c r="G350">
        <v>1.59</v>
      </c>
      <c r="H350" t="s">
        <v>529</v>
      </c>
      <c r="I350">
        <v>2.99</v>
      </c>
      <c r="J350">
        <v>120</v>
      </c>
      <c r="L350">
        <v>0</v>
      </c>
    </row>
    <row r="351" spans="1:12" x14ac:dyDescent="0.2">
      <c r="A351" t="s">
        <v>4798</v>
      </c>
      <c r="B351" t="s">
        <v>4960</v>
      </c>
      <c r="C351" t="s">
        <v>2869</v>
      </c>
      <c r="D351" t="s">
        <v>4963</v>
      </c>
      <c r="E351" t="s">
        <v>2889</v>
      </c>
      <c r="F351" t="s">
        <v>4964</v>
      </c>
      <c r="G351">
        <v>1.59</v>
      </c>
      <c r="H351" t="s">
        <v>529</v>
      </c>
      <c r="I351">
        <v>2.99</v>
      </c>
      <c r="J351">
        <v>80</v>
      </c>
      <c r="L351">
        <v>0</v>
      </c>
    </row>
    <row r="352" spans="1:12" x14ac:dyDescent="0.2">
      <c r="A352" t="s">
        <v>4798</v>
      </c>
      <c r="B352" t="s">
        <v>4960</v>
      </c>
      <c r="C352" t="s">
        <v>2868</v>
      </c>
      <c r="D352" t="s">
        <v>4965</v>
      </c>
      <c r="F352" t="s">
        <v>4966</v>
      </c>
      <c r="G352">
        <v>1.59</v>
      </c>
      <c r="H352" t="s">
        <v>529</v>
      </c>
      <c r="I352">
        <v>2.99</v>
      </c>
      <c r="J352">
        <v>80</v>
      </c>
      <c r="L352">
        <v>0</v>
      </c>
    </row>
    <row r="353" spans="1:12" x14ac:dyDescent="0.2">
      <c r="A353" t="s">
        <v>4798</v>
      </c>
      <c r="B353" t="s">
        <v>4960</v>
      </c>
      <c r="C353" t="s">
        <v>1925</v>
      </c>
      <c r="D353" t="s">
        <v>4967</v>
      </c>
      <c r="E353" t="s">
        <v>2889</v>
      </c>
      <c r="F353" t="s">
        <v>4968</v>
      </c>
      <c r="G353">
        <v>4.1900000000000004</v>
      </c>
      <c r="H353" t="s">
        <v>529</v>
      </c>
      <c r="I353">
        <v>7.99</v>
      </c>
      <c r="J353">
        <v>36</v>
      </c>
      <c r="L353">
        <v>0</v>
      </c>
    </row>
    <row r="354" spans="1:12" x14ac:dyDescent="0.2">
      <c r="A354" t="s">
        <v>4798</v>
      </c>
      <c r="B354" t="s">
        <v>4960</v>
      </c>
      <c r="C354" t="s">
        <v>1925</v>
      </c>
      <c r="D354" t="s">
        <v>4969</v>
      </c>
      <c r="E354" t="s">
        <v>1741</v>
      </c>
      <c r="F354" t="s">
        <v>4970</v>
      </c>
      <c r="G354">
        <v>4.1900000000000004</v>
      </c>
      <c r="H354" t="s">
        <v>529</v>
      </c>
      <c r="I354">
        <v>7.99</v>
      </c>
      <c r="J354">
        <v>36</v>
      </c>
      <c r="L354">
        <v>0</v>
      </c>
    </row>
    <row r="355" spans="1:12" x14ac:dyDescent="0.2">
      <c r="A355" t="s">
        <v>4798</v>
      </c>
      <c r="B355" t="s">
        <v>4960</v>
      </c>
      <c r="C355" t="s">
        <v>1926</v>
      </c>
      <c r="D355" t="s">
        <v>4971</v>
      </c>
      <c r="F355" t="s">
        <v>4972</v>
      </c>
      <c r="G355">
        <v>9.49</v>
      </c>
      <c r="H355" t="s">
        <v>529</v>
      </c>
      <c r="I355">
        <v>16.989999999999998</v>
      </c>
      <c r="J355">
        <v>18</v>
      </c>
      <c r="L355">
        <v>0</v>
      </c>
    </row>
    <row r="356" spans="1:12" x14ac:dyDescent="0.2">
      <c r="A356" t="s">
        <v>4798</v>
      </c>
      <c r="B356" t="s">
        <v>4960</v>
      </c>
      <c r="C356" t="s">
        <v>588</v>
      </c>
      <c r="D356" t="s">
        <v>4973</v>
      </c>
      <c r="E356" t="s">
        <v>2889</v>
      </c>
      <c r="F356" t="s">
        <v>4974</v>
      </c>
      <c r="G356">
        <v>333.99</v>
      </c>
      <c r="H356" t="s">
        <v>529</v>
      </c>
      <c r="I356">
        <v>2.99</v>
      </c>
      <c r="J356" t="s">
        <v>4975</v>
      </c>
      <c r="L356">
        <v>0</v>
      </c>
    </row>
    <row r="357" spans="1:12" x14ac:dyDescent="0.2">
      <c r="A357" t="s">
        <v>4798</v>
      </c>
      <c r="B357" t="s">
        <v>4960</v>
      </c>
      <c r="C357" t="s">
        <v>588</v>
      </c>
      <c r="D357" t="s">
        <v>4973</v>
      </c>
      <c r="E357" t="s">
        <v>1741</v>
      </c>
      <c r="F357" t="s">
        <v>4976</v>
      </c>
      <c r="G357">
        <v>333.99</v>
      </c>
      <c r="H357" t="s">
        <v>529</v>
      </c>
      <c r="I357">
        <v>2.99</v>
      </c>
      <c r="J357" t="s">
        <v>4975</v>
      </c>
      <c r="L357">
        <v>0</v>
      </c>
    </row>
    <row r="358" spans="1:12" x14ac:dyDescent="0.2">
      <c r="A358" t="s">
        <v>4798</v>
      </c>
      <c r="B358" t="s">
        <v>4960</v>
      </c>
      <c r="C358" t="s">
        <v>588</v>
      </c>
      <c r="D358" t="s">
        <v>4973</v>
      </c>
      <c r="E358" t="s">
        <v>1054</v>
      </c>
      <c r="F358" t="s">
        <v>4977</v>
      </c>
      <c r="G358">
        <v>333.99</v>
      </c>
      <c r="H358" t="s">
        <v>529</v>
      </c>
      <c r="I358">
        <v>2.99</v>
      </c>
      <c r="J358" t="s">
        <v>4975</v>
      </c>
      <c r="L358">
        <v>0</v>
      </c>
    </row>
    <row r="359" spans="1:12" x14ac:dyDescent="0.2">
      <c r="A359" t="s">
        <v>4798</v>
      </c>
      <c r="B359" t="s">
        <v>503</v>
      </c>
      <c r="C359" t="s">
        <v>592</v>
      </c>
      <c r="D359" t="s">
        <v>4978</v>
      </c>
      <c r="F359" t="s">
        <v>4979</v>
      </c>
      <c r="G359">
        <v>9.49</v>
      </c>
      <c r="H359" t="s">
        <v>529</v>
      </c>
      <c r="I359">
        <v>16.989999999999998</v>
      </c>
      <c r="J359" t="s">
        <v>4521</v>
      </c>
      <c r="L359">
        <v>0</v>
      </c>
    </row>
    <row r="360" spans="1:12" x14ac:dyDescent="0.2">
      <c r="A360" t="s">
        <v>4798</v>
      </c>
      <c r="B360" t="s">
        <v>503</v>
      </c>
      <c r="C360" t="s">
        <v>1867</v>
      </c>
      <c r="D360" t="s">
        <v>4980</v>
      </c>
      <c r="E360" t="s">
        <v>245</v>
      </c>
      <c r="F360" t="s">
        <v>4981</v>
      </c>
      <c r="G360">
        <v>3.19</v>
      </c>
      <c r="H360" t="s">
        <v>529</v>
      </c>
      <c r="I360">
        <v>5.99</v>
      </c>
      <c r="J360" t="s">
        <v>4858</v>
      </c>
      <c r="L360">
        <v>0</v>
      </c>
    </row>
    <row r="361" spans="1:12" x14ac:dyDescent="0.2">
      <c r="A361" t="s">
        <v>4798</v>
      </c>
      <c r="B361" t="s">
        <v>503</v>
      </c>
      <c r="C361" t="s">
        <v>1867</v>
      </c>
      <c r="D361" t="s">
        <v>4982</v>
      </c>
      <c r="E361" t="s">
        <v>1776</v>
      </c>
      <c r="F361" t="s">
        <v>4983</v>
      </c>
      <c r="G361">
        <v>3.19</v>
      </c>
      <c r="H361" t="s">
        <v>529</v>
      </c>
      <c r="I361">
        <v>5.99</v>
      </c>
      <c r="J361" t="s">
        <v>4858</v>
      </c>
      <c r="L361">
        <v>0</v>
      </c>
    </row>
    <row r="362" spans="1:12" x14ac:dyDescent="0.2">
      <c r="A362" t="s">
        <v>4798</v>
      </c>
      <c r="B362" t="s">
        <v>503</v>
      </c>
      <c r="C362" t="s">
        <v>1867</v>
      </c>
      <c r="D362" t="s">
        <v>4984</v>
      </c>
      <c r="E362" t="s">
        <v>1766</v>
      </c>
      <c r="F362" t="s">
        <v>4985</v>
      </c>
      <c r="G362">
        <v>3.19</v>
      </c>
      <c r="H362" t="s">
        <v>529</v>
      </c>
      <c r="I362">
        <v>5.99</v>
      </c>
      <c r="J362" t="s">
        <v>4858</v>
      </c>
      <c r="L362">
        <v>0</v>
      </c>
    </row>
    <row r="363" spans="1:12" x14ac:dyDescent="0.2">
      <c r="A363" t="s">
        <v>4798</v>
      </c>
      <c r="B363" t="s">
        <v>503</v>
      </c>
      <c r="C363" t="s">
        <v>1867</v>
      </c>
      <c r="D363" t="s">
        <v>4986</v>
      </c>
      <c r="E363" t="s">
        <v>1775</v>
      </c>
      <c r="F363" t="s">
        <v>4987</v>
      </c>
      <c r="G363">
        <v>3.19</v>
      </c>
      <c r="H363" t="s">
        <v>529</v>
      </c>
      <c r="I363">
        <v>5.99</v>
      </c>
      <c r="J363" t="s">
        <v>4858</v>
      </c>
      <c r="L363">
        <v>0</v>
      </c>
    </row>
    <row r="364" spans="1:12" x14ac:dyDescent="0.2">
      <c r="A364" t="s">
        <v>4798</v>
      </c>
      <c r="B364" t="s">
        <v>503</v>
      </c>
      <c r="C364" t="s">
        <v>1867</v>
      </c>
      <c r="D364" t="s">
        <v>4988</v>
      </c>
      <c r="E364" t="s">
        <v>3798</v>
      </c>
      <c r="F364" t="s">
        <v>4989</v>
      </c>
      <c r="G364">
        <v>3.19</v>
      </c>
      <c r="H364" t="s">
        <v>529</v>
      </c>
      <c r="I364">
        <v>5.99</v>
      </c>
      <c r="J364" t="s">
        <v>4858</v>
      </c>
      <c r="L364">
        <v>0</v>
      </c>
    </row>
    <row r="365" spans="1:12" x14ac:dyDescent="0.2">
      <c r="A365" t="s">
        <v>4798</v>
      </c>
      <c r="B365" t="s">
        <v>503</v>
      </c>
      <c r="C365" t="s">
        <v>1867</v>
      </c>
      <c r="D365" t="s">
        <v>4990</v>
      </c>
      <c r="E365" t="s">
        <v>3799</v>
      </c>
      <c r="F365" t="s">
        <v>4991</v>
      </c>
      <c r="G365">
        <v>3.19</v>
      </c>
      <c r="H365" t="s">
        <v>529</v>
      </c>
      <c r="I365">
        <v>5.99</v>
      </c>
      <c r="J365" t="s">
        <v>4858</v>
      </c>
      <c r="L365">
        <v>0</v>
      </c>
    </row>
    <row r="366" spans="1:12" x14ac:dyDescent="0.2">
      <c r="A366" t="s">
        <v>4798</v>
      </c>
      <c r="B366" t="s">
        <v>503</v>
      </c>
      <c r="C366" t="s">
        <v>1867</v>
      </c>
      <c r="D366" t="s">
        <v>4992</v>
      </c>
      <c r="E366" t="s">
        <v>2805</v>
      </c>
      <c r="F366" t="s">
        <v>4993</v>
      </c>
      <c r="G366">
        <v>3.19</v>
      </c>
      <c r="H366" t="s">
        <v>529</v>
      </c>
      <c r="I366">
        <v>5.99</v>
      </c>
      <c r="J366" t="s">
        <v>4858</v>
      </c>
      <c r="L366">
        <v>0</v>
      </c>
    </row>
    <row r="367" spans="1:12" x14ac:dyDescent="0.2">
      <c r="A367" t="s">
        <v>4798</v>
      </c>
      <c r="B367" t="s">
        <v>503</v>
      </c>
      <c r="C367" t="s">
        <v>1867</v>
      </c>
      <c r="D367" t="s">
        <v>4994</v>
      </c>
      <c r="E367" t="s">
        <v>2807</v>
      </c>
      <c r="F367" t="s">
        <v>4995</v>
      </c>
      <c r="G367">
        <v>3.19</v>
      </c>
      <c r="H367" t="s">
        <v>529</v>
      </c>
      <c r="I367">
        <v>5.99</v>
      </c>
      <c r="J367" t="s">
        <v>4858</v>
      </c>
      <c r="L367">
        <v>0</v>
      </c>
    </row>
    <row r="368" spans="1:12" x14ac:dyDescent="0.2">
      <c r="A368" t="s">
        <v>4798</v>
      </c>
      <c r="B368" t="s">
        <v>503</v>
      </c>
      <c r="C368" t="s">
        <v>1867</v>
      </c>
      <c r="D368" t="s">
        <v>4996</v>
      </c>
      <c r="E368" t="s">
        <v>2808</v>
      </c>
      <c r="F368" t="s">
        <v>4997</v>
      </c>
      <c r="G368">
        <v>3.19</v>
      </c>
      <c r="H368" t="s">
        <v>529</v>
      </c>
      <c r="I368">
        <v>5.99</v>
      </c>
      <c r="J368" t="s">
        <v>4858</v>
      </c>
      <c r="L368">
        <v>0</v>
      </c>
    </row>
    <row r="369" spans="1:12" x14ac:dyDescent="0.2">
      <c r="A369" t="s">
        <v>4798</v>
      </c>
      <c r="B369" t="s">
        <v>503</v>
      </c>
      <c r="C369" t="s">
        <v>1867</v>
      </c>
      <c r="D369" t="s">
        <v>4998</v>
      </c>
      <c r="E369" t="s">
        <v>2806</v>
      </c>
      <c r="F369" t="s">
        <v>4999</v>
      </c>
      <c r="G369">
        <v>3.19</v>
      </c>
      <c r="H369" t="s">
        <v>529</v>
      </c>
      <c r="I369">
        <v>5.99</v>
      </c>
      <c r="J369" t="s">
        <v>4858</v>
      </c>
      <c r="L369">
        <v>0</v>
      </c>
    </row>
    <row r="370" spans="1:12" x14ac:dyDescent="0.2">
      <c r="A370" t="s">
        <v>4798</v>
      </c>
      <c r="B370" t="s">
        <v>503</v>
      </c>
      <c r="C370" t="s">
        <v>368</v>
      </c>
      <c r="D370" t="s">
        <v>5000</v>
      </c>
      <c r="E370" t="s">
        <v>1054</v>
      </c>
      <c r="F370" t="s">
        <v>5001</v>
      </c>
      <c r="G370">
        <v>5.99</v>
      </c>
      <c r="H370" t="s">
        <v>529</v>
      </c>
      <c r="I370">
        <v>9.99</v>
      </c>
      <c r="J370" t="s">
        <v>4858</v>
      </c>
      <c r="L370">
        <v>0</v>
      </c>
    </row>
    <row r="371" spans="1:12" x14ac:dyDescent="0.2">
      <c r="A371" t="s">
        <v>4798</v>
      </c>
      <c r="B371" t="s">
        <v>503</v>
      </c>
      <c r="C371" t="s">
        <v>368</v>
      </c>
      <c r="D371" t="s">
        <v>5002</v>
      </c>
      <c r="E371" t="s">
        <v>2889</v>
      </c>
      <c r="F371" t="s">
        <v>5003</v>
      </c>
      <c r="G371">
        <v>5.99</v>
      </c>
      <c r="H371" t="s">
        <v>529</v>
      </c>
      <c r="I371">
        <v>9.99</v>
      </c>
      <c r="J371" t="s">
        <v>4858</v>
      </c>
      <c r="L371">
        <v>0</v>
      </c>
    </row>
    <row r="372" spans="1:12" x14ac:dyDescent="0.2">
      <c r="A372" t="s">
        <v>4798</v>
      </c>
      <c r="B372" t="s">
        <v>503</v>
      </c>
      <c r="C372" t="s">
        <v>368</v>
      </c>
      <c r="D372" t="s">
        <v>5004</v>
      </c>
      <c r="E372" t="s">
        <v>2793</v>
      </c>
      <c r="F372" t="s">
        <v>1842</v>
      </c>
      <c r="G372">
        <v>5.99</v>
      </c>
      <c r="H372" t="s">
        <v>529</v>
      </c>
      <c r="I372">
        <v>9.99</v>
      </c>
      <c r="J372" t="s">
        <v>4858</v>
      </c>
      <c r="L372">
        <v>0</v>
      </c>
    </row>
    <row r="373" spans="1:12" x14ac:dyDescent="0.2">
      <c r="A373" t="s">
        <v>4798</v>
      </c>
      <c r="B373" t="s">
        <v>503</v>
      </c>
      <c r="C373" t="s">
        <v>368</v>
      </c>
      <c r="D373" t="s">
        <v>5005</v>
      </c>
      <c r="E373" t="s">
        <v>2798</v>
      </c>
      <c r="F373" t="s">
        <v>1843</v>
      </c>
      <c r="G373">
        <v>5.99</v>
      </c>
      <c r="H373" t="s">
        <v>529</v>
      </c>
      <c r="I373">
        <v>9.99</v>
      </c>
      <c r="J373" t="s">
        <v>4858</v>
      </c>
      <c r="L373">
        <v>0</v>
      </c>
    </row>
    <row r="374" spans="1:12" x14ac:dyDescent="0.2">
      <c r="A374" t="s">
        <v>4798</v>
      </c>
      <c r="B374" t="s">
        <v>503</v>
      </c>
      <c r="C374" t="s">
        <v>368</v>
      </c>
      <c r="D374" t="s">
        <v>5006</v>
      </c>
      <c r="E374" t="s">
        <v>2801</v>
      </c>
      <c r="F374" t="s">
        <v>1844</v>
      </c>
      <c r="G374">
        <v>5.99</v>
      </c>
      <c r="H374" t="s">
        <v>529</v>
      </c>
      <c r="I374">
        <v>9.99</v>
      </c>
      <c r="J374" t="s">
        <v>4858</v>
      </c>
      <c r="L374">
        <v>0</v>
      </c>
    </row>
    <row r="375" spans="1:12" x14ac:dyDescent="0.2">
      <c r="A375" t="s">
        <v>4798</v>
      </c>
      <c r="B375" t="s">
        <v>503</v>
      </c>
      <c r="C375" t="s">
        <v>344</v>
      </c>
      <c r="D375" t="s">
        <v>5007</v>
      </c>
      <c r="E375" t="s">
        <v>383</v>
      </c>
      <c r="F375" t="s">
        <v>5008</v>
      </c>
      <c r="G375">
        <v>1.59</v>
      </c>
      <c r="H375" t="s">
        <v>529</v>
      </c>
      <c r="I375">
        <v>2.99</v>
      </c>
      <c r="J375" t="s">
        <v>5009</v>
      </c>
      <c r="L375">
        <v>0</v>
      </c>
    </row>
    <row r="376" spans="1:12" x14ac:dyDescent="0.2">
      <c r="A376" t="s">
        <v>4798</v>
      </c>
      <c r="B376" t="s">
        <v>503</v>
      </c>
      <c r="C376" t="s">
        <v>344</v>
      </c>
      <c r="D376" t="s">
        <v>5010</v>
      </c>
      <c r="E376" t="s">
        <v>4809</v>
      </c>
      <c r="F376" t="s">
        <v>5011</v>
      </c>
      <c r="G376">
        <v>1.59</v>
      </c>
      <c r="H376" t="s">
        <v>529</v>
      </c>
      <c r="I376">
        <v>2.99</v>
      </c>
      <c r="J376" t="s">
        <v>5009</v>
      </c>
      <c r="L376">
        <v>0</v>
      </c>
    </row>
    <row r="377" spans="1:12" x14ac:dyDescent="0.2">
      <c r="A377" t="s">
        <v>4798</v>
      </c>
      <c r="B377" t="s">
        <v>503</v>
      </c>
      <c r="C377" t="s">
        <v>344</v>
      </c>
      <c r="D377" t="s">
        <v>5012</v>
      </c>
      <c r="E377" t="s">
        <v>1017</v>
      </c>
      <c r="F377" t="s">
        <v>5013</v>
      </c>
      <c r="G377">
        <v>1.59</v>
      </c>
      <c r="H377" t="s">
        <v>529</v>
      </c>
      <c r="I377">
        <v>2.99</v>
      </c>
      <c r="J377" t="s">
        <v>5009</v>
      </c>
      <c r="L377">
        <v>0</v>
      </c>
    </row>
    <row r="378" spans="1:12" x14ac:dyDescent="0.2">
      <c r="A378" t="s">
        <v>4798</v>
      </c>
      <c r="B378" t="s">
        <v>503</v>
      </c>
      <c r="C378" t="s">
        <v>344</v>
      </c>
      <c r="D378" t="s">
        <v>5014</v>
      </c>
      <c r="E378" t="s">
        <v>343</v>
      </c>
      <c r="F378" t="s">
        <v>5015</v>
      </c>
      <c r="G378">
        <v>1.59</v>
      </c>
      <c r="H378" t="s">
        <v>529</v>
      </c>
      <c r="I378">
        <v>2.99</v>
      </c>
      <c r="J378" t="s">
        <v>5009</v>
      </c>
      <c r="L378">
        <v>0</v>
      </c>
    </row>
    <row r="379" spans="1:12" x14ac:dyDescent="0.2">
      <c r="A379" t="s">
        <v>4798</v>
      </c>
      <c r="B379" t="s">
        <v>503</v>
      </c>
      <c r="C379" t="s">
        <v>344</v>
      </c>
      <c r="D379" t="s">
        <v>5016</v>
      </c>
      <c r="E379" t="s">
        <v>1054</v>
      </c>
      <c r="F379" t="s">
        <v>5017</v>
      </c>
      <c r="G379">
        <v>1.59</v>
      </c>
      <c r="H379" t="s">
        <v>529</v>
      </c>
      <c r="I379">
        <v>2.99</v>
      </c>
      <c r="J379" t="s">
        <v>5009</v>
      </c>
      <c r="L379">
        <v>0</v>
      </c>
    </row>
    <row r="380" spans="1:12" x14ac:dyDescent="0.2">
      <c r="A380" t="s">
        <v>4798</v>
      </c>
      <c r="B380" t="s">
        <v>503</v>
      </c>
      <c r="C380" t="s">
        <v>344</v>
      </c>
      <c r="D380" t="s">
        <v>5018</v>
      </c>
      <c r="E380" t="s">
        <v>1739</v>
      </c>
      <c r="F380" t="s">
        <v>5019</v>
      </c>
      <c r="G380">
        <v>1.59</v>
      </c>
      <c r="H380" t="s">
        <v>529</v>
      </c>
      <c r="I380">
        <v>2.99</v>
      </c>
      <c r="J380" t="s">
        <v>5009</v>
      </c>
      <c r="L380">
        <v>0</v>
      </c>
    </row>
    <row r="381" spans="1:12" x14ac:dyDescent="0.2">
      <c r="A381" t="s">
        <v>4798</v>
      </c>
      <c r="B381" t="s">
        <v>503</v>
      </c>
      <c r="C381" t="s">
        <v>344</v>
      </c>
      <c r="D381" t="s">
        <v>5020</v>
      </c>
      <c r="E381" t="s">
        <v>371</v>
      </c>
      <c r="F381" t="s">
        <v>5021</v>
      </c>
      <c r="G381">
        <v>1.59</v>
      </c>
      <c r="H381" t="s">
        <v>529</v>
      </c>
      <c r="I381">
        <v>2.99</v>
      </c>
      <c r="J381" t="s">
        <v>5009</v>
      </c>
      <c r="L381">
        <v>0</v>
      </c>
    </row>
    <row r="382" spans="1:12" x14ac:dyDescent="0.2">
      <c r="A382" t="s">
        <v>4798</v>
      </c>
      <c r="B382" t="s">
        <v>503</v>
      </c>
      <c r="C382" t="s">
        <v>344</v>
      </c>
      <c r="D382" t="s">
        <v>5022</v>
      </c>
      <c r="E382" t="s">
        <v>293</v>
      </c>
      <c r="F382" t="s">
        <v>5023</v>
      </c>
      <c r="G382">
        <v>1.59</v>
      </c>
      <c r="H382" t="s">
        <v>529</v>
      </c>
      <c r="I382">
        <v>2.99</v>
      </c>
      <c r="J382" t="s">
        <v>5009</v>
      </c>
      <c r="L382">
        <v>0</v>
      </c>
    </row>
    <row r="383" spans="1:12" x14ac:dyDescent="0.2">
      <c r="A383" t="s">
        <v>4798</v>
      </c>
      <c r="B383" t="s">
        <v>503</v>
      </c>
      <c r="C383" t="s">
        <v>344</v>
      </c>
      <c r="D383" t="s">
        <v>5024</v>
      </c>
      <c r="E383" t="s">
        <v>2662</v>
      </c>
      <c r="F383" t="s">
        <v>5025</v>
      </c>
      <c r="G383">
        <v>1.59</v>
      </c>
      <c r="H383" t="s">
        <v>529</v>
      </c>
      <c r="I383">
        <v>2.99</v>
      </c>
      <c r="J383" t="s">
        <v>5009</v>
      </c>
      <c r="L383">
        <v>0</v>
      </c>
    </row>
    <row r="384" spans="1:12" x14ac:dyDescent="0.2">
      <c r="A384" t="s">
        <v>4798</v>
      </c>
      <c r="B384" t="s">
        <v>503</v>
      </c>
      <c r="C384" t="s">
        <v>344</v>
      </c>
      <c r="D384" t="s">
        <v>5026</v>
      </c>
      <c r="E384" t="s">
        <v>1740</v>
      </c>
      <c r="F384" t="s">
        <v>5027</v>
      </c>
      <c r="G384">
        <v>1.59</v>
      </c>
      <c r="H384" t="s">
        <v>529</v>
      </c>
      <c r="I384">
        <v>2.99</v>
      </c>
      <c r="J384" t="s">
        <v>5009</v>
      </c>
      <c r="L384">
        <v>0</v>
      </c>
    </row>
    <row r="385" spans="1:12" x14ac:dyDescent="0.2">
      <c r="A385" t="s">
        <v>4798</v>
      </c>
      <c r="B385" t="s">
        <v>503</v>
      </c>
      <c r="C385" t="s">
        <v>344</v>
      </c>
      <c r="D385" t="s">
        <v>5028</v>
      </c>
      <c r="E385" t="s">
        <v>286</v>
      </c>
      <c r="F385" t="s">
        <v>5029</v>
      </c>
      <c r="G385">
        <v>1.59</v>
      </c>
      <c r="H385" t="s">
        <v>529</v>
      </c>
      <c r="I385">
        <v>2.99</v>
      </c>
      <c r="J385" t="s">
        <v>5009</v>
      </c>
      <c r="L385">
        <v>0</v>
      </c>
    </row>
    <row r="386" spans="1:12" x14ac:dyDescent="0.2">
      <c r="A386" t="s">
        <v>4798</v>
      </c>
      <c r="B386" t="s">
        <v>503</v>
      </c>
      <c r="C386" t="s">
        <v>344</v>
      </c>
      <c r="D386" t="s">
        <v>5030</v>
      </c>
      <c r="E386" t="s">
        <v>374</v>
      </c>
      <c r="F386" t="s">
        <v>5031</v>
      </c>
      <c r="G386">
        <v>1.59</v>
      </c>
      <c r="H386" t="s">
        <v>529</v>
      </c>
      <c r="I386">
        <v>2.99</v>
      </c>
      <c r="J386" t="s">
        <v>5009</v>
      </c>
      <c r="L386">
        <v>0</v>
      </c>
    </row>
    <row r="387" spans="1:12" x14ac:dyDescent="0.2">
      <c r="A387" t="s">
        <v>4798</v>
      </c>
      <c r="B387" t="s">
        <v>503</v>
      </c>
      <c r="C387" t="s">
        <v>344</v>
      </c>
      <c r="D387" t="s">
        <v>5032</v>
      </c>
      <c r="E387" t="s">
        <v>5033</v>
      </c>
      <c r="F387" t="s">
        <v>5034</v>
      </c>
      <c r="G387">
        <v>1.59</v>
      </c>
      <c r="H387" t="s">
        <v>529</v>
      </c>
      <c r="I387">
        <v>2.99</v>
      </c>
      <c r="J387" t="s">
        <v>5009</v>
      </c>
      <c r="L387">
        <v>0</v>
      </c>
    </row>
    <row r="388" spans="1:12" x14ac:dyDescent="0.2">
      <c r="A388" t="s">
        <v>4798</v>
      </c>
      <c r="B388" t="s">
        <v>503</v>
      </c>
      <c r="C388" t="s">
        <v>344</v>
      </c>
      <c r="D388" t="s">
        <v>5035</v>
      </c>
      <c r="E388" t="s">
        <v>373</v>
      </c>
      <c r="F388" t="s">
        <v>5036</v>
      </c>
      <c r="G388">
        <v>1.59</v>
      </c>
      <c r="H388" t="s">
        <v>529</v>
      </c>
      <c r="I388">
        <v>2.99</v>
      </c>
      <c r="J388" t="s">
        <v>5009</v>
      </c>
      <c r="L388">
        <v>0</v>
      </c>
    </row>
    <row r="389" spans="1:12" x14ac:dyDescent="0.2">
      <c r="A389" t="s">
        <v>4798</v>
      </c>
      <c r="B389" t="s">
        <v>503</v>
      </c>
      <c r="C389" t="s">
        <v>344</v>
      </c>
      <c r="D389" t="s">
        <v>5037</v>
      </c>
      <c r="E389" t="s">
        <v>4820</v>
      </c>
      <c r="F389" t="s">
        <v>5038</v>
      </c>
      <c r="G389">
        <v>1.59</v>
      </c>
      <c r="H389" t="s">
        <v>529</v>
      </c>
      <c r="I389">
        <v>2.99</v>
      </c>
      <c r="J389" t="s">
        <v>5009</v>
      </c>
      <c r="L389">
        <v>0</v>
      </c>
    </row>
    <row r="390" spans="1:12" x14ac:dyDescent="0.2">
      <c r="A390" t="s">
        <v>4798</v>
      </c>
      <c r="B390" t="s">
        <v>503</v>
      </c>
      <c r="C390" t="s">
        <v>344</v>
      </c>
      <c r="D390" t="s">
        <v>5039</v>
      </c>
      <c r="E390" t="s">
        <v>5040</v>
      </c>
      <c r="F390" t="s">
        <v>5041</v>
      </c>
      <c r="G390">
        <v>1.59</v>
      </c>
      <c r="H390" t="s">
        <v>529</v>
      </c>
      <c r="I390">
        <v>2.99</v>
      </c>
      <c r="J390" t="s">
        <v>5009</v>
      </c>
      <c r="L390">
        <v>0</v>
      </c>
    </row>
    <row r="391" spans="1:12" x14ac:dyDescent="0.2">
      <c r="A391" t="s">
        <v>4798</v>
      </c>
      <c r="B391" t="s">
        <v>503</v>
      </c>
      <c r="C391" t="s">
        <v>344</v>
      </c>
      <c r="D391" t="s">
        <v>5042</v>
      </c>
      <c r="E391" t="s">
        <v>960</v>
      </c>
      <c r="F391" t="s">
        <v>5043</v>
      </c>
      <c r="G391">
        <v>1.59</v>
      </c>
      <c r="H391" t="s">
        <v>529</v>
      </c>
      <c r="I391">
        <v>2.99</v>
      </c>
      <c r="J391" t="s">
        <v>5009</v>
      </c>
      <c r="L391">
        <v>0</v>
      </c>
    </row>
    <row r="392" spans="1:12" x14ac:dyDescent="0.2">
      <c r="A392" t="s">
        <v>4798</v>
      </c>
      <c r="B392" t="s">
        <v>503</v>
      </c>
      <c r="C392" t="s">
        <v>344</v>
      </c>
      <c r="D392" t="s">
        <v>5044</v>
      </c>
      <c r="E392" t="s">
        <v>369</v>
      </c>
      <c r="F392" t="s">
        <v>5045</v>
      </c>
      <c r="G392">
        <v>1.59</v>
      </c>
      <c r="H392" t="s">
        <v>529</v>
      </c>
      <c r="I392">
        <v>2.99</v>
      </c>
      <c r="J392" t="s">
        <v>5009</v>
      </c>
      <c r="L392">
        <v>0</v>
      </c>
    </row>
    <row r="393" spans="1:12" x14ac:dyDescent="0.2">
      <c r="A393" t="s">
        <v>4798</v>
      </c>
      <c r="B393" t="s">
        <v>503</v>
      </c>
      <c r="C393" t="s">
        <v>344</v>
      </c>
      <c r="D393" t="s">
        <v>5046</v>
      </c>
      <c r="E393" t="s">
        <v>2810</v>
      </c>
      <c r="F393" t="s">
        <v>5047</v>
      </c>
      <c r="G393">
        <v>1.59</v>
      </c>
      <c r="H393" t="s">
        <v>529</v>
      </c>
      <c r="I393">
        <v>2.99</v>
      </c>
      <c r="J393" t="s">
        <v>5009</v>
      </c>
      <c r="L393">
        <v>0</v>
      </c>
    </row>
    <row r="394" spans="1:12" x14ac:dyDescent="0.2">
      <c r="A394" t="s">
        <v>4798</v>
      </c>
      <c r="B394" t="s">
        <v>503</v>
      </c>
      <c r="C394" t="s">
        <v>344</v>
      </c>
      <c r="D394" t="s">
        <v>5048</v>
      </c>
      <c r="E394" t="s">
        <v>1741</v>
      </c>
      <c r="F394" t="s">
        <v>5049</v>
      </c>
      <c r="G394">
        <v>1.59</v>
      </c>
      <c r="H394" t="s">
        <v>529</v>
      </c>
      <c r="I394">
        <v>2.99</v>
      </c>
      <c r="J394" t="s">
        <v>5009</v>
      </c>
      <c r="L394">
        <v>0</v>
      </c>
    </row>
    <row r="395" spans="1:12" x14ac:dyDescent="0.2">
      <c r="A395" t="s">
        <v>4798</v>
      </c>
      <c r="B395" t="s">
        <v>503</v>
      </c>
      <c r="C395" t="s">
        <v>344</v>
      </c>
      <c r="D395" t="s">
        <v>5050</v>
      </c>
      <c r="E395" t="s">
        <v>2811</v>
      </c>
      <c r="F395" t="s">
        <v>5051</v>
      </c>
      <c r="G395">
        <v>1.59</v>
      </c>
      <c r="H395" t="s">
        <v>529</v>
      </c>
      <c r="I395">
        <v>2.99</v>
      </c>
      <c r="J395" t="s">
        <v>5009</v>
      </c>
      <c r="L395">
        <v>0</v>
      </c>
    </row>
    <row r="396" spans="1:12" x14ac:dyDescent="0.2">
      <c r="A396" t="s">
        <v>4798</v>
      </c>
      <c r="B396" t="s">
        <v>503</v>
      </c>
      <c r="C396" t="s">
        <v>344</v>
      </c>
      <c r="D396" t="s">
        <v>5052</v>
      </c>
      <c r="E396" t="s">
        <v>2812</v>
      </c>
      <c r="F396" t="s">
        <v>5053</v>
      </c>
      <c r="G396">
        <v>1.59</v>
      </c>
      <c r="H396" t="s">
        <v>529</v>
      </c>
      <c r="I396">
        <v>2.99</v>
      </c>
      <c r="J396" t="s">
        <v>5009</v>
      </c>
      <c r="L396">
        <v>0</v>
      </c>
    </row>
    <row r="397" spans="1:12" x14ac:dyDescent="0.2">
      <c r="A397" t="s">
        <v>4798</v>
      </c>
      <c r="B397" t="s">
        <v>503</v>
      </c>
      <c r="C397" t="s">
        <v>344</v>
      </c>
      <c r="D397" t="s">
        <v>5054</v>
      </c>
      <c r="E397" t="s">
        <v>2813</v>
      </c>
      <c r="F397" t="s">
        <v>5055</v>
      </c>
      <c r="G397">
        <v>1.59</v>
      </c>
      <c r="H397" t="s">
        <v>529</v>
      </c>
      <c r="I397">
        <v>2.99</v>
      </c>
      <c r="J397" t="s">
        <v>5009</v>
      </c>
      <c r="L397">
        <v>0</v>
      </c>
    </row>
    <row r="398" spans="1:12" x14ac:dyDescent="0.2">
      <c r="A398" t="s">
        <v>4798</v>
      </c>
      <c r="B398" t="s">
        <v>503</v>
      </c>
      <c r="C398" t="s">
        <v>344</v>
      </c>
      <c r="D398" t="s">
        <v>5056</v>
      </c>
      <c r="E398" t="s">
        <v>5057</v>
      </c>
      <c r="F398" t="s">
        <v>5058</v>
      </c>
      <c r="G398">
        <v>1.59</v>
      </c>
      <c r="H398" t="s">
        <v>529</v>
      </c>
      <c r="I398">
        <v>2.99</v>
      </c>
      <c r="J398" t="s">
        <v>5009</v>
      </c>
      <c r="L398">
        <v>0</v>
      </c>
    </row>
    <row r="399" spans="1:12" x14ac:dyDescent="0.2">
      <c r="A399" t="s">
        <v>4798</v>
      </c>
      <c r="B399" t="s">
        <v>503</v>
      </c>
      <c r="C399" t="s">
        <v>344</v>
      </c>
      <c r="D399" t="s">
        <v>5059</v>
      </c>
      <c r="E399" t="s">
        <v>306</v>
      </c>
      <c r="F399" t="s">
        <v>5060</v>
      </c>
      <c r="G399">
        <v>1.59</v>
      </c>
      <c r="H399" t="s">
        <v>529</v>
      </c>
      <c r="I399">
        <v>2.99</v>
      </c>
      <c r="J399" t="s">
        <v>5009</v>
      </c>
      <c r="L399">
        <v>0</v>
      </c>
    </row>
    <row r="400" spans="1:12" x14ac:dyDescent="0.2">
      <c r="A400" t="s">
        <v>4798</v>
      </c>
      <c r="B400" t="s">
        <v>503</v>
      </c>
      <c r="C400" t="s">
        <v>344</v>
      </c>
      <c r="D400" t="s">
        <v>5061</v>
      </c>
      <c r="E400" t="s">
        <v>372</v>
      </c>
      <c r="F400" t="s">
        <v>5062</v>
      </c>
      <c r="G400">
        <v>1.59</v>
      </c>
      <c r="H400" t="s">
        <v>529</v>
      </c>
      <c r="I400">
        <v>2.99</v>
      </c>
      <c r="J400" t="s">
        <v>5009</v>
      </c>
      <c r="L400">
        <v>0</v>
      </c>
    </row>
    <row r="401" spans="1:12" x14ac:dyDescent="0.2">
      <c r="A401" t="s">
        <v>4798</v>
      </c>
      <c r="B401" t="s">
        <v>503</v>
      </c>
      <c r="C401" t="s">
        <v>1860</v>
      </c>
      <c r="D401" t="s">
        <v>5063</v>
      </c>
      <c r="E401" t="s">
        <v>1761</v>
      </c>
      <c r="F401" t="s">
        <v>5064</v>
      </c>
      <c r="G401">
        <v>3.99</v>
      </c>
      <c r="H401" t="s">
        <v>529</v>
      </c>
      <c r="I401">
        <v>7.99</v>
      </c>
      <c r="J401" t="s">
        <v>4858</v>
      </c>
      <c r="L401">
        <v>0</v>
      </c>
    </row>
    <row r="402" spans="1:12" x14ac:dyDescent="0.2">
      <c r="A402" t="s">
        <v>4798</v>
      </c>
      <c r="B402" t="s">
        <v>503</v>
      </c>
      <c r="C402" t="s">
        <v>1860</v>
      </c>
      <c r="D402" t="s">
        <v>5065</v>
      </c>
      <c r="E402" t="s">
        <v>1743</v>
      </c>
      <c r="F402" t="s">
        <v>5066</v>
      </c>
      <c r="G402">
        <v>3.99</v>
      </c>
      <c r="H402" t="s">
        <v>529</v>
      </c>
      <c r="I402">
        <v>7.99</v>
      </c>
      <c r="J402" t="s">
        <v>4858</v>
      </c>
      <c r="L402">
        <v>0</v>
      </c>
    </row>
    <row r="403" spans="1:12" x14ac:dyDescent="0.2">
      <c r="A403" t="s">
        <v>4798</v>
      </c>
      <c r="B403" t="s">
        <v>503</v>
      </c>
      <c r="C403" t="s">
        <v>1860</v>
      </c>
      <c r="D403" t="s">
        <v>5067</v>
      </c>
      <c r="E403" t="s">
        <v>1766</v>
      </c>
      <c r="F403" t="s">
        <v>5068</v>
      </c>
      <c r="G403">
        <v>3.99</v>
      </c>
      <c r="H403" t="s">
        <v>529</v>
      </c>
      <c r="I403">
        <v>7.99</v>
      </c>
      <c r="J403" t="s">
        <v>4858</v>
      </c>
      <c r="L403">
        <v>0</v>
      </c>
    </row>
    <row r="404" spans="1:12" x14ac:dyDescent="0.2">
      <c r="A404" t="s">
        <v>4798</v>
      </c>
      <c r="B404" t="s">
        <v>503</v>
      </c>
      <c r="C404" t="s">
        <v>1809</v>
      </c>
      <c r="D404" t="s">
        <v>5069</v>
      </c>
      <c r="E404" t="s">
        <v>1743</v>
      </c>
      <c r="F404" t="s">
        <v>5070</v>
      </c>
      <c r="G404">
        <v>4.99</v>
      </c>
      <c r="H404" t="s">
        <v>529</v>
      </c>
      <c r="I404">
        <v>8.99</v>
      </c>
      <c r="J404" t="s">
        <v>5071</v>
      </c>
      <c r="L404">
        <v>0</v>
      </c>
    </row>
    <row r="405" spans="1:12" x14ac:dyDescent="0.2">
      <c r="A405" t="s">
        <v>4798</v>
      </c>
      <c r="B405" t="s">
        <v>503</v>
      </c>
      <c r="C405" t="s">
        <v>1809</v>
      </c>
      <c r="D405" t="s">
        <v>5069</v>
      </c>
      <c r="E405" t="s">
        <v>1741</v>
      </c>
      <c r="F405" t="s">
        <v>5072</v>
      </c>
      <c r="G405">
        <v>4.99</v>
      </c>
      <c r="H405" t="s">
        <v>529</v>
      </c>
      <c r="I405">
        <v>8.99</v>
      </c>
      <c r="J405" t="s">
        <v>5071</v>
      </c>
      <c r="L405">
        <v>0</v>
      </c>
    </row>
    <row r="406" spans="1:12" x14ac:dyDescent="0.2">
      <c r="A406" t="s">
        <v>4798</v>
      </c>
      <c r="B406" t="s">
        <v>503</v>
      </c>
      <c r="C406" t="s">
        <v>943</v>
      </c>
      <c r="D406" t="s">
        <v>5073</v>
      </c>
      <c r="E406" t="s">
        <v>1761</v>
      </c>
      <c r="F406" t="s">
        <v>5074</v>
      </c>
      <c r="G406">
        <v>4.99</v>
      </c>
      <c r="H406" t="s">
        <v>529</v>
      </c>
      <c r="I406">
        <v>7.99</v>
      </c>
      <c r="J406" t="s">
        <v>4858</v>
      </c>
      <c r="L406">
        <v>0</v>
      </c>
    </row>
    <row r="407" spans="1:12" x14ac:dyDescent="0.2">
      <c r="A407" t="s">
        <v>4798</v>
      </c>
      <c r="B407" t="s">
        <v>503</v>
      </c>
      <c r="C407" t="s">
        <v>943</v>
      </c>
      <c r="D407" t="s">
        <v>5075</v>
      </c>
      <c r="E407" t="s">
        <v>1743</v>
      </c>
      <c r="F407" t="s">
        <v>5076</v>
      </c>
      <c r="G407">
        <v>4.99</v>
      </c>
      <c r="H407" t="s">
        <v>529</v>
      </c>
      <c r="I407">
        <v>7.99</v>
      </c>
      <c r="J407" t="s">
        <v>4858</v>
      </c>
      <c r="L407">
        <v>0</v>
      </c>
    </row>
    <row r="408" spans="1:12" x14ac:dyDescent="0.2">
      <c r="A408" t="s">
        <v>4798</v>
      </c>
      <c r="B408" t="s">
        <v>503</v>
      </c>
      <c r="C408" t="s">
        <v>351</v>
      </c>
      <c r="D408" t="s">
        <v>5077</v>
      </c>
      <c r="E408" t="s">
        <v>2837</v>
      </c>
      <c r="F408" t="s">
        <v>5078</v>
      </c>
      <c r="G408">
        <v>4.1900000000000004</v>
      </c>
      <c r="H408" t="s">
        <v>529</v>
      </c>
      <c r="I408">
        <v>7.99</v>
      </c>
      <c r="J408" t="s">
        <v>4858</v>
      </c>
      <c r="L408">
        <v>0</v>
      </c>
    </row>
    <row r="409" spans="1:12" x14ac:dyDescent="0.2">
      <c r="A409" t="s">
        <v>4798</v>
      </c>
      <c r="B409" t="s">
        <v>503</v>
      </c>
      <c r="C409" t="s">
        <v>351</v>
      </c>
      <c r="D409" t="s">
        <v>5079</v>
      </c>
      <c r="E409" t="s">
        <v>2838</v>
      </c>
      <c r="F409" t="s">
        <v>5080</v>
      </c>
      <c r="G409">
        <v>4.1900000000000004</v>
      </c>
      <c r="H409" t="s">
        <v>529</v>
      </c>
      <c r="I409">
        <v>7.99</v>
      </c>
      <c r="J409" t="s">
        <v>4858</v>
      </c>
      <c r="L409">
        <v>0</v>
      </c>
    </row>
    <row r="410" spans="1:12" x14ac:dyDescent="0.2">
      <c r="A410" t="s">
        <v>4798</v>
      </c>
      <c r="B410" t="s">
        <v>503</v>
      </c>
      <c r="C410" t="s">
        <v>351</v>
      </c>
      <c r="D410" t="s">
        <v>5081</v>
      </c>
      <c r="E410" t="s">
        <v>2839</v>
      </c>
      <c r="F410" t="s">
        <v>5082</v>
      </c>
      <c r="G410">
        <v>4.1900000000000004</v>
      </c>
      <c r="H410" t="s">
        <v>529</v>
      </c>
      <c r="I410">
        <v>7.99</v>
      </c>
      <c r="J410" t="s">
        <v>4858</v>
      </c>
      <c r="L410">
        <v>0</v>
      </c>
    </row>
    <row r="411" spans="1:12" x14ac:dyDescent="0.2">
      <c r="A411" t="s">
        <v>4798</v>
      </c>
      <c r="B411" t="s">
        <v>503</v>
      </c>
      <c r="C411" t="s">
        <v>351</v>
      </c>
      <c r="D411" t="s">
        <v>5083</v>
      </c>
      <c r="E411" t="s">
        <v>5084</v>
      </c>
      <c r="F411" t="s">
        <v>5082</v>
      </c>
      <c r="G411">
        <v>4.1900000000000004</v>
      </c>
      <c r="H411" t="s">
        <v>529</v>
      </c>
      <c r="I411">
        <v>7.99</v>
      </c>
      <c r="J411" t="s">
        <v>4858</v>
      </c>
      <c r="L411">
        <v>0</v>
      </c>
    </row>
    <row r="412" spans="1:12" x14ac:dyDescent="0.2">
      <c r="A412" t="s">
        <v>4798</v>
      </c>
      <c r="B412" t="s">
        <v>503</v>
      </c>
      <c r="C412" t="s">
        <v>1777</v>
      </c>
      <c r="D412" t="s">
        <v>5085</v>
      </c>
      <c r="E412" t="s">
        <v>1779</v>
      </c>
      <c r="F412" t="s">
        <v>5086</v>
      </c>
      <c r="G412">
        <v>4.1900000000000004</v>
      </c>
      <c r="H412" t="s">
        <v>529</v>
      </c>
      <c r="I412">
        <v>7.99</v>
      </c>
      <c r="J412" t="s">
        <v>4858</v>
      </c>
      <c r="L412">
        <v>0</v>
      </c>
    </row>
    <row r="413" spans="1:12" x14ac:dyDescent="0.2">
      <c r="A413" t="s">
        <v>4798</v>
      </c>
      <c r="B413" t="s">
        <v>503</v>
      </c>
      <c r="C413" t="s">
        <v>1777</v>
      </c>
      <c r="D413" t="s">
        <v>5087</v>
      </c>
      <c r="E413" t="s">
        <v>1776</v>
      </c>
      <c r="F413" t="s">
        <v>5088</v>
      </c>
      <c r="G413">
        <v>4.1900000000000004</v>
      </c>
      <c r="H413" t="s">
        <v>529</v>
      </c>
      <c r="I413">
        <v>7.99</v>
      </c>
      <c r="J413" t="s">
        <v>4858</v>
      </c>
      <c r="L413">
        <v>0</v>
      </c>
    </row>
    <row r="414" spans="1:12" x14ac:dyDescent="0.2">
      <c r="A414" t="s">
        <v>4798</v>
      </c>
      <c r="B414" t="s">
        <v>503</v>
      </c>
      <c r="C414" t="s">
        <v>1777</v>
      </c>
      <c r="D414" t="s">
        <v>5089</v>
      </c>
      <c r="E414" t="s">
        <v>1775</v>
      </c>
      <c r="F414" t="s">
        <v>5090</v>
      </c>
      <c r="G414">
        <v>4.1900000000000004</v>
      </c>
      <c r="H414" t="s">
        <v>529</v>
      </c>
      <c r="I414">
        <v>7.99</v>
      </c>
      <c r="J414" t="s">
        <v>4858</v>
      </c>
      <c r="L414">
        <v>0</v>
      </c>
    </row>
    <row r="415" spans="1:12" x14ac:dyDescent="0.2">
      <c r="A415" t="s">
        <v>4798</v>
      </c>
      <c r="B415" t="s">
        <v>503</v>
      </c>
      <c r="C415" t="s">
        <v>956</v>
      </c>
      <c r="D415" t="s">
        <v>5091</v>
      </c>
      <c r="E415" t="s">
        <v>1017</v>
      </c>
      <c r="F415" t="s">
        <v>5092</v>
      </c>
      <c r="G415">
        <v>2.19</v>
      </c>
      <c r="H415" t="s">
        <v>529</v>
      </c>
      <c r="I415">
        <v>3.99</v>
      </c>
      <c r="J415" t="s">
        <v>5093</v>
      </c>
      <c r="L415">
        <v>0</v>
      </c>
    </row>
    <row r="416" spans="1:12" x14ac:dyDescent="0.2">
      <c r="A416" t="s">
        <v>4798</v>
      </c>
      <c r="B416" t="s">
        <v>503</v>
      </c>
      <c r="C416" t="s">
        <v>956</v>
      </c>
      <c r="D416" t="s">
        <v>5094</v>
      </c>
      <c r="E416" t="s">
        <v>371</v>
      </c>
      <c r="F416" t="s">
        <v>5095</v>
      </c>
      <c r="G416">
        <v>2.19</v>
      </c>
      <c r="H416" t="s">
        <v>529</v>
      </c>
      <c r="I416">
        <v>3.99</v>
      </c>
      <c r="J416" t="s">
        <v>5093</v>
      </c>
      <c r="L416">
        <v>0</v>
      </c>
    </row>
    <row r="417" spans="1:12" x14ac:dyDescent="0.2">
      <c r="A417" t="s">
        <v>4798</v>
      </c>
      <c r="B417" t="s">
        <v>503</v>
      </c>
      <c r="C417" t="s">
        <v>956</v>
      </c>
      <c r="D417" t="s">
        <v>5096</v>
      </c>
      <c r="E417" t="s">
        <v>374</v>
      </c>
      <c r="F417" t="s">
        <v>5097</v>
      </c>
      <c r="G417">
        <v>2.19</v>
      </c>
      <c r="H417" t="s">
        <v>529</v>
      </c>
      <c r="I417">
        <v>3.99</v>
      </c>
      <c r="J417" t="s">
        <v>5093</v>
      </c>
      <c r="L417">
        <v>0</v>
      </c>
    </row>
    <row r="418" spans="1:12" x14ac:dyDescent="0.2">
      <c r="A418" t="s">
        <v>5098</v>
      </c>
      <c r="B418" t="s">
        <v>1157</v>
      </c>
      <c r="C418" t="s">
        <v>1202</v>
      </c>
      <c r="D418" t="s">
        <v>5099</v>
      </c>
      <c r="F418" t="s">
        <v>1272</v>
      </c>
      <c r="G418">
        <v>44.99</v>
      </c>
      <c r="H418" t="s">
        <v>529</v>
      </c>
      <c r="I418">
        <v>79.990000000000009</v>
      </c>
      <c r="J418">
        <v>5</v>
      </c>
      <c r="L418">
        <v>0</v>
      </c>
    </row>
    <row r="419" spans="1:12" x14ac:dyDescent="0.2">
      <c r="A419" t="s">
        <v>5098</v>
      </c>
      <c r="B419" t="s">
        <v>1157</v>
      </c>
      <c r="C419" t="s">
        <v>2065</v>
      </c>
      <c r="D419" t="s">
        <v>5100</v>
      </c>
      <c r="F419" t="s">
        <v>2072</v>
      </c>
      <c r="G419">
        <v>43.99</v>
      </c>
      <c r="H419">
        <v>49.99</v>
      </c>
      <c r="I419">
        <v>79.990000000000009</v>
      </c>
      <c r="J419">
        <v>15</v>
      </c>
      <c r="L419">
        <v>0</v>
      </c>
    </row>
    <row r="420" spans="1:12" x14ac:dyDescent="0.2">
      <c r="A420" t="s">
        <v>5098</v>
      </c>
      <c r="B420" t="s">
        <v>1157</v>
      </c>
      <c r="C420" t="s">
        <v>1803</v>
      </c>
      <c r="D420" t="s">
        <v>5101</v>
      </c>
      <c r="F420" t="s">
        <v>1879</v>
      </c>
      <c r="G420">
        <v>65.990000000000009</v>
      </c>
      <c r="H420" t="s">
        <v>529</v>
      </c>
      <c r="I420">
        <v>124.99</v>
      </c>
      <c r="J420">
        <v>5</v>
      </c>
      <c r="L420">
        <v>0</v>
      </c>
    </row>
    <row r="421" spans="1:12" x14ac:dyDescent="0.2">
      <c r="A421" t="s">
        <v>5098</v>
      </c>
      <c r="B421" t="s">
        <v>1157</v>
      </c>
      <c r="C421" t="s">
        <v>2063</v>
      </c>
      <c r="D421" t="s">
        <v>5102</v>
      </c>
      <c r="F421" t="s">
        <v>2070</v>
      </c>
      <c r="G421">
        <v>27.990000000000002</v>
      </c>
      <c r="H421" t="s">
        <v>529</v>
      </c>
      <c r="I421">
        <v>49.99</v>
      </c>
      <c r="J421">
        <v>15</v>
      </c>
      <c r="L421">
        <v>0</v>
      </c>
    </row>
    <row r="422" spans="1:12" x14ac:dyDescent="0.2">
      <c r="A422" t="s">
        <v>5098</v>
      </c>
      <c r="B422" t="s">
        <v>1157</v>
      </c>
      <c r="C422" t="s">
        <v>2067</v>
      </c>
      <c r="D422" t="s">
        <v>5103</v>
      </c>
      <c r="F422" t="s">
        <v>2073</v>
      </c>
      <c r="G422">
        <v>66.990000000000009</v>
      </c>
      <c r="H422" t="s">
        <v>529</v>
      </c>
      <c r="I422">
        <v>124.99</v>
      </c>
      <c r="J422">
        <v>10</v>
      </c>
      <c r="L422">
        <v>0</v>
      </c>
    </row>
    <row r="423" spans="1:12" x14ac:dyDescent="0.2">
      <c r="A423" t="s">
        <v>5098</v>
      </c>
      <c r="B423" t="s">
        <v>1157</v>
      </c>
      <c r="C423" t="s">
        <v>2068</v>
      </c>
      <c r="D423" t="s">
        <v>5104</v>
      </c>
      <c r="F423" t="s">
        <v>5105</v>
      </c>
      <c r="G423">
        <v>70.990000000000009</v>
      </c>
      <c r="H423" t="s">
        <v>529</v>
      </c>
      <c r="I423">
        <v>129.99</v>
      </c>
      <c r="J423">
        <v>10</v>
      </c>
      <c r="L423">
        <v>0</v>
      </c>
    </row>
    <row r="424" spans="1:12" x14ac:dyDescent="0.2">
      <c r="A424" t="s">
        <v>5098</v>
      </c>
      <c r="B424" t="s">
        <v>1157</v>
      </c>
      <c r="C424" t="s">
        <v>2066</v>
      </c>
      <c r="D424" t="s">
        <v>5106</v>
      </c>
      <c r="F424" t="s">
        <v>5107</v>
      </c>
      <c r="G424">
        <v>44.99</v>
      </c>
      <c r="H424" t="s">
        <v>529</v>
      </c>
      <c r="I424">
        <v>79.990000000000009</v>
      </c>
      <c r="J424">
        <v>10</v>
      </c>
      <c r="L424">
        <v>0</v>
      </c>
    </row>
    <row r="425" spans="1:12" x14ac:dyDescent="0.2">
      <c r="A425" t="s">
        <v>5098</v>
      </c>
      <c r="B425" t="s">
        <v>1157</v>
      </c>
      <c r="C425" t="s">
        <v>2064</v>
      </c>
      <c r="D425" t="s">
        <v>5108</v>
      </c>
      <c r="F425" t="s">
        <v>2071</v>
      </c>
      <c r="G425">
        <v>27.990000000000002</v>
      </c>
      <c r="H425" t="s">
        <v>529</v>
      </c>
      <c r="I425">
        <v>49.99</v>
      </c>
      <c r="J425">
        <v>15</v>
      </c>
      <c r="L425">
        <v>0</v>
      </c>
    </row>
    <row r="426" spans="1:12" x14ac:dyDescent="0.2">
      <c r="A426" t="s">
        <v>5098</v>
      </c>
      <c r="B426" t="s">
        <v>1157</v>
      </c>
      <c r="C426" t="s">
        <v>1204</v>
      </c>
      <c r="D426" t="s">
        <v>5109</v>
      </c>
      <c r="F426" t="s">
        <v>1273</v>
      </c>
      <c r="G426">
        <v>57.99</v>
      </c>
      <c r="H426">
        <v>69.990000000000009</v>
      </c>
      <c r="I426">
        <v>99.990000000000009</v>
      </c>
      <c r="J426">
        <v>5</v>
      </c>
      <c r="L426">
        <v>0</v>
      </c>
    </row>
    <row r="427" spans="1:12" x14ac:dyDescent="0.2">
      <c r="A427" t="s">
        <v>5098</v>
      </c>
      <c r="B427" t="s">
        <v>1157</v>
      </c>
      <c r="C427" t="s">
        <v>1542</v>
      </c>
      <c r="D427" t="s">
        <v>5110</v>
      </c>
      <c r="F427" t="s">
        <v>1584</v>
      </c>
      <c r="G427">
        <v>40.99</v>
      </c>
      <c r="H427" t="s">
        <v>529</v>
      </c>
      <c r="I427">
        <v>74.990000000000009</v>
      </c>
      <c r="J427">
        <v>5</v>
      </c>
      <c r="L427">
        <v>0</v>
      </c>
    </row>
    <row r="428" spans="1:12" x14ac:dyDescent="0.2">
      <c r="A428" t="s">
        <v>5098</v>
      </c>
      <c r="B428" t="s">
        <v>1157</v>
      </c>
      <c r="C428" t="s">
        <v>5111</v>
      </c>
      <c r="D428" t="s">
        <v>5112</v>
      </c>
      <c r="F428" t="s">
        <v>529</v>
      </c>
      <c r="G428">
        <v>40.99</v>
      </c>
      <c r="H428" t="s">
        <v>529</v>
      </c>
      <c r="I428">
        <v>74.990000000000009</v>
      </c>
      <c r="J428">
        <v>5</v>
      </c>
      <c r="L428">
        <v>0</v>
      </c>
    </row>
    <row r="429" spans="1:12" x14ac:dyDescent="0.2">
      <c r="A429" t="s">
        <v>5098</v>
      </c>
      <c r="B429" t="s">
        <v>1157</v>
      </c>
      <c r="C429" t="s">
        <v>5113</v>
      </c>
      <c r="D429" t="s">
        <v>5114</v>
      </c>
      <c r="F429" t="s">
        <v>1904</v>
      </c>
      <c r="G429">
        <v>11.99</v>
      </c>
      <c r="H429" t="s">
        <v>529</v>
      </c>
      <c r="I429">
        <v>19.989999999999998</v>
      </c>
      <c r="J429">
        <v>5</v>
      </c>
      <c r="L429">
        <v>0</v>
      </c>
    </row>
    <row r="430" spans="1:12" x14ac:dyDescent="0.2">
      <c r="A430" t="s">
        <v>5098</v>
      </c>
      <c r="B430" t="s">
        <v>1157</v>
      </c>
      <c r="C430" t="s">
        <v>2069</v>
      </c>
      <c r="D430" t="s">
        <v>5115</v>
      </c>
      <c r="F430" t="s">
        <v>5116</v>
      </c>
      <c r="G430">
        <v>68.990000000000009</v>
      </c>
      <c r="H430">
        <v>89.990000000000009</v>
      </c>
      <c r="I430">
        <v>129.99</v>
      </c>
      <c r="J430">
        <v>8</v>
      </c>
      <c r="L430">
        <v>0</v>
      </c>
    </row>
    <row r="431" spans="1:12" x14ac:dyDescent="0.2">
      <c r="A431" t="s">
        <v>5098</v>
      </c>
      <c r="B431" t="s">
        <v>1157</v>
      </c>
      <c r="C431" t="s">
        <v>3820</v>
      </c>
      <c r="D431" t="s">
        <v>5117</v>
      </c>
      <c r="F431" t="s">
        <v>5118</v>
      </c>
      <c r="G431">
        <v>69.990000000000009</v>
      </c>
      <c r="H431">
        <v>94.99</v>
      </c>
      <c r="I431">
        <v>119.99000000000001</v>
      </c>
      <c r="J431">
        <v>5</v>
      </c>
      <c r="L431">
        <v>0</v>
      </c>
    </row>
    <row r="432" spans="1:12" x14ac:dyDescent="0.2">
      <c r="A432" t="s">
        <v>5098</v>
      </c>
      <c r="B432" t="s">
        <v>1157</v>
      </c>
      <c r="C432" t="s">
        <v>3821</v>
      </c>
      <c r="D432" t="s">
        <v>5119</v>
      </c>
      <c r="F432" t="s">
        <v>3822</v>
      </c>
      <c r="G432">
        <v>62.99</v>
      </c>
      <c r="H432">
        <v>89.990000000000009</v>
      </c>
      <c r="I432">
        <v>99.990000000000009</v>
      </c>
      <c r="J432">
        <v>5</v>
      </c>
      <c r="L432">
        <v>0</v>
      </c>
    </row>
    <row r="433" spans="1:12" x14ac:dyDescent="0.2">
      <c r="A433" t="s">
        <v>5098</v>
      </c>
      <c r="B433" t="s">
        <v>5120</v>
      </c>
      <c r="C433" t="s">
        <v>1205</v>
      </c>
      <c r="D433" t="s">
        <v>5121</v>
      </c>
      <c r="F433" t="s">
        <v>1274</v>
      </c>
      <c r="G433">
        <v>10.99</v>
      </c>
      <c r="H433" t="s">
        <v>529</v>
      </c>
      <c r="I433">
        <v>19.989999999999998</v>
      </c>
      <c r="J433">
        <v>15</v>
      </c>
      <c r="L433">
        <v>0</v>
      </c>
    </row>
    <row r="434" spans="1:12" x14ac:dyDescent="0.2">
      <c r="A434" t="s">
        <v>5098</v>
      </c>
      <c r="B434" t="s">
        <v>5120</v>
      </c>
      <c r="C434" t="s">
        <v>2074</v>
      </c>
      <c r="D434" t="s">
        <v>5122</v>
      </c>
      <c r="F434" t="s">
        <v>5123</v>
      </c>
      <c r="G434">
        <v>13.99</v>
      </c>
      <c r="H434" t="s">
        <v>529</v>
      </c>
      <c r="I434">
        <v>24.990000000000002</v>
      </c>
      <c r="J434">
        <v>15</v>
      </c>
      <c r="L434">
        <v>0</v>
      </c>
    </row>
    <row r="435" spans="1:12" x14ac:dyDescent="0.2">
      <c r="A435" t="s">
        <v>5098</v>
      </c>
      <c r="B435" t="s">
        <v>5120</v>
      </c>
      <c r="C435" t="s">
        <v>2075</v>
      </c>
      <c r="D435" t="s">
        <v>5124</v>
      </c>
      <c r="F435" t="s">
        <v>5125</v>
      </c>
      <c r="G435">
        <v>13.99</v>
      </c>
      <c r="H435" t="s">
        <v>529</v>
      </c>
      <c r="I435">
        <v>24.990000000000002</v>
      </c>
      <c r="J435">
        <v>15</v>
      </c>
      <c r="L435">
        <v>0</v>
      </c>
    </row>
    <row r="436" spans="1:12" x14ac:dyDescent="0.2">
      <c r="A436" t="s">
        <v>5098</v>
      </c>
      <c r="B436" t="s">
        <v>5120</v>
      </c>
      <c r="C436" t="s">
        <v>5126</v>
      </c>
      <c r="D436" t="s">
        <v>5127</v>
      </c>
      <c r="F436" t="s">
        <v>5128</v>
      </c>
      <c r="G436">
        <v>11.99</v>
      </c>
      <c r="H436" t="s">
        <v>529</v>
      </c>
      <c r="I436">
        <v>19.989999999999998</v>
      </c>
      <c r="J436">
        <v>5</v>
      </c>
      <c r="L436">
        <v>0</v>
      </c>
    </row>
    <row r="437" spans="1:12" x14ac:dyDescent="0.2">
      <c r="A437" t="s">
        <v>5098</v>
      </c>
      <c r="B437" t="s">
        <v>5120</v>
      </c>
      <c r="C437" t="s">
        <v>1937</v>
      </c>
      <c r="D437" t="s">
        <v>5129</v>
      </c>
      <c r="F437" t="s">
        <v>5130</v>
      </c>
      <c r="G437">
        <v>13.99</v>
      </c>
      <c r="H437" t="s">
        <v>529</v>
      </c>
      <c r="I437">
        <v>24.990000000000002</v>
      </c>
      <c r="J437">
        <v>5</v>
      </c>
      <c r="L437">
        <v>0</v>
      </c>
    </row>
    <row r="438" spans="1:12" x14ac:dyDescent="0.2">
      <c r="A438" t="s">
        <v>5098</v>
      </c>
      <c r="B438" t="s">
        <v>5120</v>
      </c>
      <c r="C438" t="s">
        <v>1938</v>
      </c>
      <c r="D438" t="s">
        <v>5131</v>
      </c>
      <c r="F438" t="s">
        <v>5132</v>
      </c>
      <c r="G438">
        <v>13.99</v>
      </c>
      <c r="H438" t="s">
        <v>529</v>
      </c>
      <c r="I438">
        <v>24.990000000000002</v>
      </c>
      <c r="J438">
        <v>5</v>
      </c>
      <c r="L438">
        <v>0</v>
      </c>
    </row>
    <row r="439" spans="1:12" x14ac:dyDescent="0.2">
      <c r="A439" t="s">
        <v>5098</v>
      </c>
      <c r="B439" t="s">
        <v>5120</v>
      </c>
      <c r="C439" t="s">
        <v>1934</v>
      </c>
      <c r="D439" t="s">
        <v>5133</v>
      </c>
      <c r="F439" t="s">
        <v>5134</v>
      </c>
      <c r="G439">
        <v>11.99</v>
      </c>
      <c r="H439" t="s">
        <v>529</v>
      </c>
      <c r="I439">
        <v>19.989999999999998</v>
      </c>
      <c r="J439">
        <v>5</v>
      </c>
      <c r="L439">
        <v>0</v>
      </c>
    </row>
    <row r="440" spans="1:12" x14ac:dyDescent="0.2">
      <c r="A440" t="s">
        <v>5098</v>
      </c>
      <c r="B440" t="s">
        <v>5120</v>
      </c>
      <c r="C440" t="s">
        <v>1939</v>
      </c>
      <c r="D440" t="s">
        <v>5135</v>
      </c>
      <c r="F440" t="s">
        <v>5136</v>
      </c>
      <c r="G440">
        <v>16.989999999999998</v>
      </c>
      <c r="H440" t="s">
        <v>529</v>
      </c>
      <c r="I440">
        <v>29.990000000000002</v>
      </c>
      <c r="J440">
        <v>5</v>
      </c>
      <c r="L440">
        <v>0</v>
      </c>
    </row>
    <row r="441" spans="1:12" x14ac:dyDescent="0.2">
      <c r="A441" t="s">
        <v>5098</v>
      </c>
      <c r="B441" t="s">
        <v>5120</v>
      </c>
      <c r="C441" t="s">
        <v>1940</v>
      </c>
      <c r="D441" t="s">
        <v>5137</v>
      </c>
      <c r="F441" t="s">
        <v>5138</v>
      </c>
      <c r="G441">
        <v>14.99</v>
      </c>
      <c r="H441" t="s">
        <v>529</v>
      </c>
      <c r="I441">
        <v>24.990000000000002</v>
      </c>
      <c r="J441">
        <v>5</v>
      </c>
      <c r="L441">
        <v>0</v>
      </c>
    </row>
    <row r="442" spans="1:12" x14ac:dyDescent="0.2">
      <c r="A442" t="s">
        <v>5098</v>
      </c>
      <c r="B442" t="s">
        <v>5120</v>
      </c>
      <c r="C442" t="s">
        <v>1941</v>
      </c>
      <c r="D442" t="s">
        <v>5139</v>
      </c>
      <c r="F442" t="s">
        <v>5140</v>
      </c>
      <c r="G442">
        <v>11.99</v>
      </c>
      <c r="H442" t="s">
        <v>529</v>
      </c>
      <c r="I442">
        <v>19.989999999999998</v>
      </c>
      <c r="J442">
        <v>5</v>
      </c>
      <c r="L442">
        <v>0</v>
      </c>
    </row>
    <row r="443" spans="1:12" x14ac:dyDescent="0.2">
      <c r="A443" t="s">
        <v>5098</v>
      </c>
      <c r="B443" t="s">
        <v>5120</v>
      </c>
      <c r="C443" t="s">
        <v>1935</v>
      </c>
      <c r="D443" t="s">
        <v>5141</v>
      </c>
      <c r="F443" t="s">
        <v>5142</v>
      </c>
      <c r="G443">
        <v>11.99</v>
      </c>
      <c r="H443" t="s">
        <v>529</v>
      </c>
      <c r="I443">
        <v>19.989999999999998</v>
      </c>
      <c r="J443">
        <v>5</v>
      </c>
      <c r="L443">
        <v>0</v>
      </c>
    </row>
    <row r="444" spans="1:12" x14ac:dyDescent="0.2">
      <c r="A444" t="s">
        <v>5098</v>
      </c>
      <c r="B444" t="s">
        <v>5120</v>
      </c>
      <c r="C444" t="s">
        <v>2461</v>
      </c>
      <c r="D444" t="s">
        <v>5143</v>
      </c>
      <c r="F444" t="s">
        <v>5144</v>
      </c>
      <c r="G444">
        <v>18.989999999999998</v>
      </c>
      <c r="H444" t="s">
        <v>529</v>
      </c>
      <c r="I444">
        <v>34.99</v>
      </c>
      <c r="J444">
        <v>5</v>
      </c>
      <c r="L444">
        <v>0</v>
      </c>
    </row>
    <row r="445" spans="1:12" x14ac:dyDescent="0.2">
      <c r="A445" t="s">
        <v>5098</v>
      </c>
      <c r="B445" t="s">
        <v>5120</v>
      </c>
      <c r="C445" t="s">
        <v>1207</v>
      </c>
      <c r="D445" t="s">
        <v>5121</v>
      </c>
      <c r="F445" t="s">
        <v>1276</v>
      </c>
      <c r="G445">
        <v>10.99</v>
      </c>
      <c r="H445" t="s">
        <v>529</v>
      </c>
      <c r="I445">
        <v>19.989999999999998</v>
      </c>
      <c r="J445">
        <v>15</v>
      </c>
      <c r="L445">
        <v>0</v>
      </c>
    </row>
    <row r="446" spans="1:12" x14ac:dyDescent="0.2">
      <c r="A446" t="s">
        <v>5098</v>
      </c>
      <c r="B446" t="s">
        <v>5120</v>
      </c>
      <c r="C446" t="s">
        <v>1489</v>
      </c>
      <c r="D446" t="s">
        <v>5145</v>
      </c>
      <c r="F446" t="s">
        <v>5146</v>
      </c>
      <c r="G446">
        <v>10.99</v>
      </c>
      <c r="H446" t="s">
        <v>529</v>
      </c>
      <c r="I446">
        <v>19.989999999999998</v>
      </c>
      <c r="J446">
        <v>15</v>
      </c>
      <c r="L446">
        <v>0</v>
      </c>
    </row>
    <row r="447" spans="1:12" x14ac:dyDescent="0.2">
      <c r="A447" t="s">
        <v>5098</v>
      </c>
      <c r="B447" t="s">
        <v>5120</v>
      </c>
      <c r="C447" t="s">
        <v>1490</v>
      </c>
      <c r="D447" t="s">
        <v>5147</v>
      </c>
      <c r="F447" t="s">
        <v>5148</v>
      </c>
      <c r="G447">
        <v>10.99</v>
      </c>
      <c r="H447" t="s">
        <v>529</v>
      </c>
      <c r="I447">
        <v>19.989999999999998</v>
      </c>
      <c r="J447">
        <v>15</v>
      </c>
      <c r="L447">
        <v>0</v>
      </c>
    </row>
    <row r="448" spans="1:12" x14ac:dyDescent="0.2">
      <c r="A448" t="s">
        <v>5098</v>
      </c>
      <c r="B448" t="s">
        <v>5120</v>
      </c>
      <c r="C448" t="s">
        <v>1491</v>
      </c>
      <c r="D448" t="s">
        <v>5149</v>
      </c>
      <c r="F448" t="s">
        <v>5150</v>
      </c>
      <c r="G448">
        <v>10.99</v>
      </c>
      <c r="H448" t="s">
        <v>529</v>
      </c>
      <c r="I448">
        <v>19.989999999999998</v>
      </c>
      <c r="J448">
        <v>15</v>
      </c>
      <c r="L448">
        <v>0</v>
      </c>
    </row>
    <row r="449" spans="1:12" x14ac:dyDescent="0.2">
      <c r="A449" t="s">
        <v>5098</v>
      </c>
      <c r="B449" t="s">
        <v>5120</v>
      </c>
      <c r="C449" t="s">
        <v>1492</v>
      </c>
      <c r="D449" t="s">
        <v>5151</v>
      </c>
      <c r="F449" t="s">
        <v>5152</v>
      </c>
      <c r="G449">
        <v>10.99</v>
      </c>
      <c r="H449" t="s">
        <v>529</v>
      </c>
      <c r="I449">
        <v>19.989999999999998</v>
      </c>
      <c r="J449">
        <v>15</v>
      </c>
      <c r="L449">
        <v>0</v>
      </c>
    </row>
    <row r="450" spans="1:12" x14ac:dyDescent="0.2">
      <c r="A450" t="s">
        <v>5098</v>
      </c>
      <c r="B450" t="s">
        <v>5120</v>
      </c>
      <c r="C450" t="s">
        <v>1208</v>
      </c>
      <c r="D450" t="s">
        <v>5153</v>
      </c>
      <c r="F450" t="s">
        <v>1277</v>
      </c>
      <c r="G450">
        <v>10.99</v>
      </c>
      <c r="H450" t="s">
        <v>529</v>
      </c>
      <c r="I450">
        <v>19.989999999999998</v>
      </c>
      <c r="J450">
        <v>15</v>
      </c>
      <c r="L450">
        <v>0</v>
      </c>
    </row>
    <row r="451" spans="1:12" x14ac:dyDescent="0.2">
      <c r="A451" t="s">
        <v>5098</v>
      </c>
      <c r="B451" t="s">
        <v>5120</v>
      </c>
      <c r="C451" t="s">
        <v>4266</v>
      </c>
      <c r="D451" t="s">
        <v>5154</v>
      </c>
      <c r="F451" t="s">
        <v>529</v>
      </c>
      <c r="G451">
        <v>10.99</v>
      </c>
      <c r="H451" t="s">
        <v>529</v>
      </c>
      <c r="I451">
        <v>19.989999999999998</v>
      </c>
      <c r="J451">
        <v>15</v>
      </c>
      <c r="L451">
        <v>0</v>
      </c>
    </row>
    <row r="452" spans="1:12" x14ac:dyDescent="0.2">
      <c r="A452" t="s">
        <v>5098</v>
      </c>
      <c r="B452" t="s">
        <v>5120</v>
      </c>
      <c r="C452" t="s">
        <v>1212</v>
      </c>
      <c r="D452" t="s">
        <v>5155</v>
      </c>
      <c r="F452" t="s">
        <v>1281</v>
      </c>
      <c r="G452">
        <v>16.989999999999998</v>
      </c>
      <c r="H452" t="s">
        <v>529</v>
      </c>
      <c r="I452">
        <v>29.990000000000002</v>
      </c>
      <c r="J452">
        <v>15</v>
      </c>
      <c r="L452">
        <v>0</v>
      </c>
    </row>
    <row r="453" spans="1:12" x14ac:dyDescent="0.2">
      <c r="A453" t="s">
        <v>5098</v>
      </c>
      <c r="B453" t="s">
        <v>5120</v>
      </c>
      <c r="C453" t="s">
        <v>1211</v>
      </c>
      <c r="D453" t="s">
        <v>5156</v>
      </c>
      <c r="F453" t="s">
        <v>1280</v>
      </c>
      <c r="G453">
        <v>14.99</v>
      </c>
      <c r="H453" t="s">
        <v>529</v>
      </c>
      <c r="I453">
        <v>24.990000000000002</v>
      </c>
      <c r="J453">
        <v>15</v>
      </c>
      <c r="L453">
        <v>0</v>
      </c>
    </row>
    <row r="454" spans="1:12" x14ac:dyDescent="0.2">
      <c r="A454" t="s">
        <v>5098</v>
      </c>
      <c r="B454" t="s">
        <v>5120</v>
      </c>
      <c r="C454" t="s">
        <v>2462</v>
      </c>
      <c r="D454" t="s">
        <v>5157</v>
      </c>
      <c r="F454" t="s">
        <v>5158</v>
      </c>
      <c r="G454">
        <v>26.990000000000002</v>
      </c>
      <c r="H454" t="s">
        <v>529</v>
      </c>
      <c r="I454">
        <v>49.99</v>
      </c>
      <c r="J454">
        <v>5</v>
      </c>
      <c r="L454">
        <v>0</v>
      </c>
    </row>
    <row r="455" spans="1:12" x14ac:dyDescent="0.2">
      <c r="A455" t="s">
        <v>5098</v>
      </c>
      <c r="B455" t="s">
        <v>5159</v>
      </c>
      <c r="C455" t="s">
        <v>1222</v>
      </c>
      <c r="D455" t="s">
        <v>5160</v>
      </c>
      <c r="F455" t="s">
        <v>5161</v>
      </c>
      <c r="G455">
        <v>13.99</v>
      </c>
      <c r="H455" t="s">
        <v>529</v>
      </c>
      <c r="I455">
        <v>24.990000000000002</v>
      </c>
      <c r="J455">
        <v>5</v>
      </c>
      <c r="L455">
        <v>0</v>
      </c>
    </row>
    <row r="456" spans="1:12" x14ac:dyDescent="0.2">
      <c r="A456" t="s">
        <v>5098</v>
      </c>
      <c r="B456" t="s">
        <v>5159</v>
      </c>
      <c r="C456" t="s">
        <v>1673</v>
      </c>
      <c r="D456" t="s">
        <v>5162</v>
      </c>
      <c r="F456" t="s">
        <v>5163</v>
      </c>
      <c r="G456">
        <v>13.99</v>
      </c>
      <c r="H456" t="s">
        <v>529</v>
      </c>
      <c r="I456">
        <v>24.990000000000002</v>
      </c>
      <c r="J456">
        <v>5</v>
      </c>
      <c r="L456">
        <v>0</v>
      </c>
    </row>
    <row r="457" spans="1:12" x14ac:dyDescent="0.2">
      <c r="A457" t="s">
        <v>5098</v>
      </c>
      <c r="B457" t="s">
        <v>5159</v>
      </c>
      <c r="C457" t="s">
        <v>1674</v>
      </c>
      <c r="D457" t="s">
        <v>1687</v>
      </c>
      <c r="F457" t="s">
        <v>3456</v>
      </c>
      <c r="G457">
        <v>16.989999999999998</v>
      </c>
      <c r="H457" t="s">
        <v>529</v>
      </c>
      <c r="I457">
        <v>29.990000000000002</v>
      </c>
      <c r="J457">
        <v>10</v>
      </c>
      <c r="L457">
        <v>0</v>
      </c>
    </row>
    <row r="458" spans="1:12" x14ac:dyDescent="0.2">
      <c r="A458" t="s">
        <v>5098</v>
      </c>
      <c r="B458" t="s">
        <v>5164</v>
      </c>
      <c r="C458" t="s">
        <v>3991</v>
      </c>
      <c r="D458" t="s">
        <v>5165</v>
      </c>
      <c r="F458" t="s">
        <v>3953</v>
      </c>
      <c r="G458">
        <v>17.989999999999998</v>
      </c>
      <c r="H458" t="s">
        <v>529</v>
      </c>
      <c r="I458">
        <v>29.990000000000002</v>
      </c>
      <c r="J458">
        <v>5</v>
      </c>
      <c r="L458">
        <v>0</v>
      </c>
    </row>
    <row r="459" spans="1:12" x14ac:dyDescent="0.2">
      <c r="A459" t="s">
        <v>5098</v>
      </c>
      <c r="B459" t="s">
        <v>5164</v>
      </c>
      <c r="C459" t="s">
        <v>3992</v>
      </c>
      <c r="D459" t="s">
        <v>5166</v>
      </c>
      <c r="F459" t="s">
        <v>3954</v>
      </c>
      <c r="G459">
        <v>17.989999999999998</v>
      </c>
      <c r="H459" t="s">
        <v>529</v>
      </c>
      <c r="I459">
        <v>29.990000000000002</v>
      </c>
      <c r="J459">
        <v>5</v>
      </c>
      <c r="L459">
        <v>0</v>
      </c>
    </row>
    <row r="460" spans="1:12" x14ac:dyDescent="0.2">
      <c r="A460" t="s">
        <v>5098</v>
      </c>
      <c r="B460" t="s">
        <v>5164</v>
      </c>
      <c r="C460" t="s">
        <v>3993</v>
      </c>
      <c r="D460" t="s">
        <v>5167</v>
      </c>
      <c r="F460" t="s">
        <v>3955</v>
      </c>
      <c r="G460">
        <v>17.989999999999998</v>
      </c>
      <c r="H460" t="s">
        <v>529</v>
      </c>
      <c r="I460">
        <v>29.990000000000002</v>
      </c>
      <c r="J460">
        <v>5</v>
      </c>
      <c r="L460">
        <v>0</v>
      </c>
    </row>
    <row r="461" spans="1:12" x14ac:dyDescent="0.2">
      <c r="A461" t="s">
        <v>5098</v>
      </c>
      <c r="B461" t="s">
        <v>5164</v>
      </c>
      <c r="C461" t="s">
        <v>3994</v>
      </c>
      <c r="D461" t="s">
        <v>5168</v>
      </c>
      <c r="F461" t="s">
        <v>3956</v>
      </c>
      <c r="G461">
        <v>17.989999999999998</v>
      </c>
      <c r="H461" t="s">
        <v>529</v>
      </c>
      <c r="I461">
        <v>29.990000000000002</v>
      </c>
      <c r="J461">
        <v>5</v>
      </c>
      <c r="L461">
        <v>0</v>
      </c>
    </row>
    <row r="462" spans="1:12" x14ac:dyDescent="0.2">
      <c r="A462" t="s">
        <v>5098</v>
      </c>
      <c r="B462" t="s">
        <v>5164</v>
      </c>
      <c r="C462" t="s">
        <v>3995</v>
      </c>
      <c r="D462" t="s">
        <v>5169</v>
      </c>
      <c r="F462" t="s">
        <v>3957</v>
      </c>
      <c r="G462">
        <v>17.989999999999998</v>
      </c>
      <c r="H462" t="s">
        <v>529</v>
      </c>
      <c r="I462">
        <v>29.990000000000002</v>
      </c>
      <c r="J462">
        <v>5</v>
      </c>
      <c r="L462">
        <v>0</v>
      </c>
    </row>
    <row r="463" spans="1:12" x14ac:dyDescent="0.2">
      <c r="A463" t="s">
        <v>5098</v>
      </c>
      <c r="B463" t="s">
        <v>5164</v>
      </c>
      <c r="C463" t="s">
        <v>3996</v>
      </c>
      <c r="D463" t="s">
        <v>5170</v>
      </c>
      <c r="F463" t="s">
        <v>5171</v>
      </c>
      <c r="G463">
        <v>17.989999999999998</v>
      </c>
      <c r="H463" t="s">
        <v>529</v>
      </c>
      <c r="I463">
        <v>29.990000000000002</v>
      </c>
      <c r="J463">
        <v>5</v>
      </c>
      <c r="L463">
        <v>0</v>
      </c>
    </row>
    <row r="464" spans="1:12" x14ac:dyDescent="0.2">
      <c r="A464" t="s">
        <v>5098</v>
      </c>
      <c r="B464" t="s">
        <v>5164</v>
      </c>
      <c r="C464" t="s">
        <v>4211</v>
      </c>
      <c r="D464" t="s">
        <v>5172</v>
      </c>
      <c r="F464" t="s">
        <v>5173</v>
      </c>
      <c r="G464">
        <v>17.989999999999998</v>
      </c>
      <c r="H464" t="s">
        <v>529</v>
      </c>
      <c r="I464">
        <v>29.990000000000002</v>
      </c>
      <c r="J464">
        <v>5</v>
      </c>
      <c r="L464">
        <v>0</v>
      </c>
    </row>
    <row r="465" spans="1:12" x14ac:dyDescent="0.2">
      <c r="A465" t="s">
        <v>5098</v>
      </c>
      <c r="B465" t="s">
        <v>5164</v>
      </c>
      <c r="C465" t="s">
        <v>4212</v>
      </c>
      <c r="D465" t="s">
        <v>5174</v>
      </c>
      <c r="F465" t="s">
        <v>5175</v>
      </c>
      <c r="G465">
        <v>17.989999999999998</v>
      </c>
      <c r="H465" t="s">
        <v>529</v>
      </c>
      <c r="I465">
        <v>29.990000000000002</v>
      </c>
      <c r="J465">
        <v>5</v>
      </c>
      <c r="L465">
        <v>0</v>
      </c>
    </row>
    <row r="466" spans="1:12" x14ac:dyDescent="0.2">
      <c r="A466" t="s">
        <v>5098</v>
      </c>
      <c r="B466" t="s">
        <v>5164</v>
      </c>
      <c r="C466" t="s">
        <v>4213</v>
      </c>
      <c r="D466" t="s">
        <v>5176</v>
      </c>
      <c r="F466" t="s">
        <v>5177</v>
      </c>
      <c r="G466">
        <v>17.989999999999998</v>
      </c>
      <c r="H466" t="s">
        <v>529</v>
      </c>
      <c r="I466">
        <v>29.990000000000002</v>
      </c>
      <c r="J466">
        <v>5</v>
      </c>
      <c r="L466">
        <v>0</v>
      </c>
    </row>
    <row r="467" spans="1:12" x14ac:dyDescent="0.2">
      <c r="A467" t="s">
        <v>5098</v>
      </c>
      <c r="B467" t="s">
        <v>5164</v>
      </c>
      <c r="C467" t="s">
        <v>4214</v>
      </c>
      <c r="D467" t="s">
        <v>5178</v>
      </c>
      <c r="F467" t="s">
        <v>5179</v>
      </c>
      <c r="G467">
        <v>17.989999999999998</v>
      </c>
      <c r="H467" t="s">
        <v>529</v>
      </c>
      <c r="I467">
        <v>29.990000000000002</v>
      </c>
      <c r="J467">
        <v>5</v>
      </c>
      <c r="L467">
        <v>0</v>
      </c>
    </row>
    <row r="468" spans="1:12" x14ac:dyDescent="0.2">
      <c r="A468" t="s">
        <v>5098</v>
      </c>
      <c r="B468" t="s">
        <v>5164</v>
      </c>
      <c r="C468" t="s">
        <v>4215</v>
      </c>
      <c r="D468" t="s">
        <v>5180</v>
      </c>
      <c r="F468" t="s">
        <v>5181</v>
      </c>
      <c r="G468">
        <v>17.989999999999998</v>
      </c>
      <c r="H468" t="s">
        <v>529</v>
      </c>
      <c r="I468">
        <v>29.990000000000002</v>
      </c>
      <c r="J468">
        <v>5</v>
      </c>
      <c r="L468">
        <v>0</v>
      </c>
    </row>
    <row r="469" spans="1:12" x14ac:dyDescent="0.2">
      <c r="A469" t="s">
        <v>5098</v>
      </c>
      <c r="B469" t="s">
        <v>5164</v>
      </c>
      <c r="C469" t="s">
        <v>3997</v>
      </c>
      <c r="D469" t="s">
        <v>5182</v>
      </c>
      <c r="F469" t="s">
        <v>3959</v>
      </c>
      <c r="G469">
        <v>28.990000000000002</v>
      </c>
      <c r="H469" t="s">
        <v>529</v>
      </c>
      <c r="I469">
        <v>49.99</v>
      </c>
      <c r="J469">
        <v>5</v>
      </c>
      <c r="L469">
        <v>0</v>
      </c>
    </row>
    <row r="470" spans="1:12" x14ac:dyDescent="0.2">
      <c r="A470" t="s">
        <v>5098</v>
      </c>
      <c r="B470" t="s">
        <v>5164</v>
      </c>
      <c r="C470" t="s">
        <v>3998</v>
      </c>
      <c r="D470" t="s">
        <v>5183</v>
      </c>
      <c r="F470" t="s">
        <v>3960</v>
      </c>
      <c r="G470">
        <v>28.990000000000002</v>
      </c>
      <c r="H470" t="s">
        <v>529</v>
      </c>
      <c r="I470">
        <v>49.99</v>
      </c>
      <c r="J470">
        <v>5</v>
      </c>
      <c r="L470">
        <v>0</v>
      </c>
    </row>
    <row r="471" spans="1:12" x14ac:dyDescent="0.2">
      <c r="A471" t="s">
        <v>5098</v>
      </c>
      <c r="B471" t="s">
        <v>5164</v>
      </c>
      <c r="C471" t="s">
        <v>3999</v>
      </c>
      <c r="D471" t="s">
        <v>5184</v>
      </c>
      <c r="F471" t="s">
        <v>3961</v>
      </c>
      <c r="G471">
        <v>28.990000000000002</v>
      </c>
      <c r="H471" t="s">
        <v>529</v>
      </c>
      <c r="I471">
        <v>49.99</v>
      </c>
      <c r="J471">
        <v>5</v>
      </c>
      <c r="L471">
        <v>0</v>
      </c>
    </row>
    <row r="472" spans="1:12" x14ac:dyDescent="0.2">
      <c r="A472" t="s">
        <v>5098</v>
      </c>
      <c r="B472" t="s">
        <v>5164</v>
      </c>
      <c r="C472" t="s">
        <v>4000</v>
      </c>
      <c r="D472" t="s">
        <v>5185</v>
      </c>
      <c r="F472" t="s">
        <v>3962</v>
      </c>
      <c r="G472">
        <v>28.990000000000002</v>
      </c>
      <c r="H472" t="s">
        <v>529</v>
      </c>
      <c r="I472">
        <v>49.99</v>
      </c>
      <c r="J472">
        <v>5</v>
      </c>
      <c r="L472">
        <v>0</v>
      </c>
    </row>
    <row r="473" spans="1:12" x14ac:dyDescent="0.2">
      <c r="A473" t="s">
        <v>5098</v>
      </c>
      <c r="B473" t="s">
        <v>5164</v>
      </c>
      <c r="C473" t="s">
        <v>4001</v>
      </c>
      <c r="D473" t="s">
        <v>5186</v>
      </c>
      <c r="F473" t="s">
        <v>3963</v>
      </c>
      <c r="G473">
        <v>28.990000000000002</v>
      </c>
      <c r="H473" t="s">
        <v>529</v>
      </c>
      <c r="I473">
        <v>49.99</v>
      </c>
      <c r="J473">
        <v>5</v>
      </c>
      <c r="L473">
        <v>0</v>
      </c>
    </row>
    <row r="474" spans="1:12" x14ac:dyDescent="0.2">
      <c r="A474" t="s">
        <v>5098</v>
      </c>
      <c r="B474" t="s">
        <v>5164</v>
      </c>
      <c r="C474" t="s">
        <v>4267</v>
      </c>
      <c r="D474" t="s">
        <v>5187</v>
      </c>
      <c r="F474" t="s">
        <v>529</v>
      </c>
      <c r="G474">
        <v>28.990000000000002</v>
      </c>
      <c r="H474" t="s">
        <v>529</v>
      </c>
      <c r="I474">
        <v>49.99</v>
      </c>
      <c r="J474">
        <v>5</v>
      </c>
      <c r="L474">
        <v>0</v>
      </c>
    </row>
    <row r="475" spans="1:12" x14ac:dyDescent="0.2">
      <c r="A475" t="s">
        <v>5098</v>
      </c>
      <c r="B475" t="s">
        <v>5164</v>
      </c>
      <c r="C475" t="s">
        <v>4207</v>
      </c>
      <c r="D475" t="s">
        <v>5188</v>
      </c>
      <c r="F475" t="s">
        <v>5189</v>
      </c>
      <c r="G475">
        <v>28.990000000000002</v>
      </c>
      <c r="H475" t="s">
        <v>529</v>
      </c>
      <c r="I475">
        <v>49.99</v>
      </c>
      <c r="J475">
        <v>5</v>
      </c>
      <c r="L475">
        <v>0</v>
      </c>
    </row>
    <row r="476" spans="1:12" x14ac:dyDescent="0.2">
      <c r="A476" t="s">
        <v>5098</v>
      </c>
      <c r="B476" t="s">
        <v>5164</v>
      </c>
      <c r="C476" t="s">
        <v>4208</v>
      </c>
      <c r="D476" t="s">
        <v>5190</v>
      </c>
      <c r="F476" t="s">
        <v>5191</v>
      </c>
      <c r="G476">
        <v>28.990000000000002</v>
      </c>
      <c r="H476" t="s">
        <v>529</v>
      </c>
      <c r="I476">
        <v>49.99</v>
      </c>
      <c r="J476">
        <v>5</v>
      </c>
      <c r="L476">
        <v>0</v>
      </c>
    </row>
    <row r="477" spans="1:12" x14ac:dyDescent="0.2">
      <c r="A477" t="s">
        <v>5098</v>
      </c>
      <c r="B477" t="s">
        <v>5164</v>
      </c>
      <c r="C477" t="s">
        <v>4209</v>
      </c>
      <c r="D477" t="s">
        <v>5192</v>
      </c>
      <c r="F477" t="s">
        <v>5193</v>
      </c>
      <c r="G477">
        <v>28.990000000000002</v>
      </c>
      <c r="H477" t="s">
        <v>529</v>
      </c>
      <c r="I477">
        <v>49.99</v>
      </c>
      <c r="J477">
        <v>5</v>
      </c>
      <c r="L477">
        <v>0</v>
      </c>
    </row>
    <row r="478" spans="1:12" x14ac:dyDescent="0.2">
      <c r="A478" t="s">
        <v>5098</v>
      </c>
      <c r="B478" t="s">
        <v>5164</v>
      </c>
      <c r="C478" t="s">
        <v>4216</v>
      </c>
      <c r="D478" t="s">
        <v>5194</v>
      </c>
      <c r="F478" t="s">
        <v>5195</v>
      </c>
      <c r="G478">
        <v>28.990000000000002</v>
      </c>
      <c r="H478" t="s">
        <v>529</v>
      </c>
      <c r="I478">
        <v>49.99</v>
      </c>
      <c r="J478">
        <v>5</v>
      </c>
      <c r="L478">
        <v>0</v>
      </c>
    </row>
    <row r="479" spans="1:12" x14ac:dyDescent="0.2">
      <c r="A479" t="s">
        <v>5098</v>
      </c>
      <c r="B479" t="s">
        <v>5164</v>
      </c>
      <c r="C479" t="s">
        <v>4210</v>
      </c>
      <c r="D479" t="s">
        <v>5196</v>
      </c>
      <c r="F479" t="s">
        <v>5197</v>
      </c>
      <c r="G479">
        <v>28.990000000000002</v>
      </c>
      <c r="H479" t="s">
        <v>529</v>
      </c>
      <c r="I479">
        <v>49.99</v>
      </c>
      <c r="J479">
        <v>5</v>
      </c>
      <c r="L479">
        <v>0</v>
      </c>
    </row>
    <row r="480" spans="1:12" x14ac:dyDescent="0.2">
      <c r="A480" t="s">
        <v>5098</v>
      </c>
      <c r="B480" t="s">
        <v>5164</v>
      </c>
      <c r="C480" t="s">
        <v>4274</v>
      </c>
      <c r="D480" t="s">
        <v>5198</v>
      </c>
      <c r="F480" t="s">
        <v>5199</v>
      </c>
      <c r="G480">
        <v>13.99</v>
      </c>
      <c r="H480" t="s">
        <v>529</v>
      </c>
      <c r="I480">
        <v>24.990000000000002</v>
      </c>
      <c r="J480">
        <v>5</v>
      </c>
      <c r="L480">
        <v>0</v>
      </c>
    </row>
    <row r="481" spans="1:12" x14ac:dyDescent="0.2">
      <c r="A481" t="s">
        <v>5098</v>
      </c>
      <c r="B481" t="s">
        <v>5164</v>
      </c>
      <c r="C481" t="s">
        <v>4161</v>
      </c>
      <c r="D481" t="s">
        <v>5200</v>
      </c>
      <c r="F481" t="s">
        <v>4167</v>
      </c>
      <c r="G481">
        <v>35.99</v>
      </c>
      <c r="H481" t="s">
        <v>529</v>
      </c>
      <c r="I481">
        <v>59.99</v>
      </c>
      <c r="J481">
        <v>5</v>
      </c>
      <c r="L481">
        <v>0</v>
      </c>
    </row>
    <row r="482" spans="1:12" x14ac:dyDescent="0.2">
      <c r="A482" t="s">
        <v>5098</v>
      </c>
      <c r="B482" t="s">
        <v>5164</v>
      </c>
      <c r="C482" t="s">
        <v>4205</v>
      </c>
      <c r="D482" t="s">
        <v>5201</v>
      </c>
      <c r="F482" t="s">
        <v>4219</v>
      </c>
      <c r="G482">
        <v>23.990000000000002</v>
      </c>
      <c r="H482" t="s">
        <v>529</v>
      </c>
      <c r="I482">
        <v>39.99</v>
      </c>
      <c r="J482">
        <v>5</v>
      </c>
      <c r="L482">
        <v>0</v>
      </c>
    </row>
    <row r="483" spans="1:12" x14ac:dyDescent="0.2">
      <c r="A483" t="s">
        <v>5098</v>
      </c>
      <c r="B483" t="s">
        <v>5164</v>
      </c>
      <c r="C483" t="s">
        <v>4160</v>
      </c>
      <c r="D483" t="s">
        <v>5202</v>
      </c>
      <c r="F483" t="s">
        <v>4166</v>
      </c>
      <c r="G483">
        <v>23.990000000000002</v>
      </c>
      <c r="H483" t="s">
        <v>529</v>
      </c>
      <c r="I483">
        <v>39.99</v>
      </c>
      <c r="J483">
        <v>5</v>
      </c>
      <c r="L483">
        <v>0</v>
      </c>
    </row>
    <row r="484" spans="1:12" x14ac:dyDescent="0.2">
      <c r="A484" t="s">
        <v>5098</v>
      </c>
      <c r="B484" t="s">
        <v>5164</v>
      </c>
      <c r="C484" t="s">
        <v>4284</v>
      </c>
      <c r="D484" t="s">
        <v>5203</v>
      </c>
      <c r="F484" t="s">
        <v>5204</v>
      </c>
      <c r="G484">
        <v>10.99</v>
      </c>
      <c r="H484" t="s">
        <v>529</v>
      </c>
      <c r="I484">
        <v>19.989999999999998</v>
      </c>
      <c r="J484">
        <v>5</v>
      </c>
      <c r="L484">
        <v>0</v>
      </c>
    </row>
    <row r="485" spans="1:12" x14ac:dyDescent="0.2">
      <c r="A485" t="s">
        <v>5098</v>
      </c>
      <c r="B485" t="s">
        <v>5164</v>
      </c>
      <c r="C485" t="s">
        <v>1213</v>
      </c>
      <c r="D485" t="s">
        <v>5205</v>
      </c>
      <c r="F485" t="s">
        <v>1282</v>
      </c>
      <c r="G485">
        <v>9.99</v>
      </c>
      <c r="H485" t="s">
        <v>529</v>
      </c>
      <c r="I485">
        <v>19.989999999999998</v>
      </c>
      <c r="J485">
        <v>15</v>
      </c>
      <c r="L485">
        <v>0</v>
      </c>
    </row>
    <row r="486" spans="1:12" x14ac:dyDescent="0.2">
      <c r="A486" t="s">
        <v>5098</v>
      </c>
      <c r="B486" t="s">
        <v>5164</v>
      </c>
      <c r="C486" t="s">
        <v>1908</v>
      </c>
      <c r="D486" t="s">
        <v>5206</v>
      </c>
      <c r="F486" t="s">
        <v>1909</v>
      </c>
      <c r="G486">
        <v>12.99</v>
      </c>
      <c r="H486" t="s">
        <v>529</v>
      </c>
      <c r="I486">
        <v>22.99</v>
      </c>
      <c r="J486">
        <v>15</v>
      </c>
      <c r="L486">
        <v>0</v>
      </c>
    </row>
    <row r="487" spans="1:12" x14ac:dyDescent="0.2">
      <c r="A487" t="s">
        <v>5098</v>
      </c>
      <c r="B487" t="s">
        <v>5164</v>
      </c>
      <c r="C487" t="s">
        <v>2077</v>
      </c>
      <c r="D487" t="s">
        <v>5207</v>
      </c>
      <c r="F487" t="s">
        <v>2079</v>
      </c>
      <c r="G487">
        <v>13.99</v>
      </c>
      <c r="H487" t="s">
        <v>529</v>
      </c>
      <c r="I487">
        <v>24.990000000000002</v>
      </c>
      <c r="J487">
        <v>5</v>
      </c>
      <c r="L487">
        <v>0</v>
      </c>
    </row>
    <row r="488" spans="1:12" x14ac:dyDescent="0.2">
      <c r="A488" t="s">
        <v>5098</v>
      </c>
      <c r="B488" t="s">
        <v>5164</v>
      </c>
      <c r="C488" t="s">
        <v>2076</v>
      </c>
      <c r="D488" t="s">
        <v>5208</v>
      </c>
      <c r="F488" t="s">
        <v>2078</v>
      </c>
      <c r="G488">
        <v>13.99</v>
      </c>
      <c r="H488" t="s">
        <v>529</v>
      </c>
      <c r="I488">
        <v>24.990000000000002</v>
      </c>
      <c r="J488">
        <v>5</v>
      </c>
      <c r="L488">
        <v>0</v>
      </c>
    </row>
    <row r="489" spans="1:12" x14ac:dyDescent="0.2">
      <c r="A489" t="s">
        <v>5098</v>
      </c>
      <c r="B489" t="s">
        <v>5164</v>
      </c>
      <c r="C489" t="s">
        <v>1224</v>
      </c>
      <c r="D489" t="s">
        <v>5209</v>
      </c>
      <c r="F489" t="s">
        <v>1289</v>
      </c>
      <c r="G489">
        <v>19.989999999999998</v>
      </c>
      <c r="H489" t="s">
        <v>529</v>
      </c>
      <c r="I489">
        <v>34.99</v>
      </c>
      <c r="J489">
        <v>5</v>
      </c>
      <c r="L489">
        <v>0</v>
      </c>
    </row>
    <row r="490" spans="1:12" x14ac:dyDescent="0.2">
      <c r="A490" t="s">
        <v>5098</v>
      </c>
      <c r="B490" t="s">
        <v>5164</v>
      </c>
      <c r="C490" t="s">
        <v>1226</v>
      </c>
      <c r="D490" t="s">
        <v>5210</v>
      </c>
      <c r="F490" t="s">
        <v>5211</v>
      </c>
      <c r="G490">
        <v>19.989999999999998</v>
      </c>
      <c r="H490" t="s">
        <v>529</v>
      </c>
      <c r="I490">
        <v>34.99</v>
      </c>
      <c r="J490">
        <v>5</v>
      </c>
      <c r="L490">
        <v>0</v>
      </c>
    </row>
    <row r="491" spans="1:12" x14ac:dyDescent="0.2">
      <c r="A491" t="s">
        <v>5098</v>
      </c>
      <c r="B491" t="s">
        <v>5164</v>
      </c>
      <c r="C491" t="s">
        <v>1544</v>
      </c>
      <c r="D491" t="s">
        <v>5212</v>
      </c>
      <c r="F491" t="s">
        <v>5213</v>
      </c>
      <c r="G491">
        <v>39.99</v>
      </c>
      <c r="H491" t="s">
        <v>529</v>
      </c>
      <c r="I491">
        <v>69.990000000000009</v>
      </c>
      <c r="J491">
        <v>5</v>
      </c>
      <c r="L491">
        <v>0</v>
      </c>
    </row>
    <row r="492" spans="1:12" x14ac:dyDescent="0.2">
      <c r="A492" t="s">
        <v>5098</v>
      </c>
      <c r="B492" t="s">
        <v>5164</v>
      </c>
      <c r="C492" t="s">
        <v>1217</v>
      </c>
      <c r="D492" t="s">
        <v>5214</v>
      </c>
      <c r="F492" t="s">
        <v>5215</v>
      </c>
      <c r="G492">
        <v>38.99</v>
      </c>
      <c r="H492" t="s">
        <v>529</v>
      </c>
      <c r="I492">
        <v>69.990000000000009</v>
      </c>
      <c r="J492">
        <v>5</v>
      </c>
      <c r="L492">
        <v>0</v>
      </c>
    </row>
    <row r="493" spans="1:12" x14ac:dyDescent="0.2">
      <c r="A493" t="s">
        <v>5098</v>
      </c>
      <c r="B493" t="s">
        <v>5164</v>
      </c>
      <c r="C493" t="s">
        <v>3794</v>
      </c>
      <c r="D493" t="s">
        <v>5216</v>
      </c>
      <c r="F493" t="s">
        <v>3795</v>
      </c>
      <c r="G493">
        <v>23.990000000000002</v>
      </c>
      <c r="H493" t="s">
        <v>529</v>
      </c>
      <c r="I493">
        <v>39.99</v>
      </c>
      <c r="J493">
        <v>15</v>
      </c>
      <c r="L493">
        <v>0</v>
      </c>
    </row>
    <row r="494" spans="1:12" x14ac:dyDescent="0.2">
      <c r="A494" t="s">
        <v>5098</v>
      </c>
      <c r="B494" t="s">
        <v>5164</v>
      </c>
      <c r="C494" t="s">
        <v>1215</v>
      </c>
      <c r="D494" t="s">
        <v>5217</v>
      </c>
      <c r="F494" t="s">
        <v>1284</v>
      </c>
      <c r="G494">
        <v>23.990000000000002</v>
      </c>
      <c r="H494" t="s">
        <v>529</v>
      </c>
      <c r="I494">
        <v>39.99</v>
      </c>
      <c r="J494">
        <v>15</v>
      </c>
      <c r="L494">
        <v>0</v>
      </c>
    </row>
    <row r="495" spans="1:12" x14ac:dyDescent="0.2">
      <c r="A495" t="s">
        <v>5098</v>
      </c>
      <c r="B495" t="s">
        <v>5164</v>
      </c>
      <c r="C495" t="s">
        <v>1218</v>
      </c>
      <c r="D495" t="s">
        <v>5218</v>
      </c>
      <c r="F495" t="s">
        <v>1286</v>
      </c>
      <c r="G495">
        <v>55.99</v>
      </c>
      <c r="H495" t="s">
        <v>529</v>
      </c>
      <c r="I495">
        <v>99.990000000000009</v>
      </c>
      <c r="J495">
        <v>5</v>
      </c>
      <c r="L495">
        <v>0</v>
      </c>
    </row>
    <row r="496" spans="1:12" x14ac:dyDescent="0.2">
      <c r="A496" t="s">
        <v>5098</v>
      </c>
      <c r="B496" t="s">
        <v>5164</v>
      </c>
      <c r="C496" t="s">
        <v>1221</v>
      </c>
      <c r="D496" t="s">
        <v>5219</v>
      </c>
      <c r="F496" t="s">
        <v>5220</v>
      </c>
      <c r="G496">
        <v>44.99</v>
      </c>
      <c r="H496" t="s">
        <v>529</v>
      </c>
      <c r="I496">
        <v>79.990000000000009</v>
      </c>
      <c r="J496">
        <v>5</v>
      </c>
      <c r="L496">
        <v>0</v>
      </c>
    </row>
    <row r="497" spans="1:12" x14ac:dyDescent="0.2">
      <c r="A497" t="s">
        <v>5098</v>
      </c>
      <c r="B497" t="s">
        <v>5164</v>
      </c>
      <c r="C497" t="s">
        <v>3763</v>
      </c>
      <c r="D497" t="s">
        <v>5221</v>
      </c>
      <c r="F497" t="s">
        <v>5222</v>
      </c>
      <c r="G497">
        <v>21.99</v>
      </c>
      <c r="H497" t="s">
        <v>529</v>
      </c>
      <c r="I497">
        <v>39.99</v>
      </c>
      <c r="J497">
        <v>5</v>
      </c>
      <c r="L497">
        <v>0</v>
      </c>
    </row>
    <row r="498" spans="1:12" x14ac:dyDescent="0.2">
      <c r="A498" t="s">
        <v>5098</v>
      </c>
      <c r="B498" t="s">
        <v>5164</v>
      </c>
      <c r="C498" t="s">
        <v>4276</v>
      </c>
      <c r="D498" t="s">
        <v>5223</v>
      </c>
      <c r="F498" t="s">
        <v>4374</v>
      </c>
      <c r="G498">
        <v>21.99</v>
      </c>
      <c r="H498" t="s">
        <v>529</v>
      </c>
      <c r="I498">
        <v>39.99</v>
      </c>
      <c r="J498">
        <v>5</v>
      </c>
      <c r="L498">
        <v>0</v>
      </c>
    </row>
    <row r="499" spans="1:12" x14ac:dyDescent="0.2">
      <c r="A499" t="s">
        <v>5098</v>
      </c>
      <c r="B499" t="s">
        <v>5164</v>
      </c>
      <c r="C499" t="s">
        <v>1805</v>
      </c>
      <c r="D499" t="s">
        <v>2525</v>
      </c>
      <c r="F499" t="s">
        <v>1834</v>
      </c>
      <c r="G499">
        <v>156.98999999999998</v>
      </c>
      <c r="H499" t="s">
        <v>529</v>
      </c>
      <c r="I499">
        <v>299.99</v>
      </c>
      <c r="J499">
        <v>1</v>
      </c>
      <c r="L499">
        <v>0</v>
      </c>
    </row>
    <row r="500" spans="1:12" x14ac:dyDescent="0.2">
      <c r="A500" t="s">
        <v>5098</v>
      </c>
      <c r="B500" t="s">
        <v>5164</v>
      </c>
      <c r="C500" t="s">
        <v>1807</v>
      </c>
      <c r="D500" t="s">
        <v>5224</v>
      </c>
      <c r="F500" t="s">
        <v>5225</v>
      </c>
      <c r="G500">
        <v>17.989999999999998</v>
      </c>
      <c r="H500" t="s">
        <v>529</v>
      </c>
      <c r="I500">
        <v>29.990000000000002</v>
      </c>
      <c r="J500">
        <v>10</v>
      </c>
      <c r="L500">
        <v>0</v>
      </c>
    </row>
    <row r="501" spans="1:12" x14ac:dyDescent="0.2">
      <c r="A501" t="s">
        <v>5098</v>
      </c>
      <c r="B501" t="s">
        <v>3347</v>
      </c>
      <c r="C501" t="s">
        <v>1184</v>
      </c>
      <c r="D501" t="s">
        <v>5226</v>
      </c>
      <c r="F501" t="s">
        <v>1254</v>
      </c>
      <c r="G501">
        <v>9.99</v>
      </c>
      <c r="H501" t="s">
        <v>529</v>
      </c>
      <c r="I501">
        <v>19.989999999999998</v>
      </c>
      <c r="J501">
        <v>10</v>
      </c>
      <c r="L501">
        <v>0</v>
      </c>
    </row>
    <row r="502" spans="1:12" x14ac:dyDescent="0.2">
      <c r="A502" t="s">
        <v>5098</v>
      </c>
      <c r="B502" t="s">
        <v>3347</v>
      </c>
      <c r="C502" t="s">
        <v>1185</v>
      </c>
      <c r="D502" t="s">
        <v>5227</v>
      </c>
      <c r="F502" t="s">
        <v>1255</v>
      </c>
      <c r="G502">
        <v>11.99</v>
      </c>
      <c r="H502" t="s">
        <v>529</v>
      </c>
      <c r="I502">
        <v>22.99</v>
      </c>
      <c r="J502">
        <v>10</v>
      </c>
      <c r="L502">
        <v>0</v>
      </c>
    </row>
    <row r="503" spans="1:12" x14ac:dyDescent="0.2">
      <c r="A503" t="s">
        <v>5098</v>
      </c>
      <c r="B503" t="s">
        <v>3347</v>
      </c>
      <c r="C503" t="s">
        <v>5228</v>
      </c>
      <c r="D503" t="s">
        <v>5229</v>
      </c>
      <c r="F503" t="s">
        <v>1256</v>
      </c>
      <c r="G503">
        <v>13.99</v>
      </c>
      <c r="H503" t="s">
        <v>529</v>
      </c>
      <c r="I503">
        <v>24.990000000000002</v>
      </c>
      <c r="J503">
        <v>10</v>
      </c>
      <c r="L503">
        <v>0</v>
      </c>
    </row>
    <row r="504" spans="1:12" x14ac:dyDescent="0.2">
      <c r="A504" t="s">
        <v>5098</v>
      </c>
      <c r="B504" t="s">
        <v>3347</v>
      </c>
      <c r="C504" t="s">
        <v>1187</v>
      </c>
      <c r="D504" t="s">
        <v>5230</v>
      </c>
      <c r="F504" t="s">
        <v>1257</v>
      </c>
      <c r="G504">
        <v>16.989999999999998</v>
      </c>
      <c r="H504" t="s">
        <v>529</v>
      </c>
      <c r="I504">
        <v>29.990000000000002</v>
      </c>
      <c r="J504">
        <v>10</v>
      </c>
      <c r="L504">
        <v>0</v>
      </c>
    </row>
    <row r="505" spans="1:12" x14ac:dyDescent="0.2">
      <c r="A505" t="s">
        <v>5098</v>
      </c>
      <c r="B505" t="s">
        <v>3347</v>
      </c>
      <c r="C505" t="s">
        <v>1189</v>
      </c>
      <c r="D505" t="s">
        <v>5231</v>
      </c>
      <c r="F505" t="s">
        <v>1259</v>
      </c>
      <c r="G505">
        <v>12.99</v>
      </c>
      <c r="H505" t="s">
        <v>529</v>
      </c>
      <c r="I505">
        <v>22.99</v>
      </c>
      <c r="J505">
        <v>10</v>
      </c>
      <c r="L505">
        <v>0</v>
      </c>
    </row>
    <row r="506" spans="1:12" x14ac:dyDescent="0.2">
      <c r="A506" t="s">
        <v>5098</v>
      </c>
      <c r="B506" t="s">
        <v>3347</v>
      </c>
      <c r="C506" t="s">
        <v>2027</v>
      </c>
      <c r="D506" t="s">
        <v>5232</v>
      </c>
      <c r="F506" t="s">
        <v>5233</v>
      </c>
      <c r="G506">
        <v>62.99</v>
      </c>
      <c r="H506" t="s">
        <v>529</v>
      </c>
      <c r="I506">
        <v>99.990000000000009</v>
      </c>
      <c r="J506">
        <v>1</v>
      </c>
      <c r="L506">
        <v>0</v>
      </c>
    </row>
    <row r="507" spans="1:12" x14ac:dyDescent="0.2">
      <c r="A507" t="s">
        <v>5098</v>
      </c>
      <c r="B507" t="s">
        <v>3347</v>
      </c>
      <c r="C507" t="s">
        <v>1190</v>
      </c>
      <c r="D507" t="s">
        <v>5234</v>
      </c>
      <c r="F507" t="s">
        <v>1260</v>
      </c>
      <c r="G507">
        <v>13.99</v>
      </c>
      <c r="H507" t="s">
        <v>529</v>
      </c>
      <c r="I507">
        <v>24.990000000000002</v>
      </c>
      <c r="J507">
        <v>10</v>
      </c>
      <c r="L507">
        <v>0</v>
      </c>
    </row>
    <row r="508" spans="1:12" x14ac:dyDescent="0.2">
      <c r="A508" t="s">
        <v>5098</v>
      </c>
      <c r="B508" t="s">
        <v>3347</v>
      </c>
      <c r="C508" t="s">
        <v>1660</v>
      </c>
      <c r="D508" t="s">
        <v>5235</v>
      </c>
      <c r="F508" t="s">
        <v>1833</v>
      </c>
      <c r="G508">
        <v>156.98999999999998</v>
      </c>
      <c r="H508" t="s">
        <v>529</v>
      </c>
      <c r="I508">
        <v>249.99</v>
      </c>
      <c r="J508">
        <v>1</v>
      </c>
      <c r="L508">
        <v>0</v>
      </c>
    </row>
    <row r="509" spans="1:12" x14ac:dyDescent="0.2">
      <c r="A509" t="s">
        <v>5098</v>
      </c>
      <c r="B509" t="s">
        <v>3347</v>
      </c>
      <c r="C509" t="s">
        <v>1661</v>
      </c>
      <c r="D509" t="s">
        <v>5236</v>
      </c>
      <c r="F509" t="s">
        <v>1832</v>
      </c>
      <c r="G509">
        <v>114.99</v>
      </c>
      <c r="H509" t="s">
        <v>529</v>
      </c>
      <c r="I509">
        <v>199.98999999999998</v>
      </c>
      <c r="J509">
        <v>1</v>
      </c>
      <c r="L509">
        <v>0</v>
      </c>
    </row>
    <row r="510" spans="1:12" x14ac:dyDescent="0.2">
      <c r="A510" t="s">
        <v>5098</v>
      </c>
      <c r="B510" t="s">
        <v>5237</v>
      </c>
      <c r="C510" t="s">
        <v>1503</v>
      </c>
      <c r="D510" t="s">
        <v>5238</v>
      </c>
      <c r="F510" t="s">
        <v>1234</v>
      </c>
      <c r="G510">
        <v>13.99</v>
      </c>
      <c r="H510" t="s">
        <v>529</v>
      </c>
      <c r="I510">
        <v>24.990000000000002</v>
      </c>
      <c r="J510">
        <v>10</v>
      </c>
      <c r="L510">
        <v>0</v>
      </c>
    </row>
    <row r="511" spans="1:12" x14ac:dyDescent="0.2">
      <c r="A511" t="s">
        <v>5098</v>
      </c>
      <c r="B511" t="s">
        <v>5237</v>
      </c>
      <c r="C511" t="s">
        <v>2081</v>
      </c>
      <c r="D511" t="s">
        <v>5239</v>
      </c>
      <c r="F511" t="s">
        <v>2082</v>
      </c>
      <c r="G511">
        <v>18.989999999999998</v>
      </c>
      <c r="H511" t="s">
        <v>529</v>
      </c>
      <c r="I511">
        <v>34.99</v>
      </c>
      <c r="J511">
        <v>15</v>
      </c>
      <c r="L511">
        <v>0</v>
      </c>
    </row>
    <row r="512" spans="1:12" x14ac:dyDescent="0.2">
      <c r="A512" t="s">
        <v>5098</v>
      </c>
      <c r="B512" t="s">
        <v>5237</v>
      </c>
      <c r="C512" t="s">
        <v>1166</v>
      </c>
      <c r="D512" t="s">
        <v>5240</v>
      </c>
      <c r="F512" t="s">
        <v>1236</v>
      </c>
      <c r="G512">
        <v>18.989999999999998</v>
      </c>
      <c r="H512" t="s">
        <v>529</v>
      </c>
      <c r="I512">
        <v>34.99</v>
      </c>
      <c r="J512">
        <v>10</v>
      </c>
      <c r="L512">
        <v>0</v>
      </c>
    </row>
    <row r="513" spans="1:12" x14ac:dyDescent="0.2">
      <c r="A513" t="s">
        <v>5098</v>
      </c>
      <c r="B513" t="s">
        <v>5237</v>
      </c>
      <c r="C513" t="s">
        <v>1163</v>
      </c>
      <c r="D513" t="s">
        <v>5241</v>
      </c>
      <c r="F513" t="s">
        <v>1232</v>
      </c>
      <c r="G513">
        <v>7.99</v>
      </c>
      <c r="H513" t="s">
        <v>529</v>
      </c>
      <c r="I513">
        <v>15.99</v>
      </c>
      <c r="J513">
        <v>15</v>
      </c>
      <c r="L513">
        <v>0</v>
      </c>
    </row>
    <row r="514" spans="1:12" x14ac:dyDescent="0.2">
      <c r="A514" t="s">
        <v>5098</v>
      </c>
      <c r="B514" t="s">
        <v>5237</v>
      </c>
      <c r="C514" t="s">
        <v>1164</v>
      </c>
      <c r="D514" t="s">
        <v>5242</v>
      </c>
      <c r="F514" t="s">
        <v>1233</v>
      </c>
      <c r="G514">
        <v>8.99</v>
      </c>
      <c r="H514" t="s">
        <v>529</v>
      </c>
      <c r="I514">
        <v>17.989999999999998</v>
      </c>
      <c r="J514">
        <v>15</v>
      </c>
      <c r="L514">
        <v>0</v>
      </c>
    </row>
    <row r="515" spans="1:12" x14ac:dyDescent="0.2">
      <c r="A515" t="s">
        <v>5098</v>
      </c>
      <c r="B515" t="s">
        <v>5237</v>
      </c>
      <c r="C515" t="s">
        <v>1905</v>
      </c>
      <c r="D515" t="s">
        <v>5243</v>
      </c>
      <c r="F515" t="s">
        <v>1907</v>
      </c>
      <c r="G515">
        <v>9.99</v>
      </c>
      <c r="H515" t="s">
        <v>529</v>
      </c>
      <c r="I515">
        <v>17.989999999999998</v>
      </c>
      <c r="J515">
        <v>15</v>
      </c>
      <c r="L515">
        <v>0</v>
      </c>
    </row>
    <row r="516" spans="1:12" x14ac:dyDescent="0.2">
      <c r="A516" t="s">
        <v>5098</v>
      </c>
      <c r="B516" t="s">
        <v>5244</v>
      </c>
      <c r="C516" t="s">
        <v>2029</v>
      </c>
      <c r="D516" t="s">
        <v>5245</v>
      </c>
      <c r="F516" t="s">
        <v>2080</v>
      </c>
      <c r="G516">
        <v>5.99</v>
      </c>
      <c r="H516" t="s">
        <v>529</v>
      </c>
      <c r="I516">
        <v>9.99</v>
      </c>
      <c r="J516">
        <v>15</v>
      </c>
      <c r="L516">
        <v>0</v>
      </c>
    </row>
    <row r="517" spans="1:12" x14ac:dyDescent="0.2">
      <c r="A517" t="s">
        <v>5098</v>
      </c>
      <c r="B517" t="s">
        <v>5244</v>
      </c>
      <c r="C517" t="s">
        <v>4314</v>
      </c>
      <c r="D517" t="s">
        <v>5246</v>
      </c>
      <c r="F517" t="s">
        <v>5247</v>
      </c>
      <c r="G517">
        <v>5.99</v>
      </c>
      <c r="H517" t="s">
        <v>529</v>
      </c>
      <c r="I517">
        <v>9.99</v>
      </c>
      <c r="J517">
        <v>15</v>
      </c>
      <c r="L517">
        <v>0</v>
      </c>
    </row>
    <row r="518" spans="1:12" x14ac:dyDescent="0.2">
      <c r="A518" t="s">
        <v>5098</v>
      </c>
      <c r="B518" t="s">
        <v>5244</v>
      </c>
      <c r="C518" t="s">
        <v>4313</v>
      </c>
      <c r="D518" t="s">
        <v>5248</v>
      </c>
      <c r="F518" t="s">
        <v>5249</v>
      </c>
      <c r="G518">
        <v>5.99</v>
      </c>
      <c r="H518" t="s">
        <v>529</v>
      </c>
      <c r="I518">
        <v>9.99</v>
      </c>
      <c r="J518">
        <v>15</v>
      </c>
      <c r="L518">
        <v>0</v>
      </c>
    </row>
    <row r="519" spans="1:12" x14ac:dyDescent="0.2">
      <c r="A519" t="s">
        <v>5098</v>
      </c>
      <c r="B519" t="s">
        <v>5244</v>
      </c>
      <c r="C519" t="s">
        <v>2030</v>
      </c>
      <c r="D519" t="s">
        <v>5250</v>
      </c>
      <c r="F519" t="s">
        <v>3432</v>
      </c>
      <c r="G519">
        <v>6.99</v>
      </c>
      <c r="H519" t="s">
        <v>529</v>
      </c>
      <c r="I519">
        <v>11.99</v>
      </c>
      <c r="J519">
        <v>15</v>
      </c>
      <c r="L519">
        <v>0</v>
      </c>
    </row>
    <row r="520" spans="1:12" x14ac:dyDescent="0.2">
      <c r="A520" t="s">
        <v>5098</v>
      </c>
      <c r="B520" t="s">
        <v>5244</v>
      </c>
      <c r="C520" t="s">
        <v>2033</v>
      </c>
      <c r="D520" t="s">
        <v>5251</v>
      </c>
      <c r="F520" t="s">
        <v>3425</v>
      </c>
      <c r="G520">
        <v>7.99</v>
      </c>
      <c r="H520" t="s">
        <v>529</v>
      </c>
      <c r="I520">
        <v>14.99</v>
      </c>
      <c r="J520">
        <v>15</v>
      </c>
      <c r="L520">
        <v>0</v>
      </c>
    </row>
    <row r="521" spans="1:12" x14ac:dyDescent="0.2">
      <c r="A521" t="s">
        <v>5098</v>
      </c>
      <c r="B521" t="s">
        <v>5244</v>
      </c>
      <c r="C521" t="s">
        <v>3348</v>
      </c>
      <c r="D521" t="s">
        <v>5252</v>
      </c>
      <c r="F521" t="s">
        <v>3426</v>
      </c>
      <c r="G521">
        <v>8.99</v>
      </c>
      <c r="H521" t="s">
        <v>529</v>
      </c>
      <c r="I521">
        <v>16.989999999999998</v>
      </c>
      <c r="J521">
        <v>5</v>
      </c>
      <c r="L521">
        <v>0</v>
      </c>
    </row>
    <row r="522" spans="1:12" x14ac:dyDescent="0.2">
      <c r="A522" t="s">
        <v>5098</v>
      </c>
      <c r="B522" t="s">
        <v>5244</v>
      </c>
      <c r="C522" t="s">
        <v>2032</v>
      </c>
      <c r="D522" t="s">
        <v>5253</v>
      </c>
      <c r="F522" t="s">
        <v>3424</v>
      </c>
      <c r="G522">
        <v>7.99</v>
      </c>
      <c r="H522" t="s">
        <v>529</v>
      </c>
      <c r="I522">
        <v>14.99</v>
      </c>
      <c r="J522">
        <v>15</v>
      </c>
      <c r="L522">
        <v>0</v>
      </c>
    </row>
    <row r="523" spans="1:12" x14ac:dyDescent="0.2">
      <c r="A523" t="s">
        <v>5098</v>
      </c>
      <c r="B523" t="s">
        <v>5244</v>
      </c>
      <c r="C523" t="s">
        <v>2031</v>
      </c>
      <c r="D523" t="s">
        <v>5254</v>
      </c>
      <c r="F523" t="s">
        <v>3440</v>
      </c>
      <c r="G523">
        <v>7.99</v>
      </c>
      <c r="H523" t="s">
        <v>529</v>
      </c>
      <c r="I523">
        <v>14.99</v>
      </c>
      <c r="J523">
        <v>15</v>
      </c>
      <c r="L523">
        <v>0</v>
      </c>
    </row>
    <row r="524" spans="1:12" x14ac:dyDescent="0.2">
      <c r="A524" t="s">
        <v>5098</v>
      </c>
      <c r="B524" t="s">
        <v>5244</v>
      </c>
      <c r="C524" t="s">
        <v>2036</v>
      </c>
      <c r="D524" t="s">
        <v>5255</v>
      </c>
      <c r="F524" t="s">
        <v>3430</v>
      </c>
      <c r="G524">
        <v>9.99</v>
      </c>
      <c r="H524" t="s">
        <v>529</v>
      </c>
      <c r="I524">
        <v>19.989999999999998</v>
      </c>
      <c r="J524">
        <v>15</v>
      </c>
      <c r="L524">
        <v>0</v>
      </c>
    </row>
    <row r="525" spans="1:12" x14ac:dyDescent="0.2">
      <c r="A525" t="s">
        <v>5098</v>
      </c>
      <c r="B525" t="s">
        <v>5244</v>
      </c>
      <c r="C525" t="s">
        <v>2037</v>
      </c>
      <c r="D525" t="s">
        <v>5256</v>
      </c>
      <c r="F525" t="s">
        <v>3427</v>
      </c>
      <c r="G525">
        <v>9.99</v>
      </c>
      <c r="H525" t="s">
        <v>529</v>
      </c>
      <c r="I525">
        <v>19.989999999999998</v>
      </c>
      <c r="J525">
        <v>15</v>
      </c>
      <c r="L525">
        <v>0</v>
      </c>
    </row>
    <row r="526" spans="1:12" x14ac:dyDescent="0.2">
      <c r="A526" t="s">
        <v>5098</v>
      </c>
      <c r="B526" t="s">
        <v>5244</v>
      </c>
      <c r="C526" t="s">
        <v>2039</v>
      </c>
      <c r="D526" t="s">
        <v>5257</v>
      </c>
      <c r="F526" t="s">
        <v>3428</v>
      </c>
      <c r="G526">
        <v>13.99</v>
      </c>
      <c r="H526" t="s">
        <v>529</v>
      </c>
      <c r="I526">
        <v>24.990000000000002</v>
      </c>
      <c r="J526">
        <v>15</v>
      </c>
      <c r="L526">
        <v>0</v>
      </c>
    </row>
    <row r="527" spans="1:12" x14ac:dyDescent="0.2">
      <c r="A527" t="s">
        <v>5098</v>
      </c>
      <c r="B527" t="s">
        <v>5244</v>
      </c>
      <c r="C527" t="s">
        <v>2038</v>
      </c>
      <c r="D527" t="s">
        <v>5258</v>
      </c>
      <c r="F527" t="s">
        <v>3431</v>
      </c>
      <c r="G527">
        <v>9.99</v>
      </c>
      <c r="H527" t="s">
        <v>529</v>
      </c>
      <c r="I527">
        <v>19.989999999999998</v>
      </c>
      <c r="J527">
        <v>15</v>
      </c>
      <c r="L527">
        <v>0</v>
      </c>
    </row>
    <row r="528" spans="1:12" x14ac:dyDescent="0.2">
      <c r="A528" t="s">
        <v>5098</v>
      </c>
      <c r="B528" t="s">
        <v>5244</v>
      </c>
      <c r="C528" t="s">
        <v>2034</v>
      </c>
      <c r="D528" t="s">
        <v>5259</v>
      </c>
      <c r="F528" t="s">
        <v>3429</v>
      </c>
      <c r="G528">
        <v>9.99</v>
      </c>
      <c r="H528" t="s">
        <v>529</v>
      </c>
      <c r="I528">
        <v>19.989999999999998</v>
      </c>
      <c r="J528">
        <v>15</v>
      </c>
      <c r="L528">
        <v>0</v>
      </c>
    </row>
    <row r="529" spans="1:12" x14ac:dyDescent="0.2">
      <c r="A529" t="s">
        <v>5098</v>
      </c>
      <c r="B529" t="s">
        <v>5244</v>
      </c>
      <c r="C529" t="s">
        <v>2035</v>
      </c>
      <c r="D529" t="s">
        <v>5260</v>
      </c>
      <c r="F529" t="s">
        <v>3442</v>
      </c>
      <c r="G529">
        <v>9.99</v>
      </c>
      <c r="H529" t="s">
        <v>529</v>
      </c>
      <c r="I529">
        <v>19.989999999999998</v>
      </c>
      <c r="J529">
        <v>15</v>
      </c>
      <c r="L529">
        <v>0</v>
      </c>
    </row>
    <row r="530" spans="1:12" x14ac:dyDescent="0.2">
      <c r="A530" t="s">
        <v>5098</v>
      </c>
      <c r="B530" t="s">
        <v>5244</v>
      </c>
      <c r="C530" t="s">
        <v>4280</v>
      </c>
      <c r="D530" t="s">
        <v>5261</v>
      </c>
      <c r="F530" t="s">
        <v>4282</v>
      </c>
      <c r="G530">
        <v>12.99</v>
      </c>
      <c r="H530" t="s">
        <v>529</v>
      </c>
      <c r="I530">
        <v>24.990000000000002</v>
      </c>
      <c r="J530">
        <v>10</v>
      </c>
      <c r="L530">
        <v>0</v>
      </c>
    </row>
    <row r="531" spans="1:12" x14ac:dyDescent="0.2">
      <c r="A531" t="s">
        <v>5098</v>
      </c>
      <c r="B531" t="s">
        <v>5262</v>
      </c>
      <c r="C531" t="s">
        <v>1180</v>
      </c>
      <c r="D531" t="s">
        <v>5263</v>
      </c>
      <c r="F531" t="s">
        <v>1250</v>
      </c>
      <c r="G531">
        <v>18.989999999999998</v>
      </c>
      <c r="H531" t="s">
        <v>529</v>
      </c>
      <c r="I531">
        <v>34.99</v>
      </c>
      <c r="J531">
        <v>10</v>
      </c>
      <c r="L531">
        <v>0</v>
      </c>
    </row>
    <row r="532" spans="1:12" x14ac:dyDescent="0.2">
      <c r="A532" t="s">
        <v>5098</v>
      </c>
      <c r="B532" t="s">
        <v>5262</v>
      </c>
      <c r="C532" t="s">
        <v>1181</v>
      </c>
      <c r="D532" t="s">
        <v>5264</v>
      </c>
      <c r="F532" t="s">
        <v>1251</v>
      </c>
      <c r="G532">
        <v>8.99</v>
      </c>
      <c r="H532" t="s">
        <v>529</v>
      </c>
      <c r="I532">
        <v>17.989999999999998</v>
      </c>
      <c r="J532">
        <v>10</v>
      </c>
      <c r="L532">
        <v>0</v>
      </c>
    </row>
    <row r="533" spans="1:12" x14ac:dyDescent="0.2">
      <c r="A533" t="s">
        <v>5098</v>
      </c>
      <c r="B533" t="s">
        <v>5265</v>
      </c>
      <c r="C533" t="s">
        <v>4002</v>
      </c>
      <c r="D533" t="s">
        <v>5266</v>
      </c>
      <c r="F533" t="s">
        <v>5267</v>
      </c>
      <c r="G533">
        <v>18.989999999999998</v>
      </c>
      <c r="H533" t="s">
        <v>529</v>
      </c>
      <c r="I533">
        <v>34.99</v>
      </c>
      <c r="J533">
        <v>10</v>
      </c>
      <c r="L533">
        <v>0</v>
      </c>
    </row>
    <row r="534" spans="1:12" x14ac:dyDescent="0.2">
      <c r="A534" t="s">
        <v>5098</v>
      </c>
      <c r="B534" t="s">
        <v>5265</v>
      </c>
      <c r="C534" t="s">
        <v>3343</v>
      </c>
      <c r="D534" t="s">
        <v>5268</v>
      </c>
      <c r="F534" t="s">
        <v>3488</v>
      </c>
      <c r="G534">
        <v>22.99</v>
      </c>
      <c r="H534" t="s">
        <v>529</v>
      </c>
      <c r="I534">
        <v>39.99</v>
      </c>
      <c r="J534">
        <v>12</v>
      </c>
      <c r="L534">
        <v>0</v>
      </c>
    </row>
    <row r="535" spans="1:12" x14ac:dyDescent="0.2">
      <c r="A535" t="s">
        <v>5098</v>
      </c>
      <c r="B535" t="s">
        <v>5265</v>
      </c>
      <c r="C535" t="s">
        <v>1199</v>
      </c>
      <c r="D535" t="s">
        <v>5269</v>
      </c>
      <c r="F535" t="s">
        <v>1269</v>
      </c>
      <c r="G535">
        <v>23.990000000000002</v>
      </c>
      <c r="H535" t="s">
        <v>529</v>
      </c>
      <c r="I535">
        <v>39.99</v>
      </c>
      <c r="J535">
        <v>10</v>
      </c>
      <c r="L535">
        <v>0</v>
      </c>
    </row>
    <row r="536" spans="1:12" x14ac:dyDescent="0.2">
      <c r="A536" t="s">
        <v>5098</v>
      </c>
      <c r="B536" t="s">
        <v>5265</v>
      </c>
      <c r="C536" t="s">
        <v>1493</v>
      </c>
      <c r="D536" t="s">
        <v>5270</v>
      </c>
      <c r="F536" t="s">
        <v>5271</v>
      </c>
      <c r="G536">
        <v>13.99</v>
      </c>
      <c r="H536" t="s">
        <v>529</v>
      </c>
      <c r="I536">
        <v>25.990000000000002</v>
      </c>
      <c r="J536">
        <v>10</v>
      </c>
      <c r="L536">
        <v>0</v>
      </c>
    </row>
    <row r="537" spans="1:12" x14ac:dyDescent="0.2">
      <c r="A537" t="s">
        <v>5098</v>
      </c>
      <c r="B537" t="s">
        <v>5265</v>
      </c>
      <c r="C537" t="s">
        <v>4255</v>
      </c>
      <c r="D537" t="s">
        <v>5272</v>
      </c>
      <c r="F537" t="s">
        <v>4257</v>
      </c>
      <c r="G537">
        <v>11.99</v>
      </c>
      <c r="H537" t="s">
        <v>529</v>
      </c>
      <c r="I537">
        <v>19.989999999999998</v>
      </c>
      <c r="J537">
        <v>10</v>
      </c>
      <c r="L537">
        <v>0</v>
      </c>
    </row>
    <row r="538" spans="1:12" x14ac:dyDescent="0.2">
      <c r="A538" t="s">
        <v>5098</v>
      </c>
      <c r="B538" t="s">
        <v>5265</v>
      </c>
      <c r="C538" t="s">
        <v>1936</v>
      </c>
      <c r="D538" t="s">
        <v>5273</v>
      </c>
      <c r="F538" t="s">
        <v>5274</v>
      </c>
      <c r="G538">
        <v>14.99</v>
      </c>
      <c r="H538" t="s">
        <v>529</v>
      </c>
      <c r="I538">
        <v>25.990000000000002</v>
      </c>
      <c r="J538">
        <v>5</v>
      </c>
      <c r="L538">
        <v>0</v>
      </c>
    </row>
    <row r="539" spans="1:12" x14ac:dyDescent="0.2">
      <c r="A539" t="s">
        <v>5098</v>
      </c>
      <c r="B539" t="s">
        <v>5265</v>
      </c>
      <c r="C539" t="s">
        <v>1193</v>
      </c>
      <c r="D539" t="s">
        <v>5275</v>
      </c>
      <c r="F539" t="s">
        <v>1263</v>
      </c>
      <c r="G539">
        <v>18.989999999999998</v>
      </c>
      <c r="H539" t="s">
        <v>529</v>
      </c>
      <c r="I539">
        <v>34.99</v>
      </c>
      <c r="J539">
        <v>10</v>
      </c>
      <c r="L539">
        <v>0</v>
      </c>
    </row>
    <row r="540" spans="1:12" x14ac:dyDescent="0.2">
      <c r="A540" t="s">
        <v>5098</v>
      </c>
      <c r="B540" t="s">
        <v>5265</v>
      </c>
      <c r="C540" t="s">
        <v>1192</v>
      </c>
      <c r="D540" t="s">
        <v>5276</v>
      </c>
      <c r="F540" t="s">
        <v>1262</v>
      </c>
      <c r="G540">
        <v>18.989999999999998</v>
      </c>
      <c r="H540" t="s">
        <v>529</v>
      </c>
      <c r="I540">
        <v>34.99</v>
      </c>
      <c r="J540">
        <v>10</v>
      </c>
      <c r="L540">
        <v>0</v>
      </c>
    </row>
    <row r="541" spans="1:12" x14ac:dyDescent="0.2">
      <c r="A541" t="s">
        <v>5098</v>
      </c>
      <c r="B541" t="s">
        <v>5265</v>
      </c>
      <c r="C541" t="s">
        <v>1195</v>
      </c>
      <c r="D541" t="s">
        <v>5277</v>
      </c>
      <c r="F541" t="s">
        <v>1265</v>
      </c>
      <c r="G541">
        <v>18.989999999999998</v>
      </c>
      <c r="H541" t="s">
        <v>529</v>
      </c>
      <c r="I541">
        <v>34.99</v>
      </c>
      <c r="J541">
        <v>10</v>
      </c>
      <c r="L541">
        <v>0</v>
      </c>
    </row>
    <row r="542" spans="1:12" x14ac:dyDescent="0.2">
      <c r="A542" t="s">
        <v>5098</v>
      </c>
      <c r="B542" t="s">
        <v>5265</v>
      </c>
      <c r="C542" t="s">
        <v>1194</v>
      </c>
      <c r="D542" t="s">
        <v>5278</v>
      </c>
      <c r="F542" t="s">
        <v>1264</v>
      </c>
      <c r="G542">
        <v>18.989999999999998</v>
      </c>
      <c r="H542" t="s">
        <v>529</v>
      </c>
      <c r="I542">
        <v>34.99</v>
      </c>
      <c r="J542">
        <v>10</v>
      </c>
      <c r="L542">
        <v>0</v>
      </c>
    </row>
    <row r="543" spans="1:12" x14ac:dyDescent="0.2">
      <c r="A543" t="s">
        <v>5098</v>
      </c>
      <c r="B543" t="s">
        <v>5265</v>
      </c>
      <c r="C543" t="s">
        <v>4223</v>
      </c>
      <c r="D543" t="s">
        <v>5279</v>
      </c>
      <c r="F543" t="s">
        <v>4232</v>
      </c>
      <c r="G543">
        <v>20.99</v>
      </c>
      <c r="H543">
        <v>29.990000000000002</v>
      </c>
      <c r="I543">
        <v>39.99</v>
      </c>
      <c r="J543">
        <v>10</v>
      </c>
      <c r="L543">
        <v>0</v>
      </c>
    </row>
    <row r="544" spans="1:12" x14ac:dyDescent="0.2">
      <c r="A544" t="s">
        <v>5098</v>
      </c>
      <c r="B544" t="s">
        <v>5265</v>
      </c>
      <c r="C544" t="s">
        <v>4224</v>
      </c>
      <c r="D544" t="s">
        <v>5280</v>
      </c>
      <c r="F544" t="s">
        <v>4233</v>
      </c>
      <c r="G544">
        <v>20.99</v>
      </c>
      <c r="H544">
        <v>29.990000000000002</v>
      </c>
      <c r="I544">
        <v>39.99</v>
      </c>
      <c r="J544">
        <v>10</v>
      </c>
      <c r="L544">
        <v>0</v>
      </c>
    </row>
    <row r="545" spans="1:12" x14ac:dyDescent="0.2">
      <c r="A545" t="s">
        <v>5098</v>
      </c>
      <c r="B545" t="s">
        <v>5265</v>
      </c>
      <c r="C545" t="s">
        <v>4225</v>
      </c>
      <c r="D545" t="s">
        <v>5281</v>
      </c>
      <c r="F545" t="s">
        <v>4234</v>
      </c>
      <c r="G545">
        <v>20.99</v>
      </c>
      <c r="H545">
        <v>29.990000000000002</v>
      </c>
      <c r="I545">
        <v>39.99</v>
      </c>
      <c r="J545">
        <v>10</v>
      </c>
      <c r="L545">
        <v>0</v>
      </c>
    </row>
    <row r="546" spans="1:12" x14ac:dyDescent="0.2">
      <c r="A546" t="s">
        <v>5098</v>
      </c>
      <c r="B546" t="s">
        <v>5265</v>
      </c>
      <c r="C546" t="s">
        <v>4226</v>
      </c>
      <c r="D546" t="s">
        <v>5282</v>
      </c>
      <c r="F546" t="s">
        <v>4235</v>
      </c>
      <c r="G546">
        <v>20.99</v>
      </c>
      <c r="H546">
        <v>29.990000000000002</v>
      </c>
      <c r="I546">
        <v>39.99</v>
      </c>
      <c r="J546">
        <v>10</v>
      </c>
      <c r="L546">
        <v>0</v>
      </c>
    </row>
    <row r="547" spans="1:12" x14ac:dyDescent="0.2">
      <c r="A547" t="s">
        <v>5098</v>
      </c>
      <c r="B547" t="s">
        <v>5265</v>
      </c>
      <c r="C547" t="s">
        <v>4227</v>
      </c>
      <c r="D547" t="s">
        <v>5283</v>
      </c>
      <c r="F547" t="s">
        <v>4236</v>
      </c>
      <c r="G547">
        <v>20.99</v>
      </c>
      <c r="H547">
        <v>29.990000000000002</v>
      </c>
      <c r="I547">
        <v>39.99</v>
      </c>
      <c r="J547">
        <v>10</v>
      </c>
      <c r="L547">
        <v>0</v>
      </c>
    </row>
    <row r="548" spans="1:12" x14ac:dyDescent="0.2">
      <c r="A548" t="s">
        <v>5098</v>
      </c>
      <c r="B548" t="s">
        <v>5265</v>
      </c>
      <c r="C548" t="s">
        <v>4228</v>
      </c>
      <c r="D548" t="s">
        <v>5284</v>
      </c>
      <c r="F548" t="s">
        <v>4237</v>
      </c>
      <c r="G548">
        <v>20.99</v>
      </c>
      <c r="H548">
        <v>29.990000000000002</v>
      </c>
      <c r="I548">
        <v>39.99</v>
      </c>
      <c r="J548">
        <v>10</v>
      </c>
      <c r="L548">
        <v>0</v>
      </c>
    </row>
    <row r="549" spans="1:12" x14ac:dyDescent="0.2">
      <c r="A549" t="s">
        <v>5098</v>
      </c>
      <c r="B549" t="s">
        <v>1705</v>
      </c>
      <c r="C549" t="s">
        <v>1709</v>
      </c>
      <c r="D549" t="s">
        <v>5285</v>
      </c>
      <c r="F549" t="s">
        <v>5286</v>
      </c>
      <c r="G549">
        <v>6.99</v>
      </c>
      <c r="H549" t="s">
        <v>529</v>
      </c>
      <c r="I549">
        <v>12.99</v>
      </c>
      <c r="J549" t="s">
        <v>5287</v>
      </c>
      <c r="L549">
        <v>0</v>
      </c>
    </row>
    <row r="550" spans="1:12" x14ac:dyDescent="0.2">
      <c r="A550" t="s">
        <v>5098</v>
      </c>
      <c r="B550" t="s">
        <v>1705</v>
      </c>
      <c r="C550" t="s">
        <v>1707</v>
      </c>
      <c r="D550" t="s">
        <v>5288</v>
      </c>
      <c r="F550" t="s">
        <v>5289</v>
      </c>
      <c r="G550">
        <v>18.989999999999998</v>
      </c>
      <c r="H550" t="s">
        <v>529</v>
      </c>
      <c r="I550">
        <v>34.99</v>
      </c>
      <c r="J550" t="s">
        <v>5287</v>
      </c>
      <c r="L550">
        <v>0</v>
      </c>
    </row>
    <row r="551" spans="1:12" x14ac:dyDescent="0.2">
      <c r="A551" t="s">
        <v>5098</v>
      </c>
      <c r="B551" t="s">
        <v>1705</v>
      </c>
      <c r="C551" t="s">
        <v>1706</v>
      </c>
      <c r="D551" t="s">
        <v>1715</v>
      </c>
      <c r="F551" t="s">
        <v>5290</v>
      </c>
      <c r="G551">
        <v>7.99</v>
      </c>
      <c r="H551" t="s">
        <v>529</v>
      </c>
      <c r="I551">
        <v>14.99</v>
      </c>
      <c r="J551" t="s">
        <v>5287</v>
      </c>
      <c r="L551">
        <v>0</v>
      </c>
    </row>
    <row r="552" spans="1:12" x14ac:dyDescent="0.2">
      <c r="A552" t="s">
        <v>5098</v>
      </c>
      <c r="B552" t="s">
        <v>1705</v>
      </c>
      <c r="C552" t="s">
        <v>1710</v>
      </c>
      <c r="D552" t="s">
        <v>5291</v>
      </c>
      <c r="F552" t="s">
        <v>5292</v>
      </c>
      <c r="G552">
        <v>11.99</v>
      </c>
      <c r="H552" t="s">
        <v>529</v>
      </c>
      <c r="I552">
        <v>19.989999999999998</v>
      </c>
      <c r="J552" t="s">
        <v>5287</v>
      </c>
      <c r="L552">
        <v>0</v>
      </c>
    </row>
    <row r="553" spans="1:12" x14ac:dyDescent="0.2">
      <c r="A553" t="s">
        <v>5098</v>
      </c>
      <c r="B553" t="s">
        <v>1705</v>
      </c>
      <c r="C553" t="s">
        <v>1711</v>
      </c>
      <c r="D553" t="s">
        <v>5293</v>
      </c>
      <c r="F553" t="s">
        <v>5294</v>
      </c>
      <c r="G553">
        <v>16.989999999999998</v>
      </c>
      <c r="H553" t="s">
        <v>529</v>
      </c>
      <c r="I553">
        <v>29.990000000000002</v>
      </c>
      <c r="J553" t="s">
        <v>5287</v>
      </c>
      <c r="L553">
        <v>0</v>
      </c>
    </row>
    <row r="554" spans="1:12" x14ac:dyDescent="0.2">
      <c r="A554" t="s">
        <v>5098</v>
      </c>
      <c r="B554" t="s">
        <v>1705</v>
      </c>
      <c r="C554" t="s">
        <v>1712</v>
      </c>
      <c r="D554" t="s">
        <v>5295</v>
      </c>
      <c r="F554" t="s">
        <v>5296</v>
      </c>
      <c r="G554">
        <v>16.989999999999998</v>
      </c>
      <c r="H554" t="s">
        <v>529</v>
      </c>
      <c r="I554">
        <v>29.990000000000002</v>
      </c>
      <c r="J554" t="s">
        <v>5287</v>
      </c>
      <c r="L554">
        <v>0</v>
      </c>
    </row>
    <row r="555" spans="1:12" x14ac:dyDescent="0.2">
      <c r="A555" t="s">
        <v>5098</v>
      </c>
      <c r="B555" t="s">
        <v>1705</v>
      </c>
      <c r="C555" t="s">
        <v>1878</v>
      </c>
      <c r="D555" t="s">
        <v>5297</v>
      </c>
      <c r="F555" t="s">
        <v>5298</v>
      </c>
      <c r="G555">
        <v>11.99</v>
      </c>
      <c r="H555" t="s">
        <v>529</v>
      </c>
      <c r="I555">
        <v>24.990000000000002</v>
      </c>
      <c r="J555" t="s">
        <v>5287</v>
      </c>
      <c r="L555">
        <v>0</v>
      </c>
    </row>
    <row r="556" spans="1:12" x14ac:dyDescent="0.2">
      <c r="A556" t="s">
        <v>5098</v>
      </c>
      <c r="B556" t="s">
        <v>1705</v>
      </c>
      <c r="C556" t="s">
        <v>2655</v>
      </c>
      <c r="D556" t="s">
        <v>5299</v>
      </c>
      <c r="F556" t="s">
        <v>5300</v>
      </c>
      <c r="G556">
        <v>7.99</v>
      </c>
      <c r="H556" t="s">
        <v>529</v>
      </c>
      <c r="I556">
        <v>14.99</v>
      </c>
      <c r="J556" t="s">
        <v>5287</v>
      </c>
      <c r="L556">
        <v>0</v>
      </c>
    </row>
    <row r="557" spans="1:12" x14ac:dyDescent="0.2">
      <c r="A557" t="s">
        <v>5098</v>
      </c>
      <c r="B557" t="s">
        <v>1705</v>
      </c>
      <c r="C557" t="s">
        <v>1713</v>
      </c>
      <c r="D557" t="s">
        <v>5301</v>
      </c>
      <c r="F557" t="s">
        <v>5302</v>
      </c>
      <c r="G557">
        <v>16.989999999999998</v>
      </c>
      <c r="H557" t="s">
        <v>529</v>
      </c>
      <c r="I557">
        <v>29.990000000000002</v>
      </c>
      <c r="J557" t="s">
        <v>5287</v>
      </c>
      <c r="L557">
        <v>0</v>
      </c>
    </row>
    <row r="558" spans="1:12" x14ac:dyDescent="0.2">
      <c r="A558" t="s">
        <v>5098</v>
      </c>
      <c r="B558" t="s">
        <v>1705</v>
      </c>
      <c r="C558" t="s">
        <v>1714</v>
      </c>
      <c r="D558" t="s">
        <v>5303</v>
      </c>
      <c r="F558" t="s">
        <v>5304</v>
      </c>
      <c r="G558">
        <v>40.99</v>
      </c>
      <c r="H558" t="s">
        <v>529</v>
      </c>
      <c r="I558">
        <v>74.990000000000009</v>
      </c>
      <c r="J558" t="s">
        <v>5287</v>
      </c>
      <c r="L558">
        <v>0</v>
      </c>
    </row>
    <row r="559" spans="1:12" x14ac:dyDescent="0.2">
      <c r="A559" t="s">
        <v>5098</v>
      </c>
      <c r="B559" t="s">
        <v>5305</v>
      </c>
      <c r="C559" t="s">
        <v>4302</v>
      </c>
      <c r="D559" t="s">
        <v>4306</v>
      </c>
      <c r="F559" t="s">
        <v>5306</v>
      </c>
      <c r="G559">
        <v>16.989999999999998</v>
      </c>
      <c r="H559" t="s">
        <v>529</v>
      </c>
      <c r="I559">
        <v>29.990000000000002</v>
      </c>
      <c r="J559">
        <v>1</v>
      </c>
      <c r="L559">
        <v>0</v>
      </c>
    </row>
    <row r="560" spans="1:12" x14ac:dyDescent="0.2">
      <c r="A560" t="s">
        <v>5098</v>
      </c>
      <c r="B560" t="s">
        <v>5305</v>
      </c>
      <c r="C560" t="s">
        <v>4303</v>
      </c>
      <c r="D560" t="s">
        <v>4307</v>
      </c>
      <c r="F560" t="s">
        <v>5307</v>
      </c>
      <c r="G560">
        <v>16.989999999999998</v>
      </c>
      <c r="H560" t="s">
        <v>529</v>
      </c>
      <c r="I560">
        <v>29.990000000000002</v>
      </c>
      <c r="J560">
        <v>1</v>
      </c>
      <c r="L560">
        <v>0</v>
      </c>
    </row>
    <row r="561" spans="1:12" x14ac:dyDescent="0.2">
      <c r="A561" t="s">
        <v>5098</v>
      </c>
      <c r="B561" t="s">
        <v>5305</v>
      </c>
      <c r="C561" t="s">
        <v>5308</v>
      </c>
      <c r="D561" t="s">
        <v>4376</v>
      </c>
      <c r="F561" t="s">
        <v>3400</v>
      </c>
      <c r="G561">
        <v>16.989999999999998</v>
      </c>
      <c r="H561" t="s">
        <v>529</v>
      </c>
      <c r="I561">
        <v>29.990000000000002</v>
      </c>
      <c r="J561">
        <v>1</v>
      </c>
      <c r="L561">
        <v>0</v>
      </c>
    </row>
    <row r="562" spans="1:12" x14ac:dyDescent="0.2">
      <c r="A562" t="s">
        <v>5098</v>
      </c>
      <c r="B562" t="s">
        <v>5309</v>
      </c>
      <c r="C562" t="s">
        <v>2003</v>
      </c>
      <c r="D562" t="s">
        <v>5310</v>
      </c>
      <c r="F562" t="s">
        <v>2006</v>
      </c>
      <c r="G562">
        <v>83.990000000000009</v>
      </c>
      <c r="H562" t="s">
        <v>529</v>
      </c>
      <c r="I562">
        <v>149.99</v>
      </c>
      <c r="J562">
        <v>3</v>
      </c>
      <c r="L562">
        <v>0</v>
      </c>
    </row>
    <row r="563" spans="1:12" x14ac:dyDescent="0.2">
      <c r="A563" t="s">
        <v>5098</v>
      </c>
      <c r="B563" t="s">
        <v>5309</v>
      </c>
      <c r="C563" t="s">
        <v>2004</v>
      </c>
      <c r="D563" t="s">
        <v>5311</v>
      </c>
      <c r="F563" t="s">
        <v>2007</v>
      </c>
      <c r="G563">
        <v>78.990000000000009</v>
      </c>
      <c r="H563" t="s">
        <v>529</v>
      </c>
      <c r="I563">
        <v>139.99</v>
      </c>
      <c r="J563">
        <v>3</v>
      </c>
      <c r="L563">
        <v>0</v>
      </c>
    </row>
    <row r="564" spans="1:12" x14ac:dyDescent="0.2">
      <c r="A564" t="s">
        <v>5098</v>
      </c>
      <c r="B564" t="s">
        <v>5309</v>
      </c>
      <c r="C564" t="s">
        <v>2005</v>
      </c>
      <c r="D564" t="s">
        <v>5312</v>
      </c>
      <c r="F564" t="s">
        <v>2008</v>
      </c>
      <c r="G564">
        <v>78.990000000000009</v>
      </c>
      <c r="H564" t="s">
        <v>529</v>
      </c>
      <c r="I564">
        <v>139.99</v>
      </c>
      <c r="J564">
        <v>3</v>
      </c>
      <c r="L564">
        <v>0</v>
      </c>
    </row>
    <row r="565" spans="1:12" x14ac:dyDescent="0.2">
      <c r="A565" t="s">
        <v>5098</v>
      </c>
      <c r="B565" t="s">
        <v>5309</v>
      </c>
      <c r="C565" t="s">
        <v>2009</v>
      </c>
      <c r="D565" t="s">
        <v>5313</v>
      </c>
      <c r="F565" t="s">
        <v>2013</v>
      </c>
      <c r="G565">
        <v>33.99</v>
      </c>
      <c r="H565" t="s">
        <v>529</v>
      </c>
      <c r="I565">
        <v>59.99</v>
      </c>
      <c r="J565">
        <v>3</v>
      </c>
      <c r="L565">
        <v>0</v>
      </c>
    </row>
    <row r="566" spans="1:12" x14ac:dyDescent="0.2">
      <c r="A566" t="s">
        <v>5098</v>
      </c>
      <c r="B566" t="s">
        <v>5309</v>
      </c>
      <c r="C566" t="s">
        <v>2010</v>
      </c>
      <c r="D566" t="s">
        <v>5314</v>
      </c>
      <c r="F566" t="s">
        <v>2014</v>
      </c>
      <c r="G566">
        <v>65.990000000000009</v>
      </c>
      <c r="H566" t="s">
        <v>529</v>
      </c>
      <c r="I566">
        <v>119.99000000000001</v>
      </c>
      <c r="J566">
        <v>3</v>
      </c>
      <c r="L566">
        <v>0</v>
      </c>
    </row>
    <row r="567" spans="1:12" x14ac:dyDescent="0.2">
      <c r="A567" t="s">
        <v>5098</v>
      </c>
      <c r="B567" t="s">
        <v>5309</v>
      </c>
      <c r="C567" t="s">
        <v>2011</v>
      </c>
      <c r="D567" t="s">
        <v>5315</v>
      </c>
      <c r="F567" t="s">
        <v>2015</v>
      </c>
      <c r="G567">
        <v>83.990000000000009</v>
      </c>
      <c r="H567" t="s">
        <v>529</v>
      </c>
      <c r="I567">
        <v>149.99</v>
      </c>
      <c r="J567">
        <v>3</v>
      </c>
      <c r="L567">
        <v>0</v>
      </c>
    </row>
    <row r="568" spans="1:12" x14ac:dyDescent="0.2">
      <c r="A568" t="s">
        <v>5098</v>
      </c>
      <c r="B568" t="s">
        <v>5309</v>
      </c>
      <c r="C568" t="s">
        <v>2012</v>
      </c>
      <c r="D568" t="s">
        <v>5316</v>
      </c>
      <c r="F568" t="s">
        <v>2016</v>
      </c>
      <c r="G568">
        <v>78.990000000000009</v>
      </c>
      <c r="H568" t="s">
        <v>529</v>
      </c>
      <c r="I568">
        <v>139.99</v>
      </c>
      <c r="J568">
        <v>3</v>
      </c>
      <c r="L568">
        <v>0</v>
      </c>
    </row>
    <row r="569" spans="1:12" x14ac:dyDescent="0.2">
      <c r="A569" t="s">
        <v>5098</v>
      </c>
      <c r="B569" t="s">
        <v>5309</v>
      </c>
      <c r="C569" t="s">
        <v>2017</v>
      </c>
      <c r="D569" t="s">
        <v>5317</v>
      </c>
      <c r="F569" t="s">
        <v>2020</v>
      </c>
      <c r="G569">
        <v>78.990000000000009</v>
      </c>
      <c r="H569" t="s">
        <v>529</v>
      </c>
      <c r="I569">
        <v>139.99</v>
      </c>
      <c r="J569">
        <v>3</v>
      </c>
      <c r="L569">
        <v>0</v>
      </c>
    </row>
    <row r="570" spans="1:12" x14ac:dyDescent="0.2">
      <c r="A570" t="s">
        <v>5098</v>
      </c>
      <c r="B570" t="s">
        <v>5309</v>
      </c>
      <c r="C570" t="s">
        <v>2018</v>
      </c>
      <c r="D570" t="s">
        <v>5318</v>
      </c>
      <c r="F570" t="s">
        <v>2021</v>
      </c>
      <c r="G570">
        <v>33.99</v>
      </c>
      <c r="H570" t="s">
        <v>529</v>
      </c>
      <c r="I570">
        <v>59.99</v>
      </c>
      <c r="J570">
        <v>3</v>
      </c>
      <c r="L570">
        <v>0</v>
      </c>
    </row>
    <row r="571" spans="1:12" x14ac:dyDescent="0.2">
      <c r="A571" t="s">
        <v>5098</v>
      </c>
      <c r="B571" t="s">
        <v>5309</v>
      </c>
      <c r="C571" t="s">
        <v>2019</v>
      </c>
      <c r="D571" t="s">
        <v>5319</v>
      </c>
      <c r="F571" t="s">
        <v>2022</v>
      </c>
      <c r="G571">
        <v>65.990000000000009</v>
      </c>
      <c r="H571" t="s">
        <v>529</v>
      </c>
      <c r="I571">
        <v>119.99000000000001</v>
      </c>
      <c r="J571">
        <v>3</v>
      </c>
      <c r="L571">
        <v>0</v>
      </c>
    </row>
    <row r="572" spans="1:12" x14ac:dyDescent="0.2">
      <c r="A572" t="s">
        <v>5098</v>
      </c>
      <c r="B572" t="s">
        <v>5309</v>
      </c>
      <c r="C572" t="s">
        <v>2023</v>
      </c>
      <c r="D572" t="s">
        <v>5320</v>
      </c>
      <c r="F572" t="s">
        <v>2025</v>
      </c>
      <c r="G572">
        <v>167.99</v>
      </c>
      <c r="H572" t="s">
        <v>529</v>
      </c>
      <c r="I572">
        <v>299.99</v>
      </c>
      <c r="J572">
        <v>9</v>
      </c>
      <c r="L572">
        <v>0</v>
      </c>
    </row>
    <row r="573" spans="1:12" x14ac:dyDescent="0.2">
      <c r="A573" t="s">
        <v>5098</v>
      </c>
      <c r="B573" t="s">
        <v>5309</v>
      </c>
      <c r="C573" t="s">
        <v>2024</v>
      </c>
      <c r="D573" t="s">
        <v>5321</v>
      </c>
      <c r="F573" t="s">
        <v>2026</v>
      </c>
      <c r="G573">
        <v>167.99</v>
      </c>
      <c r="H573" t="s">
        <v>529</v>
      </c>
      <c r="I573">
        <v>299.99</v>
      </c>
      <c r="J573">
        <v>9</v>
      </c>
      <c r="L573">
        <v>0</v>
      </c>
    </row>
    <row r="574" spans="1:12" x14ac:dyDescent="0.2">
      <c r="A574" t="s">
        <v>5098</v>
      </c>
      <c r="B574" t="s">
        <v>5309</v>
      </c>
      <c r="C574" t="s">
        <v>5322</v>
      </c>
      <c r="D574" t="s">
        <v>5323</v>
      </c>
      <c r="F574" t="s">
        <v>5324</v>
      </c>
      <c r="G574">
        <v>78.990000000000009</v>
      </c>
      <c r="H574" t="s">
        <v>529</v>
      </c>
      <c r="I574">
        <v>139.99</v>
      </c>
      <c r="J574">
        <v>3</v>
      </c>
      <c r="L574">
        <v>0</v>
      </c>
    </row>
    <row r="575" spans="1:12" x14ac:dyDescent="0.2">
      <c r="A575" t="s">
        <v>5098</v>
      </c>
      <c r="B575" t="s">
        <v>5309</v>
      </c>
      <c r="C575" t="s">
        <v>5325</v>
      </c>
      <c r="D575" t="s">
        <v>5326</v>
      </c>
      <c r="F575" t="s">
        <v>5327</v>
      </c>
      <c r="G575">
        <v>78.990000000000009</v>
      </c>
      <c r="H575" t="s">
        <v>529</v>
      </c>
      <c r="I575">
        <v>139.99</v>
      </c>
      <c r="J575">
        <v>3</v>
      </c>
      <c r="L575">
        <v>0</v>
      </c>
    </row>
    <row r="576" spans="1:12" x14ac:dyDescent="0.2">
      <c r="A576" t="s">
        <v>5098</v>
      </c>
      <c r="B576" t="s">
        <v>5328</v>
      </c>
      <c r="C576" t="s">
        <v>1677</v>
      </c>
      <c r="D576" t="s">
        <v>5329</v>
      </c>
      <c r="F576" t="s">
        <v>5330</v>
      </c>
      <c r="G576">
        <v>14.99</v>
      </c>
      <c r="H576" t="s">
        <v>529</v>
      </c>
      <c r="I576">
        <v>27.990000000000002</v>
      </c>
      <c r="J576">
        <v>10</v>
      </c>
      <c r="L576">
        <v>0</v>
      </c>
    </row>
    <row r="577" spans="1:12" x14ac:dyDescent="0.2">
      <c r="A577" t="s">
        <v>5098</v>
      </c>
      <c r="B577" t="s">
        <v>5328</v>
      </c>
      <c r="C577" t="s">
        <v>1676</v>
      </c>
      <c r="D577" t="s">
        <v>5331</v>
      </c>
      <c r="F577" t="s">
        <v>1912</v>
      </c>
      <c r="G577">
        <v>13.99</v>
      </c>
      <c r="H577" t="s">
        <v>529</v>
      </c>
      <c r="I577">
        <v>24.990000000000002</v>
      </c>
      <c r="J577">
        <v>10</v>
      </c>
      <c r="L577">
        <v>0</v>
      </c>
    </row>
    <row r="578" spans="1:12" x14ac:dyDescent="0.2">
      <c r="A578" t="s">
        <v>5098</v>
      </c>
      <c r="B578" t="s">
        <v>5328</v>
      </c>
      <c r="C578" t="s">
        <v>1991</v>
      </c>
      <c r="D578" t="s">
        <v>5332</v>
      </c>
      <c r="F578" t="s">
        <v>1999</v>
      </c>
      <c r="G578">
        <v>12.99</v>
      </c>
      <c r="H578" t="s">
        <v>529</v>
      </c>
      <c r="I578">
        <v>22.99</v>
      </c>
      <c r="J578">
        <v>10</v>
      </c>
      <c r="L578">
        <v>0</v>
      </c>
    </row>
    <row r="579" spans="1:12" x14ac:dyDescent="0.2">
      <c r="A579" t="s">
        <v>5098</v>
      </c>
      <c r="B579" t="s">
        <v>5328</v>
      </c>
      <c r="C579" t="s">
        <v>1992</v>
      </c>
      <c r="D579" t="s">
        <v>5333</v>
      </c>
      <c r="F579" t="s">
        <v>2000</v>
      </c>
      <c r="G579">
        <v>12.99</v>
      </c>
      <c r="H579" t="s">
        <v>529</v>
      </c>
      <c r="I579">
        <v>22.99</v>
      </c>
      <c r="J579">
        <v>10</v>
      </c>
      <c r="L579">
        <v>0</v>
      </c>
    </row>
    <row r="580" spans="1:12" x14ac:dyDescent="0.2">
      <c r="A580" t="s">
        <v>5098</v>
      </c>
      <c r="B580" t="s">
        <v>5328</v>
      </c>
      <c r="C580" t="s">
        <v>1993</v>
      </c>
      <c r="D580" t="s">
        <v>5334</v>
      </c>
      <c r="F580" t="s">
        <v>2001</v>
      </c>
      <c r="G580">
        <v>13.99</v>
      </c>
      <c r="H580" t="s">
        <v>529</v>
      </c>
      <c r="I580">
        <v>24.990000000000002</v>
      </c>
      <c r="J580">
        <v>10</v>
      </c>
      <c r="L580">
        <v>0</v>
      </c>
    </row>
    <row r="581" spans="1:12" x14ac:dyDescent="0.2">
      <c r="A581" t="s">
        <v>5098</v>
      </c>
      <c r="B581" t="s">
        <v>5328</v>
      </c>
      <c r="C581" t="s">
        <v>1994</v>
      </c>
      <c r="D581" t="s">
        <v>5335</v>
      </c>
      <c r="F581" t="s">
        <v>2002</v>
      </c>
      <c r="G581">
        <v>18.989999999999998</v>
      </c>
      <c r="H581" t="s">
        <v>529</v>
      </c>
      <c r="I581">
        <v>34.99</v>
      </c>
      <c r="J581">
        <v>10</v>
      </c>
      <c r="L581">
        <v>0</v>
      </c>
    </row>
    <row r="582" spans="1:12" x14ac:dyDescent="0.2">
      <c r="A582" t="s">
        <v>5098</v>
      </c>
      <c r="B582" t="s">
        <v>5336</v>
      </c>
      <c r="C582" t="s">
        <v>1665</v>
      </c>
      <c r="D582" t="s">
        <v>1670</v>
      </c>
      <c r="F582" t="s">
        <v>1734</v>
      </c>
      <c r="G582">
        <v>14.99</v>
      </c>
      <c r="H582" t="s">
        <v>529</v>
      </c>
      <c r="I582">
        <v>24.990000000000002</v>
      </c>
      <c r="J582">
        <v>10</v>
      </c>
      <c r="L582">
        <v>0</v>
      </c>
    </row>
    <row r="583" spans="1:12" x14ac:dyDescent="0.2">
      <c r="A583" t="s">
        <v>5098</v>
      </c>
      <c r="B583" t="s">
        <v>5336</v>
      </c>
      <c r="C583" t="s">
        <v>1664</v>
      </c>
      <c r="D583" t="s">
        <v>1669</v>
      </c>
      <c r="F583" t="s">
        <v>1733</v>
      </c>
      <c r="G583">
        <v>14.99</v>
      </c>
      <c r="H583" t="s">
        <v>529</v>
      </c>
      <c r="I583">
        <v>24.990000000000002</v>
      </c>
      <c r="J583">
        <v>10</v>
      </c>
      <c r="L583">
        <v>0</v>
      </c>
    </row>
    <row r="584" spans="1:12" x14ac:dyDescent="0.2">
      <c r="A584" t="s">
        <v>5098</v>
      </c>
      <c r="B584" t="s">
        <v>5336</v>
      </c>
      <c r="C584" t="s">
        <v>1663</v>
      </c>
      <c r="D584" t="s">
        <v>1668</v>
      </c>
      <c r="F584" t="s">
        <v>1732</v>
      </c>
      <c r="G584">
        <v>32.99</v>
      </c>
      <c r="H584" t="s">
        <v>529</v>
      </c>
      <c r="I584">
        <v>59.99</v>
      </c>
      <c r="J584">
        <v>10</v>
      </c>
      <c r="L584">
        <v>0</v>
      </c>
    </row>
    <row r="585" spans="1:12" x14ac:dyDescent="0.2">
      <c r="A585" t="s">
        <v>5098</v>
      </c>
      <c r="B585" t="s">
        <v>5336</v>
      </c>
      <c r="C585" t="s">
        <v>1662</v>
      </c>
      <c r="D585" t="s">
        <v>1667</v>
      </c>
      <c r="F585" t="s">
        <v>1731</v>
      </c>
      <c r="G585">
        <v>39.99</v>
      </c>
      <c r="H585" t="s">
        <v>529</v>
      </c>
      <c r="I585">
        <v>69.990000000000009</v>
      </c>
      <c r="J585">
        <v>10</v>
      </c>
      <c r="L585">
        <v>0</v>
      </c>
    </row>
    <row r="586" spans="1:12" x14ac:dyDescent="0.2">
      <c r="A586" t="s">
        <v>5098</v>
      </c>
      <c r="B586" t="s">
        <v>5336</v>
      </c>
      <c r="C586" t="s">
        <v>2058</v>
      </c>
      <c r="D586" t="s">
        <v>5337</v>
      </c>
      <c r="F586" t="s">
        <v>5338</v>
      </c>
      <c r="G586">
        <v>27.990000000000002</v>
      </c>
      <c r="H586" t="s">
        <v>529</v>
      </c>
      <c r="I586">
        <v>49.99</v>
      </c>
      <c r="J586">
        <v>10</v>
      </c>
      <c r="L586">
        <v>0</v>
      </c>
    </row>
    <row r="587" spans="1:12" x14ac:dyDescent="0.2">
      <c r="A587" t="s">
        <v>5098</v>
      </c>
      <c r="B587" t="s">
        <v>5336</v>
      </c>
      <c r="C587" t="s">
        <v>2057</v>
      </c>
      <c r="D587" t="s">
        <v>5339</v>
      </c>
      <c r="F587" t="s">
        <v>5340</v>
      </c>
      <c r="G587">
        <v>23.990000000000002</v>
      </c>
      <c r="H587" t="s">
        <v>529</v>
      </c>
      <c r="I587">
        <v>44.99</v>
      </c>
      <c r="J587">
        <v>10</v>
      </c>
      <c r="L587">
        <v>0</v>
      </c>
    </row>
    <row r="588" spans="1:12" x14ac:dyDescent="0.2">
      <c r="A588" t="s">
        <v>5098</v>
      </c>
      <c r="B588" t="s">
        <v>5336</v>
      </c>
      <c r="C588" t="s">
        <v>2061</v>
      </c>
      <c r="D588" t="s">
        <v>5341</v>
      </c>
      <c r="F588" t="s">
        <v>5342</v>
      </c>
      <c r="G588">
        <v>35.99</v>
      </c>
      <c r="H588" t="s">
        <v>529</v>
      </c>
      <c r="I588">
        <v>64.990000000000009</v>
      </c>
      <c r="J588">
        <v>10</v>
      </c>
      <c r="L588">
        <v>0</v>
      </c>
    </row>
    <row r="589" spans="1:12" x14ac:dyDescent="0.2">
      <c r="A589" t="s">
        <v>5098</v>
      </c>
      <c r="B589" t="s">
        <v>5336</v>
      </c>
      <c r="C589" t="s">
        <v>2062</v>
      </c>
      <c r="D589" t="s">
        <v>5343</v>
      </c>
      <c r="F589" t="s">
        <v>5344</v>
      </c>
      <c r="G589">
        <v>40.99</v>
      </c>
      <c r="H589" t="s">
        <v>529</v>
      </c>
      <c r="I589">
        <v>74.990000000000009</v>
      </c>
      <c r="J589">
        <v>10</v>
      </c>
      <c r="L589">
        <v>0</v>
      </c>
    </row>
    <row r="590" spans="1:12" x14ac:dyDescent="0.2">
      <c r="A590" t="s">
        <v>5098</v>
      </c>
      <c r="B590" t="s">
        <v>5336</v>
      </c>
      <c r="C590" t="s">
        <v>3352</v>
      </c>
      <c r="D590" t="s">
        <v>5345</v>
      </c>
      <c r="F590" t="s">
        <v>5346</v>
      </c>
      <c r="G590">
        <v>12.99</v>
      </c>
      <c r="H590" t="s">
        <v>529</v>
      </c>
      <c r="I590">
        <v>22.99</v>
      </c>
      <c r="J590">
        <v>10</v>
      </c>
      <c r="L590">
        <v>0</v>
      </c>
    </row>
    <row r="591" spans="1:12" x14ac:dyDescent="0.2">
      <c r="A591" t="s">
        <v>5098</v>
      </c>
      <c r="B591" t="s">
        <v>5336</v>
      </c>
      <c r="C591" t="s">
        <v>3354</v>
      </c>
      <c r="D591" t="s">
        <v>5347</v>
      </c>
      <c r="F591" t="s">
        <v>5348</v>
      </c>
      <c r="G591">
        <v>16.989999999999998</v>
      </c>
      <c r="H591" t="s">
        <v>529</v>
      </c>
      <c r="I591">
        <v>29.990000000000002</v>
      </c>
      <c r="J591">
        <v>10</v>
      </c>
      <c r="L591">
        <v>0</v>
      </c>
    </row>
    <row r="592" spans="1:12" x14ac:dyDescent="0.2">
      <c r="A592" t="s">
        <v>5098</v>
      </c>
      <c r="B592" t="s">
        <v>5336</v>
      </c>
      <c r="C592" t="s">
        <v>1666</v>
      </c>
      <c r="D592" t="s">
        <v>1671</v>
      </c>
      <c r="F592" t="s">
        <v>1735</v>
      </c>
      <c r="G592">
        <v>32.99</v>
      </c>
      <c r="H592" t="s">
        <v>529</v>
      </c>
      <c r="I592">
        <v>59.99</v>
      </c>
      <c r="J592">
        <v>10</v>
      </c>
      <c r="L592">
        <v>0</v>
      </c>
    </row>
    <row r="593" spans="1:12" x14ac:dyDescent="0.2">
      <c r="A593" t="s">
        <v>5098</v>
      </c>
      <c r="B593" t="s">
        <v>5336</v>
      </c>
      <c r="C593" t="s">
        <v>3356</v>
      </c>
      <c r="D593" t="s">
        <v>5349</v>
      </c>
      <c r="F593" t="s">
        <v>5350</v>
      </c>
      <c r="G593">
        <v>18.989999999999998</v>
      </c>
      <c r="H593" t="s">
        <v>529</v>
      </c>
      <c r="I593">
        <v>34.99</v>
      </c>
      <c r="J593">
        <v>10</v>
      </c>
      <c r="L593">
        <v>0</v>
      </c>
    </row>
    <row r="594" spans="1:12" x14ac:dyDescent="0.2">
      <c r="A594" t="s">
        <v>5098</v>
      </c>
      <c r="B594" t="s">
        <v>5336</v>
      </c>
      <c r="C594" t="s">
        <v>1641</v>
      </c>
      <c r="D594" t="s">
        <v>1656</v>
      </c>
      <c r="F594" t="s">
        <v>1828</v>
      </c>
      <c r="G594">
        <v>9.99</v>
      </c>
      <c r="H594" t="s">
        <v>529</v>
      </c>
      <c r="I594">
        <v>19.989999999999998</v>
      </c>
      <c r="J594">
        <v>10</v>
      </c>
      <c r="L594">
        <v>0</v>
      </c>
    </row>
    <row r="595" spans="1:12" x14ac:dyDescent="0.2">
      <c r="A595" t="s">
        <v>5098</v>
      </c>
      <c r="B595" t="s">
        <v>5336</v>
      </c>
      <c r="C595" t="s">
        <v>1637</v>
      </c>
      <c r="D595" t="s">
        <v>5351</v>
      </c>
      <c r="F595" t="s">
        <v>1717</v>
      </c>
      <c r="G595">
        <v>20.99</v>
      </c>
      <c r="H595" t="s">
        <v>529</v>
      </c>
      <c r="I595">
        <v>39.99</v>
      </c>
      <c r="J595">
        <v>10</v>
      </c>
      <c r="L595">
        <v>0</v>
      </c>
    </row>
    <row r="596" spans="1:12" x14ac:dyDescent="0.2">
      <c r="A596" t="s">
        <v>5098</v>
      </c>
      <c r="B596" t="s">
        <v>5336</v>
      </c>
      <c r="C596" t="s">
        <v>1644</v>
      </c>
      <c r="D596" t="s">
        <v>5352</v>
      </c>
      <c r="F596" t="s">
        <v>1720</v>
      </c>
      <c r="G596">
        <v>33.99</v>
      </c>
      <c r="H596" t="s">
        <v>529</v>
      </c>
      <c r="I596">
        <v>59.99</v>
      </c>
      <c r="J596">
        <v>10</v>
      </c>
      <c r="L596">
        <v>0</v>
      </c>
    </row>
    <row r="597" spans="1:12" x14ac:dyDescent="0.2">
      <c r="A597" t="s">
        <v>5098</v>
      </c>
      <c r="B597" t="s">
        <v>5336</v>
      </c>
      <c r="C597" t="s">
        <v>1643</v>
      </c>
      <c r="D597" t="s">
        <v>5353</v>
      </c>
      <c r="F597" t="s">
        <v>1719</v>
      </c>
      <c r="G597">
        <v>20.99</v>
      </c>
      <c r="H597" t="s">
        <v>529</v>
      </c>
      <c r="I597">
        <v>39.99</v>
      </c>
      <c r="J597">
        <v>10</v>
      </c>
      <c r="L597">
        <v>0</v>
      </c>
    </row>
    <row r="598" spans="1:12" x14ac:dyDescent="0.2">
      <c r="A598" t="s">
        <v>5098</v>
      </c>
      <c r="B598" t="s">
        <v>5336</v>
      </c>
      <c r="C598" t="s">
        <v>1639</v>
      </c>
      <c r="D598" t="s">
        <v>5354</v>
      </c>
      <c r="F598" t="s">
        <v>5355</v>
      </c>
      <c r="G598">
        <v>39.99</v>
      </c>
      <c r="H598" t="s">
        <v>529</v>
      </c>
      <c r="I598">
        <v>79.990000000000009</v>
      </c>
      <c r="J598">
        <v>10</v>
      </c>
      <c r="L598">
        <v>0</v>
      </c>
    </row>
    <row r="599" spans="1:12" x14ac:dyDescent="0.2">
      <c r="A599" t="s">
        <v>5098</v>
      </c>
      <c r="B599" t="s">
        <v>5336</v>
      </c>
      <c r="C599" t="s">
        <v>2056</v>
      </c>
      <c r="D599" t="s">
        <v>5356</v>
      </c>
      <c r="F599" t="s">
        <v>5357</v>
      </c>
      <c r="G599">
        <v>18.989999999999998</v>
      </c>
      <c r="H599" t="s">
        <v>529</v>
      </c>
      <c r="I599">
        <v>34.99</v>
      </c>
      <c r="J599">
        <v>10</v>
      </c>
      <c r="L599">
        <v>0</v>
      </c>
    </row>
    <row r="600" spans="1:12" x14ac:dyDescent="0.2">
      <c r="A600" t="s">
        <v>5098</v>
      </c>
      <c r="B600" t="s">
        <v>5336</v>
      </c>
      <c r="C600" t="s">
        <v>2059</v>
      </c>
      <c r="D600" t="s">
        <v>5358</v>
      </c>
      <c r="F600" t="s">
        <v>5359</v>
      </c>
      <c r="G600">
        <v>20.99</v>
      </c>
      <c r="H600" t="s">
        <v>529</v>
      </c>
      <c r="I600">
        <v>39.99</v>
      </c>
      <c r="J600">
        <v>10</v>
      </c>
      <c r="L600">
        <v>0</v>
      </c>
    </row>
    <row r="601" spans="1:12" x14ac:dyDescent="0.2">
      <c r="A601" t="s">
        <v>5098</v>
      </c>
      <c r="B601" t="s">
        <v>5336</v>
      </c>
      <c r="C601" t="s">
        <v>1638</v>
      </c>
      <c r="D601" t="s">
        <v>5360</v>
      </c>
      <c r="F601" t="s">
        <v>5361</v>
      </c>
      <c r="G601">
        <v>19.989999999999998</v>
      </c>
      <c r="H601" t="s">
        <v>529</v>
      </c>
      <c r="I601">
        <v>39.99</v>
      </c>
      <c r="J601">
        <v>10</v>
      </c>
      <c r="L601">
        <v>0</v>
      </c>
    </row>
    <row r="602" spans="1:12" x14ac:dyDescent="0.2">
      <c r="A602" t="s">
        <v>5098</v>
      </c>
      <c r="B602" t="s">
        <v>5336</v>
      </c>
      <c r="C602" t="s">
        <v>3361</v>
      </c>
      <c r="D602" t="s">
        <v>5362</v>
      </c>
      <c r="F602" t="s">
        <v>5363</v>
      </c>
      <c r="G602">
        <v>13.99</v>
      </c>
      <c r="H602" t="s">
        <v>529</v>
      </c>
      <c r="I602">
        <v>24.990000000000002</v>
      </c>
      <c r="J602">
        <v>10</v>
      </c>
      <c r="L602">
        <v>0</v>
      </c>
    </row>
    <row r="603" spans="1:12" x14ac:dyDescent="0.2">
      <c r="A603" t="s">
        <v>5098</v>
      </c>
      <c r="B603" t="s">
        <v>5336</v>
      </c>
      <c r="C603" t="s">
        <v>2060</v>
      </c>
      <c r="D603" t="s">
        <v>5364</v>
      </c>
      <c r="F603" t="s">
        <v>5365</v>
      </c>
      <c r="G603">
        <v>20.99</v>
      </c>
      <c r="H603" t="s">
        <v>529</v>
      </c>
      <c r="I603">
        <v>39.99</v>
      </c>
      <c r="J603">
        <v>10</v>
      </c>
      <c r="L603">
        <v>0</v>
      </c>
    </row>
    <row r="604" spans="1:12" x14ac:dyDescent="0.2">
      <c r="A604" t="s">
        <v>5098</v>
      </c>
      <c r="B604" t="s">
        <v>5336</v>
      </c>
      <c r="C604" t="s">
        <v>2051</v>
      </c>
      <c r="D604" t="s">
        <v>5366</v>
      </c>
      <c r="F604" t="s">
        <v>5367</v>
      </c>
      <c r="G604">
        <v>14.99</v>
      </c>
      <c r="H604" t="s">
        <v>529</v>
      </c>
      <c r="I604">
        <v>27.990000000000002</v>
      </c>
      <c r="J604">
        <v>10</v>
      </c>
      <c r="L604">
        <v>0</v>
      </c>
    </row>
    <row r="605" spans="1:12" x14ac:dyDescent="0.2">
      <c r="A605" t="s">
        <v>5098</v>
      </c>
      <c r="B605" t="s">
        <v>5336</v>
      </c>
      <c r="C605" t="s">
        <v>2055</v>
      </c>
      <c r="D605" t="s">
        <v>5368</v>
      </c>
      <c r="F605" t="s">
        <v>5369</v>
      </c>
      <c r="G605">
        <v>15.99</v>
      </c>
      <c r="H605" t="s">
        <v>529</v>
      </c>
      <c r="I605">
        <v>29.990000000000002</v>
      </c>
      <c r="J605">
        <v>10</v>
      </c>
      <c r="L605">
        <v>0</v>
      </c>
    </row>
    <row r="606" spans="1:12" x14ac:dyDescent="0.2">
      <c r="A606" t="s">
        <v>5098</v>
      </c>
      <c r="B606" t="s">
        <v>5336</v>
      </c>
      <c r="C606" t="s">
        <v>1647</v>
      </c>
      <c r="D606" t="s">
        <v>5370</v>
      </c>
      <c r="F606" t="s">
        <v>1722</v>
      </c>
      <c r="G606">
        <v>20.99</v>
      </c>
      <c r="H606" t="s">
        <v>529</v>
      </c>
      <c r="I606">
        <v>39.99</v>
      </c>
      <c r="J606">
        <v>10</v>
      </c>
      <c r="L606">
        <v>0</v>
      </c>
    </row>
    <row r="607" spans="1:12" x14ac:dyDescent="0.2">
      <c r="A607" t="s">
        <v>5098</v>
      </c>
      <c r="B607" t="s">
        <v>5336</v>
      </c>
      <c r="C607" t="s">
        <v>1650</v>
      </c>
      <c r="D607" t="s">
        <v>5371</v>
      </c>
      <c r="F607" t="s">
        <v>1726</v>
      </c>
      <c r="G607">
        <v>23.990000000000002</v>
      </c>
      <c r="H607" t="s">
        <v>529</v>
      </c>
      <c r="I607">
        <v>44.99</v>
      </c>
      <c r="J607">
        <v>10</v>
      </c>
      <c r="L607">
        <v>0</v>
      </c>
    </row>
    <row r="608" spans="1:12" x14ac:dyDescent="0.2">
      <c r="A608" t="s">
        <v>5098</v>
      </c>
      <c r="B608" t="s">
        <v>5336</v>
      </c>
      <c r="C608" t="s">
        <v>1645</v>
      </c>
      <c r="D608" t="s">
        <v>5372</v>
      </c>
      <c r="F608" t="s">
        <v>3475</v>
      </c>
      <c r="G608">
        <v>23.990000000000002</v>
      </c>
      <c r="H608" t="s">
        <v>529</v>
      </c>
      <c r="I608">
        <v>44.99</v>
      </c>
      <c r="J608">
        <v>10</v>
      </c>
      <c r="L608">
        <v>0</v>
      </c>
    </row>
    <row r="609" spans="1:12" x14ac:dyDescent="0.2">
      <c r="A609" t="s">
        <v>5098</v>
      </c>
      <c r="B609" t="s">
        <v>5336</v>
      </c>
      <c r="C609" t="s">
        <v>1642</v>
      </c>
      <c r="D609" t="s">
        <v>5373</v>
      </c>
      <c r="F609" t="s">
        <v>3465</v>
      </c>
      <c r="G609">
        <v>14.99</v>
      </c>
      <c r="H609" t="s">
        <v>529</v>
      </c>
      <c r="I609">
        <v>27.990000000000002</v>
      </c>
      <c r="J609">
        <v>10</v>
      </c>
      <c r="L609">
        <v>0</v>
      </c>
    </row>
    <row r="610" spans="1:12" x14ac:dyDescent="0.2">
      <c r="A610" t="s">
        <v>5098</v>
      </c>
      <c r="B610" t="s">
        <v>5336</v>
      </c>
      <c r="C610" t="s">
        <v>1646</v>
      </c>
      <c r="D610" t="s">
        <v>5374</v>
      </c>
      <c r="F610" t="s">
        <v>1721</v>
      </c>
      <c r="G610">
        <v>18.989999999999998</v>
      </c>
      <c r="H610" t="s">
        <v>529</v>
      </c>
      <c r="I610">
        <v>34.99</v>
      </c>
      <c r="J610">
        <v>10</v>
      </c>
      <c r="L610">
        <v>0</v>
      </c>
    </row>
    <row r="611" spans="1:12" x14ac:dyDescent="0.2">
      <c r="A611" t="s">
        <v>5098</v>
      </c>
      <c r="B611" t="s">
        <v>5336</v>
      </c>
      <c r="C611" t="s">
        <v>2054</v>
      </c>
      <c r="D611" t="s">
        <v>5375</v>
      </c>
      <c r="F611" t="s">
        <v>5376</v>
      </c>
      <c r="G611">
        <v>23.990000000000002</v>
      </c>
      <c r="H611" t="s">
        <v>529</v>
      </c>
      <c r="I611">
        <v>44.99</v>
      </c>
      <c r="J611">
        <v>10</v>
      </c>
      <c r="L611">
        <v>0</v>
      </c>
    </row>
    <row r="612" spans="1:12" x14ac:dyDescent="0.2">
      <c r="A612" t="s">
        <v>5098</v>
      </c>
      <c r="B612" t="s">
        <v>5336</v>
      </c>
      <c r="C612" t="s">
        <v>1648</v>
      </c>
      <c r="D612" t="s">
        <v>5377</v>
      </c>
      <c r="F612" t="s">
        <v>1723</v>
      </c>
      <c r="G612">
        <v>20.99</v>
      </c>
      <c r="H612" t="s">
        <v>529</v>
      </c>
      <c r="I612">
        <v>39.99</v>
      </c>
      <c r="J612">
        <v>10</v>
      </c>
      <c r="L612">
        <v>0</v>
      </c>
    </row>
    <row r="613" spans="1:12" x14ac:dyDescent="0.2">
      <c r="A613" t="s">
        <v>5098</v>
      </c>
      <c r="B613" t="s">
        <v>5336</v>
      </c>
      <c r="C613" t="s">
        <v>1649</v>
      </c>
      <c r="D613" t="s">
        <v>5378</v>
      </c>
      <c r="F613" t="s">
        <v>1724</v>
      </c>
      <c r="G613">
        <v>18.989999999999998</v>
      </c>
      <c r="H613" t="s">
        <v>529</v>
      </c>
      <c r="I613">
        <v>34.99</v>
      </c>
      <c r="J613">
        <v>10</v>
      </c>
      <c r="L613">
        <v>0</v>
      </c>
    </row>
    <row r="614" spans="1:12" x14ac:dyDescent="0.2">
      <c r="A614" t="s">
        <v>5098</v>
      </c>
      <c r="B614" t="s">
        <v>5336</v>
      </c>
      <c r="C614" t="s">
        <v>1640</v>
      </c>
      <c r="D614" t="s">
        <v>5379</v>
      </c>
      <c r="F614" t="s">
        <v>1718</v>
      </c>
      <c r="G614">
        <v>18.989999999999998</v>
      </c>
      <c r="H614" t="s">
        <v>529</v>
      </c>
      <c r="I614">
        <v>34.99</v>
      </c>
      <c r="J614">
        <v>10</v>
      </c>
      <c r="L614">
        <v>0</v>
      </c>
    </row>
    <row r="615" spans="1:12" x14ac:dyDescent="0.2">
      <c r="A615" t="s">
        <v>5098</v>
      </c>
      <c r="B615" t="s">
        <v>5336</v>
      </c>
      <c r="C615" t="s">
        <v>3359</v>
      </c>
      <c r="D615" t="s">
        <v>5380</v>
      </c>
      <c r="F615" t="s">
        <v>5381</v>
      </c>
      <c r="G615">
        <v>15.99</v>
      </c>
      <c r="H615" t="s">
        <v>529</v>
      </c>
      <c r="I615">
        <v>29.990000000000002</v>
      </c>
      <c r="J615">
        <v>10</v>
      </c>
      <c r="L615">
        <v>0</v>
      </c>
    </row>
    <row r="616" spans="1:12" x14ac:dyDescent="0.2">
      <c r="A616" t="s">
        <v>5098</v>
      </c>
      <c r="B616" t="s">
        <v>5336</v>
      </c>
      <c r="C616" t="s">
        <v>1543</v>
      </c>
      <c r="D616" t="s">
        <v>5382</v>
      </c>
      <c r="F616" t="s">
        <v>1725</v>
      </c>
      <c r="G616">
        <v>20.99</v>
      </c>
      <c r="H616" t="s">
        <v>529</v>
      </c>
      <c r="I616">
        <v>39.99</v>
      </c>
      <c r="J616">
        <v>10</v>
      </c>
      <c r="L616">
        <v>0</v>
      </c>
    </row>
    <row r="617" spans="1:12" x14ac:dyDescent="0.2">
      <c r="A617" t="s">
        <v>5098</v>
      </c>
      <c r="B617" t="s">
        <v>5336</v>
      </c>
      <c r="C617" t="s">
        <v>1652</v>
      </c>
      <c r="D617" t="s">
        <v>5383</v>
      </c>
      <c r="F617" t="s">
        <v>5384</v>
      </c>
      <c r="G617">
        <v>20.99</v>
      </c>
      <c r="H617" t="s">
        <v>529</v>
      </c>
      <c r="I617">
        <v>39.99</v>
      </c>
      <c r="J617">
        <v>10</v>
      </c>
      <c r="L617">
        <v>0</v>
      </c>
    </row>
    <row r="618" spans="1:12" x14ac:dyDescent="0.2">
      <c r="A618" t="s">
        <v>5098</v>
      </c>
      <c r="B618" t="s">
        <v>5336</v>
      </c>
      <c r="C618" t="s">
        <v>1653</v>
      </c>
      <c r="D618" t="s">
        <v>5385</v>
      </c>
      <c r="F618" t="s">
        <v>1728</v>
      </c>
      <c r="G618">
        <v>20.99</v>
      </c>
      <c r="H618" t="s">
        <v>529</v>
      </c>
      <c r="I618">
        <v>39.99</v>
      </c>
      <c r="J618">
        <v>10</v>
      </c>
      <c r="L618">
        <v>0</v>
      </c>
    </row>
    <row r="619" spans="1:12" x14ac:dyDescent="0.2">
      <c r="A619" t="s">
        <v>5098</v>
      </c>
      <c r="B619" t="s">
        <v>5336</v>
      </c>
      <c r="C619" t="s">
        <v>1651</v>
      </c>
      <c r="D619" t="s">
        <v>1830</v>
      </c>
      <c r="F619" t="s">
        <v>1727</v>
      </c>
      <c r="G619">
        <v>30.990000000000002</v>
      </c>
      <c r="H619" t="s">
        <v>529</v>
      </c>
      <c r="I619">
        <v>59.99</v>
      </c>
      <c r="J619">
        <v>10</v>
      </c>
      <c r="L619">
        <v>0</v>
      </c>
    </row>
    <row r="620" spans="1:12" x14ac:dyDescent="0.2">
      <c r="A620" t="s">
        <v>5098</v>
      </c>
      <c r="B620" t="s">
        <v>5336</v>
      </c>
      <c r="C620" t="s">
        <v>1655</v>
      </c>
      <c r="D620" t="s">
        <v>5386</v>
      </c>
      <c r="F620" t="s">
        <v>1730</v>
      </c>
      <c r="G620">
        <v>23.990000000000002</v>
      </c>
      <c r="H620" t="s">
        <v>529</v>
      </c>
      <c r="I620">
        <v>44.99</v>
      </c>
      <c r="J620">
        <v>10</v>
      </c>
      <c r="L620">
        <v>0</v>
      </c>
    </row>
    <row r="621" spans="1:12" x14ac:dyDescent="0.2">
      <c r="H621" t="s">
        <v>5387</v>
      </c>
      <c r="K62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239"/>
  <sheetViews>
    <sheetView zoomScaleNormal="100" workbookViewId="0">
      <pane xSplit="6" ySplit="2" topLeftCell="L66" activePane="bottomRight" state="frozenSplit"/>
      <selection pane="topRight" activeCell="F1" sqref="F1"/>
      <selection pane="bottomLeft"/>
      <selection pane="bottomRight" activeCell="N1" sqref="N1:N1048576"/>
    </sheetView>
  </sheetViews>
  <sheetFormatPr defaultColWidth="9.28515625" defaultRowHeight="12.75" x14ac:dyDescent="0.2"/>
  <cols>
    <col min="1" max="1" width="12.5703125" style="20" customWidth="1"/>
    <col min="2" max="2" width="10.85546875" style="20" bestFit="1" customWidth="1"/>
    <col min="3" max="3" width="21.28515625" style="20" customWidth="1"/>
    <col min="4" max="4" width="13.5703125" style="20" customWidth="1"/>
    <col min="5" max="5" width="56.7109375" style="20" bestFit="1" customWidth="1"/>
    <col min="6" max="6" width="21" style="20" customWidth="1"/>
    <col min="7" max="7" width="15.5703125" style="20" customWidth="1"/>
    <col min="8" max="8" width="17" style="10" customWidth="1"/>
    <col min="9" max="9" width="14.42578125" style="10" customWidth="1"/>
    <col min="10" max="10" width="15.7109375" style="10" customWidth="1"/>
    <col min="11" max="11" width="16.7109375" style="10" customWidth="1"/>
    <col min="12" max="12" width="13.28515625" style="20" customWidth="1"/>
    <col min="13" max="13" width="10.42578125" style="10" customWidth="1"/>
    <col min="14" max="15" width="11.28515625" style="20" customWidth="1"/>
    <col min="16" max="16" width="6.5703125" style="20" customWidth="1"/>
    <col min="17" max="17" width="6.28515625" style="118" customWidth="1"/>
    <col min="18" max="20" width="11.7109375" style="243" customWidth="1"/>
    <col min="21" max="21" width="11.7109375" style="246" customWidth="1"/>
    <col min="22" max="22" width="11.7109375" style="376" customWidth="1"/>
    <col min="23" max="24" width="11.7109375" style="243" customWidth="1"/>
    <col min="25" max="25" width="11.7109375" style="246" customWidth="1"/>
    <col min="26" max="26" width="11.7109375" style="376" customWidth="1"/>
    <col min="27" max="28" width="11.7109375" style="243" customWidth="1"/>
    <col min="29" max="29" width="11.7109375" style="246" customWidth="1"/>
    <col min="30" max="30" width="11.7109375" style="376" customWidth="1"/>
    <col min="31" max="32" width="11.7109375" style="243" customWidth="1"/>
    <col min="33" max="33" width="11.7109375" style="246" customWidth="1"/>
    <col min="34" max="34" width="10.28515625" style="378" customWidth="1"/>
    <col min="35" max="45" width="15.7109375" style="20" customWidth="1"/>
    <col min="46" max="16384" width="9.28515625" style="20"/>
  </cols>
  <sheetData>
    <row r="1" spans="1:45" s="26" customFormat="1" ht="57" customHeight="1" thickBot="1" x14ac:dyDescent="0.25">
      <c r="H1" s="340"/>
      <c r="I1" s="340"/>
      <c r="J1" s="340"/>
      <c r="K1" s="340"/>
      <c r="M1" s="340"/>
      <c r="R1" s="88"/>
      <c r="S1" s="88"/>
      <c r="T1" s="88"/>
      <c r="U1" s="342"/>
      <c r="V1" s="342"/>
      <c r="W1" s="88"/>
      <c r="X1" s="88"/>
      <c r="Y1" s="342"/>
      <c r="Z1" s="342"/>
      <c r="AA1" s="88"/>
      <c r="AB1" s="88"/>
      <c r="AC1" s="342"/>
      <c r="AD1" s="342"/>
      <c r="AE1" s="88"/>
      <c r="AF1" s="88"/>
      <c r="AG1" s="342"/>
      <c r="AH1" s="238"/>
    </row>
    <row r="2" spans="1:45" s="273" customFormat="1" ht="45.75" thickBot="1" x14ac:dyDescent="0.25">
      <c r="A2" s="336" t="s">
        <v>131</v>
      </c>
      <c r="B2" s="323" t="s">
        <v>2475</v>
      </c>
      <c r="C2" s="334" t="s">
        <v>138</v>
      </c>
      <c r="D2" s="334" t="s">
        <v>98</v>
      </c>
      <c r="E2" s="334" t="s">
        <v>99</v>
      </c>
      <c r="F2" s="334" t="s">
        <v>100</v>
      </c>
      <c r="G2" s="334" t="s">
        <v>2519</v>
      </c>
      <c r="H2" s="334" t="s">
        <v>501</v>
      </c>
      <c r="I2" s="326" t="s">
        <v>2763</v>
      </c>
      <c r="J2" s="326" t="s">
        <v>2765</v>
      </c>
      <c r="K2" s="326" t="s">
        <v>2766</v>
      </c>
      <c r="L2" s="334" t="s">
        <v>260</v>
      </c>
      <c r="M2" s="379" t="s">
        <v>974</v>
      </c>
      <c r="N2" s="334" t="s">
        <v>5442</v>
      </c>
      <c r="O2" s="334" t="s">
        <v>132</v>
      </c>
      <c r="P2" s="334" t="s">
        <v>77</v>
      </c>
      <c r="Q2" s="343" t="s">
        <v>78</v>
      </c>
      <c r="R2" s="330" t="s">
        <v>2515</v>
      </c>
      <c r="S2" s="324" t="s">
        <v>2794</v>
      </c>
      <c r="T2" s="324" t="s">
        <v>2516</v>
      </c>
      <c r="U2" s="329" t="s">
        <v>2518</v>
      </c>
      <c r="V2" s="330" t="s">
        <v>2463</v>
      </c>
      <c r="W2" s="324" t="s">
        <v>2795</v>
      </c>
      <c r="X2" s="324" t="s">
        <v>2464</v>
      </c>
      <c r="Y2" s="329" t="s">
        <v>2466</v>
      </c>
      <c r="Z2" s="330" t="s">
        <v>2467</v>
      </c>
      <c r="AA2" s="324" t="s">
        <v>2796</v>
      </c>
      <c r="AB2" s="324" t="s">
        <v>2468</v>
      </c>
      <c r="AC2" s="329" t="s">
        <v>2470</v>
      </c>
      <c r="AD2" s="330" t="s">
        <v>2471</v>
      </c>
      <c r="AE2" s="324" t="s">
        <v>2797</v>
      </c>
      <c r="AF2" s="324" t="s">
        <v>2472</v>
      </c>
      <c r="AG2" s="329" t="s">
        <v>2474</v>
      </c>
      <c r="AH2" s="330" t="s">
        <v>2484</v>
      </c>
      <c r="AI2" s="337" t="s">
        <v>133</v>
      </c>
      <c r="AJ2" s="337" t="s">
        <v>134</v>
      </c>
      <c r="AK2" s="337" t="s">
        <v>135</v>
      </c>
      <c r="AL2" s="337" t="s">
        <v>136</v>
      </c>
      <c r="AM2" s="337" t="s">
        <v>137</v>
      </c>
      <c r="AN2" s="337" t="s">
        <v>2104</v>
      </c>
      <c r="AO2" s="337" t="s">
        <v>2105</v>
      </c>
      <c r="AP2" s="337" t="s">
        <v>2106</v>
      </c>
      <c r="AQ2" s="338" t="s">
        <v>144</v>
      </c>
      <c r="AR2" s="339" t="s">
        <v>145</v>
      </c>
      <c r="AS2" s="341" t="s">
        <v>146</v>
      </c>
    </row>
    <row r="3" spans="1:45" s="105" customFormat="1" ht="15.75" x14ac:dyDescent="0.25">
      <c r="A3" s="105" t="s">
        <v>843</v>
      </c>
      <c r="B3" s="318"/>
      <c r="C3" s="153"/>
      <c r="D3" s="15" t="s">
        <v>529</v>
      </c>
      <c r="E3" s="153"/>
      <c r="H3" s="160"/>
      <c r="I3" s="160"/>
      <c r="J3" s="160"/>
      <c r="K3" s="160"/>
      <c r="L3" s="163"/>
      <c r="M3" s="163"/>
      <c r="N3" s="514"/>
      <c r="O3" s="514" t="str">
        <f>IF($C3="","",VLOOKUP($C3,'2017 Pricelist'!$C:$I,7,FALSE))</f>
        <v/>
      </c>
      <c r="P3" s="165"/>
      <c r="Q3" s="234"/>
      <c r="R3" s="155"/>
      <c r="S3" s="155"/>
      <c r="T3" s="155"/>
      <c r="U3" s="156"/>
      <c r="V3" s="154"/>
      <c r="W3" s="155"/>
      <c r="X3" s="155"/>
      <c r="Y3" s="156"/>
      <c r="Z3" s="154"/>
      <c r="AA3" s="155"/>
      <c r="AB3" s="155"/>
      <c r="AC3" s="156"/>
      <c r="AD3" s="154"/>
      <c r="AE3" s="155"/>
      <c r="AF3" s="155"/>
      <c r="AG3" s="156"/>
      <c r="AH3" s="154"/>
      <c r="AI3" s="157"/>
      <c r="AJ3" s="157"/>
      <c r="AK3" s="157"/>
      <c r="AL3" s="157"/>
      <c r="AM3" s="157"/>
      <c r="AN3" s="157"/>
      <c r="AO3" s="157"/>
      <c r="AP3" s="157"/>
      <c r="AQ3" s="157"/>
      <c r="AR3" s="159"/>
      <c r="AS3" s="169"/>
    </row>
    <row r="4" spans="1:45" s="14" customFormat="1" x14ac:dyDescent="0.2">
      <c r="A4" s="18" t="s">
        <v>510</v>
      </c>
      <c r="B4" s="125"/>
      <c r="C4" s="19" t="s">
        <v>844</v>
      </c>
      <c r="D4" s="15" t="s">
        <v>383</v>
      </c>
      <c r="E4" s="19" t="s">
        <v>2403</v>
      </c>
      <c r="F4" s="14" t="s">
        <v>484</v>
      </c>
      <c r="G4" s="14" t="s">
        <v>2547</v>
      </c>
      <c r="H4" s="30">
        <v>7331423005710</v>
      </c>
      <c r="I4" s="47">
        <v>7331423100255</v>
      </c>
      <c r="J4" s="47">
        <v>7331423200412</v>
      </c>
      <c r="K4" s="47">
        <v>17331423200419</v>
      </c>
      <c r="L4" s="79" t="s">
        <v>1299</v>
      </c>
      <c r="M4" s="27" t="s">
        <v>977</v>
      </c>
      <c r="N4" s="514">
        <v>29.99</v>
      </c>
      <c r="O4" s="514">
        <f>IF($C4="","",VLOOKUP($C4,'2017 Pricelist'!$C:$I,7,FALSE))</f>
        <v>39.99</v>
      </c>
      <c r="P4" s="35">
        <v>6</v>
      </c>
      <c r="Q4" s="187">
        <v>36</v>
      </c>
      <c r="R4" s="44">
        <f t="shared" ref="R4:R16" si="0">CONVERT(94,"g","lbm")</f>
        <v>0.20723452645378493</v>
      </c>
      <c r="S4" s="33">
        <f t="shared" ref="S4:S16" si="1">CONVERT(45,"mm","in")</f>
        <v>1.7716535433070868</v>
      </c>
      <c r="T4" s="33">
        <f t="shared" ref="T4:T16" si="2">CONVERT(38,"mm","in")</f>
        <v>1.4960629921259843</v>
      </c>
      <c r="U4" s="70">
        <f t="shared" ref="U4:U16" si="3">CONVERT(225,"mm","in")</f>
        <v>8.8582677165354333</v>
      </c>
      <c r="V4" s="44">
        <f t="shared" ref="V4:V11" si="4">CONVERT(0.1498,"kg","lbm")</f>
        <v>0.33025246875294656</v>
      </c>
      <c r="W4" s="33">
        <f t="shared" ref="W4:W11" si="5">CONVERT(117,"mm","in")</f>
        <v>4.6062992125984259</v>
      </c>
      <c r="X4" s="33">
        <f t="shared" ref="X4:X11" si="6">CONVERT(36,"mm","in")</f>
        <v>1.4173228346456692</v>
      </c>
      <c r="Y4" s="70">
        <f t="shared" ref="Y4:Y11" si="7">CONVERT(300,"mm","in")</f>
        <v>11.811023622047244</v>
      </c>
      <c r="Z4" s="44">
        <f t="shared" ref="Z4:Z11" si="8">CONVERT(0.989,"kg","lbm")</f>
        <v>2.1803717730084395</v>
      </c>
      <c r="AA4" s="33">
        <f t="shared" ref="AA4:AA11" si="9">CONVERT(195,"mm","in")</f>
        <v>7.6771653543307083</v>
      </c>
      <c r="AB4" s="33">
        <f t="shared" ref="AB4:AB11" si="10">CONVERT(110,"mm","in")</f>
        <v>4.3307086614173231</v>
      </c>
      <c r="AC4" s="70">
        <f t="shared" ref="AC4:AC11" si="11">CONVERT(305,"mm","in")</f>
        <v>12.007874015748031</v>
      </c>
      <c r="AD4" s="44">
        <f t="shared" ref="AD4:AD11" si="12">CONVERT(6.1544,"kg","lbm")</f>
        <v>13.568129463906104</v>
      </c>
      <c r="AE4" s="33">
        <f t="shared" ref="AE4:AE11" si="13">CONVERT(399,"mm","in")</f>
        <v>15.708661417322835</v>
      </c>
      <c r="AF4" s="33">
        <f t="shared" ref="AF4:AF11" si="14">CONVERT(343,"mm","in")</f>
        <v>13.503937007874017</v>
      </c>
      <c r="AG4" s="70">
        <f t="shared" ref="AG4:AG11" si="15">CONVERT(314,"mm","in")</f>
        <v>12.362204724409448</v>
      </c>
      <c r="AH4" s="42">
        <f t="shared" ref="AH4:AH23" si="16">AE4*AF4*AG4/(12^3)</f>
        <v>1.5175806338598679</v>
      </c>
      <c r="AI4" s="37" t="s">
        <v>2901</v>
      </c>
      <c r="AJ4" s="37" t="s">
        <v>2902</v>
      </c>
      <c r="AK4" s="37" t="s">
        <v>2903</v>
      </c>
      <c r="AL4" s="40" t="s">
        <v>2904</v>
      </c>
      <c r="AM4" s="40" t="s">
        <v>2905</v>
      </c>
      <c r="AN4" s="40" t="s">
        <v>2906</v>
      </c>
      <c r="AO4" s="40" t="s">
        <v>2907</v>
      </c>
      <c r="AP4" s="40"/>
      <c r="AQ4" s="9" t="s">
        <v>2742</v>
      </c>
      <c r="AR4" s="18" t="s">
        <v>2909</v>
      </c>
      <c r="AS4" s="94" t="s">
        <v>2908</v>
      </c>
    </row>
    <row r="5" spans="1:45" s="14" customFormat="1" x14ac:dyDescent="0.2">
      <c r="A5" s="18" t="s">
        <v>510</v>
      </c>
      <c r="B5" s="125"/>
      <c r="C5" s="19" t="s">
        <v>844</v>
      </c>
      <c r="D5" s="15" t="s">
        <v>1017</v>
      </c>
      <c r="E5" s="19" t="s">
        <v>2403</v>
      </c>
      <c r="F5" s="14" t="s">
        <v>1018</v>
      </c>
      <c r="G5" s="14" t="s">
        <v>2547</v>
      </c>
      <c r="H5" s="30">
        <v>7331423005727</v>
      </c>
      <c r="I5" s="47">
        <v>7331423100262</v>
      </c>
      <c r="J5" s="47">
        <v>7331423200429</v>
      </c>
      <c r="K5" s="47">
        <v>17331423200426</v>
      </c>
      <c r="L5" s="79" t="s">
        <v>1299</v>
      </c>
      <c r="M5" s="27" t="s">
        <v>977</v>
      </c>
      <c r="N5" s="514">
        <v>29.99</v>
      </c>
      <c r="O5" s="514">
        <f>IF($C5="","",VLOOKUP($C5,'2017 Pricelist'!$C:$I,7,FALSE))</f>
        <v>39.99</v>
      </c>
      <c r="P5" s="35">
        <v>6</v>
      </c>
      <c r="Q5" s="187">
        <v>36</v>
      </c>
      <c r="R5" s="44">
        <f t="shared" si="0"/>
        <v>0.20723452645378493</v>
      </c>
      <c r="S5" s="33">
        <f t="shared" si="1"/>
        <v>1.7716535433070868</v>
      </c>
      <c r="T5" s="33">
        <f t="shared" si="2"/>
        <v>1.4960629921259843</v>
      </c>
      <c r="U5" s="70">
        <f t="shared" si="3"/>
        <v>8.8582677165354333</v>
      </c>
      <c r="V5" s="44">
        <f t="shared" si="4"/>
        <v>0.33025246875294656</v>
      </c>
      <c r="W5" s="33">
        <f t="shared" si="5"/>
        <v>4.6062992125984259</v>
      </c>
      <c r="X5" s="33">
        <f t="shared" si="6"/>
        <v>1.4173228346456692</v>
      </c>
      <c r="Y5" s="70">
        <f t="shared" si="7"/>
        <v>11.811023622047244</v>
      </c>
      <c r="Z5" s="44">
        <f t="shared" si="8"/>
        <v>2.1803717730084395</v>
      </c>
      <c r="AA5" s="33">
        <f t="shared" si="9"/>
        <v>7.6771653543307083</v>
      </c>
      <c r="AB5" s="33">
        <f t="shared" si="10"/>
        <v>4.3307086614173231</v>
      </c>
      <c r="AC5" s="70">
        <f t="shared" si="11"/>
        <v>12.007874015748031</v>
      </c>
      <c r="AD5" s="44">
        <f t="shared" si="12"/>
        <v>13.568129463906104</v>
      </c>
      <c r="AE5" s="33">
        <f t="shared" si="13"/>
        <v>15.708661417322835</v>
      </c>
      <c r="AF5" s="33">
        <f t="shared" si="14"/>
        <v>13.503937007874017</v>
      </c>
      <c r="AG5" s="70">
        <f t="shared" si="15"/>
        <v>12.362204724409448</v>
      </c>
      <c r="AH5" s="42">
        <f t="shared" si="16"/>
        <v>1.5175806338598679</v>
      </c>
      <c r="AI5" s="37" t="s">
        <v>2901</v>
      </c>
      <c r="AJ5" s="37" t="s">
        <v>2902</v>
      </c>
      <c r="AK5" s="37" t="s">
        <v>2903</v>
      </c>
      <c r="AL5" s="40" t="s">
        <v>2904</v>
      </c>
      <c r="AM5" s="40" t="s">
        <v>2905</v>
      </c>
      <c r="AN5" s="40" t="s">
        <v>2906</v>
      </c>
      <c r="AO5" s="40" t="s">
        <v>2907</v>
      </c>
      <c r="AP5" s="40"/>
      <c r="AQ5" s="9" t="s">
        <v>2742</v>
      </c>
      <c r="AR5" s="18" t="s">
        <v>2909</v>
      </c>
      <c r="AS5" s="94" t="s">
        <v>2908</v>
      </c>
    </row>
    <row r="6" spans="1:45" s="14" customFormat="1" x14ac:dyDescent="0.2">
      <c r="A6" s="18" t="s">
        <v>510</v>
      </c>
      <c r="B6" s="125"/>
      <c r="C6" s="19" t="s">
        <v>844</v>
      </c>
      <c r="D6" s="15" t="s">
        <v>1739</v>
      </c>
      <c r="E6" s="19" t="s">
        <v>2403</v>
      </c>
      <c r="F6" s="14" t="s">
        <v>1859</v>
      </c>
      <c r="G6" s="14" t="s">
        <v>2547</v>
      </c>
      <c r="H6" s="30">
        <v>7331423007912</v>
      </c>
      <c r="I6" s="47">
        <v>7331423100248</v>
      </c>
      <c r="J6" s="47">
        <v>7331423200405</v>
      </c>
      <c r="K6" s="47">
        <v>17331423200402</v>
      </c>
      <c r="L6" s="79" t="s">
        <v>1299</v>
      </c>
      <c r="M6" s="27" t="s">
        <v>977</v>
      </c>
      <c r="N6" s="514">
        <v>29.99</v>
      </c>
      <c r="O6" s="514">
        <f>IF($C6="","",VLOOKUP($C6,'2017 Pricelist'!$C:$I,7,FALSE))</f>
        <v>39.99</v>
      </c>
      <c r="P6" s="35">
        <v>6</v>
      </c>
      <c r="Q6" s="187">
        <v>36</v>
      </c>
      <c r="R6" s="44">
        <f t="shared" si="0"/>
        <v>0.20723452645378493</v>
      </c>
      <c r="S6" s="33">
        <f t="shared" si="1"/>
        <v>1.7716535433070868</v>
      </c>
      <c r="T6" s="33">
        <f t="shared" si="2"/>
        <v>1.4960629921259843</v>
      </c>
      <c r="U6" s="70">
        <f t="shared" si="3"/>
        <v>8.8582677165354333</v>
      </c>
      <c r="V6" s="44">
        <f t="shared" si="4"/>
        <v>0.33025246875294656</v>
      </c>
      <c r="W6" s="33">
        <f t="shared" si="5"/>
        <v>4.6062992125984259</v>
      </c>
      <c r="X6" s="33">
        <f t="shared" si="6"/>
        <v>1.4173228346456692</v>
      </c>
      <c r="Y6" s="70">
        <f t="shared" si="7"/>
        <v>11.811023622047244</v>
      </c>
      <c r="Z6" s="44">
        <f t="shared" si="8"/>
        <v>2.1803717730084395</v>
      </c>
      <c r="AA6" s="33">
        <f t="shared" si="9"/>
        <v>7.6771653543307083</v>
      </c>
      <c r="AB6" s="33">
        <f t="shared" si="10"/>
        <v>4.3307086614173231</v>
      </c>
      <c r="AC6" s="70">
        <f t="shared" si="11"/>
        <v>12.007874015748031</v>
      </c>
      <c r="AD6" s="44">
        <f t="shared" si="12"/>
        <v>13.568129463906104</v>
      </c>
      <c r="AE6" s="33">
        <f t="shared" si="13"/>
        <v>15.708661417322835</v>
      </c>
      <c r="AF6" s="33">
        <f t="shared" si="14"/>
        <v>13.503937007874017</v>
      </c>
      <c r="AG6" s="70">
        <f t="shared" si="15"/>
        <v>12.362204724409448</v>
      </c>
      <c r="AH6" s="42">
        <f t="shared" si="16"/>
        <v>1.5175806338598679</v>
      </c>
      <c r="AI6" s="37" t="s">
        <v>2901</v>
      </c>
      <c r="AJ6" s="37" t="s">
        <v>2902</v>
      </c>
      <c r="AK6" s="37" t="s">
        <v>2903</v>
      </c>
      <c r="AL6" s="40" t="s">
        <v>2904</v>
      </c>
      <c r="AM6" s="40" t="s">
        <v>2905</v>
      </c>
      <c r="AN6" s="40" t="s">
        <v>2906</v>
      </c>
      <c r="AO6" s="40" t="s">
        <v>2907</v>
      </c>
      <c r="AP6" s="40"/>
      <c r="AQ6" s="9" t="s">
        <v>2742</v>
      </c>
      <c r="AR6" s="18" t="s">
        <v>2909</v>
      </c>
      <c r="AS6" s="94" t="s">
        <v>2908</v>
      </c>
    </row>
    <row r="7" spans="1:45" s="14" customFormat="1" x14ac:dyDescent="0.2">
      <c r="A7" s="18" t="s">
        <v>510</v>
      </c>
      <c r="B7" s="125"/>
      <c r="C7" s="19" t="s">
        <v>844</v>
      </c>
      <c r="D7" s="15" t="s">
        <v>371</v>
      </c>
      <c r="E7" s="19" t="s">
        <v>2403</v>
      </c>
      <c r="F7" s="14" t="s">
        <v>218</v>
      </c>
      <c r="G7" s="14" t="s">
        <v>2547</v>
      </c>
      <c r="H7" s="30">
        <v>7331423005734</v>
      </c>
      <c r="I7" s="47">
        <v>7331423100286</v>
      </c>
      <c r="J7" s="47">
        <v>7331423200443</v>
      </c>
      <c r="K7" s="47">
        <v>17331423200440</v>
      </c>
      <c r="L7" s="79" t="s">
        <v>1299</v>
      </c>
      <c r="M7" s="27" t="s">
        <v>977</v>
      </c>
      <c r="N7" s="514">
        <v>29.99</v>
      </c>
      <c r="O7" s="514">
        <f>IF($C7="","",VLOOKUP($C7,'2017 Pricelist'!$C:$I,7,FALSE))</f>
        <v>39.99</v>
      </c>
      <c r="P7" s="35">
        <v>6</v>
      </c>
      <c r="Q7" s="187">
        <v>36</v>
      </c>
      <c r="R7" s="44">
        <f t="shared" si="0"/>
        <v>0.20723452645378493</v>
      </c>
      <c r="S7" s="33">
        <f t="shared" si="1"/>
        <v>1.7716535433070868</v>
      </c>
      <c r="T7" s="33">
        <f t="shared" si="2"/>
        <v>1.4960629921259843</v>
      </c>
      <c r="U7" s="70">
        <f t="shared" si="3"/>
        <v>8.8582677165354333</v>
      </c>
      <c r="V7" s="44">
        <f t="shared" si="4"/>
        <v>0.33025246875294656</v>
      </c>
      <c r="W7" s="33">
        <f t="shared" si="5"/>
        <v>4.6062992125984259</v>
      </c>
      <c r="X7" s="33">
        <f t="shared" si="6"/>
        <v>1.4173228346456692</v>
      </c>
      <c r="Y7" s="70">
        <f t="shared" si="7"/>
        <v>11.811023622047244</v>
      </c>
      <c r="Z7" s="44">
        <f t="shared" si="8"/>
        <v>2.1803717730084395</v>
      </c>
      <c r="AA7" s="33">
        <f t="shared" si="9"/>
        <v>7.6771653543307083</v>
      </c>
      <c r="AB7" s="33">
        <f t="shared" si="10"/>
        <v>4.3307086614173231</v>
      </c>
      <c r="AC7" s="70">
        <f t="shared" si="11"/>
        <v>12.007874015748031</v>
      </c>
      <c r="AD7" s="44">
        <f t="shared" si="12"/>
        <v>13.568129463906104</v>
      </c>
      <c r="AE7" s="33">
        <f t="shared" si="13"/>
        <v>15.708661417322835</v>
      </c>
      <c r="AF7" s="33">
        <f t="shared" si="14"/>
        <v>13.503937007874017</v>
      </c>
      <c r="AG7" s="70">
        <f t="shared" si="15"/>
        <v>12.362204724409448</v>
      </c>
      <c r="AH7" s="42">
        <f t="shared" si="16"/>
        <v>1.5175806338598679</v>
      </c>
      <c r="AI7" s="37" t="s">
        <v>2901</v>
      </c>
      <c r="AJ7" s="37" t="s">
        <v>2902</v>
      </c>
      <c r="AK7" s="37" t="s">
        <v>2903</v>
      </c>
      <c r="AL7" s="40" t="s">
        <v>2904</v>
      </c>
      <c r="AM7" s="40" t="s">
        <v>2905</v>
      </c>
      <c r="AN7" s="40" t="s">
        <v>2906</v>
      </c>
      <c r="AO7" s="40" t="s">
        <v>2907</v>
      </c>
      <c r="AP7" s="40"/>
      <c r="AQ7" s="9" t="s">
        <v>2742</v>
      </c>
      <c r="AR7" s="18" t="s">
        <v>2909</v>
      </c>
      <c r="AS7" s="94" t="s">
        <v>2908</v>
      </c>
    </row>
    <row r="8" spans="1:45" s="14" customFormat="1" x14ac:dyDescent="0.2">
      <c r="A8" s="18" t="s">
        <v>510</v>
      </c>
      <c r="B8" s="125"/>
      <c r="C8" s="19" t="s">
        <v>844</v>
      </c>
      <c r="D8" s="15" t="s">
        <v>1740</v>
      </c>
      <c r="E8" s="19" t="s">
        <v>2403</v>
      </c>
      <c r="F8" s="14" t="s">
        <v>1858</v>
      </c>
      <c r="G8" s="14" t="s">
        <v>2547</v>
      </c>
      <c r="H8" s="30">
        <v>7331423007905</v>
      </c>
      <c r="I8" s="47">
        <v>7331423100231</v>
      </c>
      <c r="J8" s="47">
        <v>7331423200399</v>
      </c>
      <c r="K8" s="47">
        <v>17331423200396</v>
      </c>
      <c r="L8" s="79" t="s">
        <v>1299</v>
      </c>
      <c r="M8" s="27" t="s">
        <v>977</v>
      </c>
      <c r="N8" s="514">
        <v>29.99</v>
      </c>
      <c r="O8" s="514">
        <f>IF($C8="","",VLOOKUP($C8,'2017 Pricelist'!$C:$I,7,FALSE))</f>
        <v>39.99</v>
      </c>
      <c r="P8" s="35">
        <v>6</v>
      </c>
      <c r="Q8" s="187">
        <v>36</v>
      </c>
      <c r="R8" s="44">
        <f t="shared" si="0"/>
        <v>0.20723452645378493</v>
      </c>
      <c r="S8" s="33">
        <f t="shared" si="1"/>
        <v>1.7716535433070868</v>
      </c>
      <c r="T8" s="33">
        <f t="shared" si="2"/>
        <v>1.4960629921259843</v>
      </c>
      <c r="U8" s="70">
        <f t="shared" si="3"/>
        <v>8.8582677165354333</v>
      </c>
      <c r="V8" s="44">
        <f t="shared" si="4"/>
        <v>0.33025246875294656</v>
      </c>
      <c r="W8" s="33">
        <f t="shared" si="5"/>
        <v>4.6062992125984259</v>
      </c>
      <c r="X8" s="33">
        <f t="shared" si="6"/>
        <v>1.4173228346456692</v>
      </c>
      <c r="Y8" s="70">
        <f t="shared" si="7"/>
        <v>11.811023622047244</v>
      </c>
      <c r="Z8" s="44">
        <f t="shared" si="8"/>
        <v>2.1803717730084395</v>
      </c>
      <c r="AA8" s="33">
        <f t="shared" si="9"/>
        <v>7.6771653543307083</v>
      </c>
      <c r="AB8" s="33">
        <f t="shared" si="10"/>
        <v>4.3307086614173231</v>
      </c>
      <c r="AC8" s="70">
        <f t="shared" si="11"/>
        <v>12.007874015748031</v>
      </c>
      <c r="AD8" s="44">
        <f t="shared" si="12"/>
        <v>13.568129463906104</v>
      </c>
      <c r="AE8" s="33">
        <f t="shared" si="13"/>
        <v>15.708661417322835</v>
      </c>
      <c r="AF8" s="33">
        <f t="shared" si="14"/>
        <v>13.503937007874017</v>
      </c>
      <c r="AG8" s="70">
        <f t="shared" si="15"/>
        <v>12.362204724409448</v>
      </c>
      <c r="AH8" s="42">
        <f t="shared" si="16"/>
        <v>1.5175806338598679</v>
      </c>
      <c r="AI8" s="37" t="s">
        <v>2901</v>
      </c>
      <c r="AJ8" s="37" t="s">
        <v>2902</v>
      </c>
      <c r="AK8" s="37" t="s">
        <v>2903</v>
      </c>
      <c r="AL8" s="40" t="s">
        <v>2904</v>
      </c>
      <c r="AM8" s="40" t="s">
        <v>2905</v>
      </c>
      <c r="AN8" s="40" t="s">
        <v>2906</v>
      </c>
      <c r="AO8" s="40" t="s">
        <v>2907</v>
      </c>
      <c r="AP8" s="40"/>
      <c r="AQ8" s="9" t="s">
        <v>2742</v>
      </c>
      <c r="AR8" s="18" t="s">
        <v>2909</v>
      </c>
      <c r="AS8" s="94" t="s">
        <v>2908</v>
      </c>
    </row>
    <row r="9" spans="1:45" s="14" customFormat="1" x14ac:dyDescent="0.2">
      <c r="A9" s="18" t="s">
        <v>510</v>
      </c>
      <c r="B9" s="125"/>
      <c r="C9" s="19" t="s">
        <v>844</v>
      </c>
      <c r="D9" s="15" t="s">
        <v>374</v>
      </c>
      <c r="E9" s="19" t="s">
        <v>2403</v>
      </c>
      <c r="F9" s="14" t="s">
        <v>219</v>
      </c>
      <c r="G9" s="14" t="s">
        <v>2547</v>
      </c>
      <c r="H9" s="30">
        <v>7331423005758</v>
      </c>
      <c r="I9" s="47">
        <v>7331423100293</v>
      </c>
      <c r="J9" s="47">
        <v>7331423200450</v>
      </c>
      <c r="K9" s="47">
        <v>17331423200457</v>
      </c>
      <c r="L9" s="79" t="s">
        <v>1299</v>
      </c>
      <c r="M9" s="27" t="s">
        <v>977</v>
      </c>
      <c r="N9" s="514">
        <v>29.99</v>
      </c>
      <c r="O9" s="514">
        <f>IF($C9="","",VLOOKUP($C9,'2017 Pricelist'!$C:$I,7,FALSE))</f>
        <v>39.99</v>
      </c>
      <c r="P9" s="35">
        <v>6</v>
      </c>
      <c r="Q9" s="187">
        <v>36</v>
      </c>
      <c r="R9" s="44">
        <f t="shared" si="0"/>
        <v>0.20723452645378493</v>
      </c>
      <c r="S9" s="33">
        <f t="shared" si="1"/>
        <v>1.7716535433070868</v>
      </c>
      <c r="T9" s="33">
        <f t="shared" si="2"/>
        <v>1.4960629921259843</v>
      </c>
      <c r="U9" s="70">
        <f t="shared" si="3"/>
        <v>8.8582677165354333</v>
      </c>
      <c r="V9" s="44">
        <f t="shared" si="4"/>
        <v>0.33025246875294656</v>
      </c>
      <c r="W9" s="33">
        <f t="shared" si="5"/>
        <v>4.6062992125984259</v>
      </c>
      <c r="X9" s="33">
        <f t="shared" si="6"/>
        <v>1.4173228346456692</v>
      </c>
      <c r="Y9" s="70">
        <f t="shared" si="7"/>
        <v>11.811023622047244</v>
      </c>
      <c r="Z9" s="44">
        <f t="shared" si="8"/>
        <v>2.1803717730084395</v>
      </c>
      <c r="AA9" s="33">
        <f t="shared" si="9"/>
        <v>7.6771653543307083</v>
      </c>
      <c r="AB9" s="33">
        <f t="shared" si="10"/>
        <v>4.3307086614173231</v>
      </c>
      <c r="AC9" s="70">
        <f t="shared" si="11"/>
        <v>12.007874015748031</v>
      </c>
      <c r="AD9" s="44">
        <f t="shared" si="12"/>
        <v>13.568129463906104</v>
      </c>
      <c r="AE9" s="33">
        <f t="shared" si="13"/>
        <v>15.708661417322835</v>
      </c>
      <c r="AF9" s="33">
        <f t="shared" si="14"/>
        <v>13.503937007874017</v>
      </c>
      <c r="AG9" s="70">
        <f t="shared" si="15"/>
        <v>12.362204724409448</v>
      </c>
      <c r="AH9" s="42">
        <f t="shared" si="16"/>
        <v>1.5175806338598679</v>
      </c>
      <c r="AI9" s="37" t="s">
        <v>2901</v>
      </c>
      <c r="AJ9" s="37" t="s">
        <v>2902</v>
      </c>
      <c r="AK9" s="37" t="s">
        <v>2903</v>
      </c>
      <c r="AL9" s="40" t="s">
        <v>2904</v>
      </c>
      <c r="AM9" s="40" t="s">
        <v>2905</v>
      </c>
      <c r="AN9" s="40" t="s">
        <v>2906</v>
      </c>
      <c r="AO9" s="40" t="s">
        <v>2907</v>
      </c>
      <c r="AP9" s="40"/>
      <c r="AQ9" s="9" t="s">
        <v>2742</v>
      </c>
      <c r="AR9" s="18" t="s">
        <v>2909</v>
      </c>
      <c r="AS9" s="94" t="s">
        <v>2908</v>
      </c>
    </row>
    <row r="10" spans="1:45" s="14" customFormat="1" x14ac:dyDescent="0.2">
      <c r="A10" s="18" t="s">
        <v>510</v>
      </c>
      <c r="B10" s="125"/>
      <c r="C10" s="19" t="s">
        <v>844</v>
      </c>
      <c r="D10" s="15" t="s">
        <v>369</v>
      </c>
      <c r="E10" s="19" t="s">
        <v>2403</v>
      </c>
      <c r="F10" s="14" t="s">
        <v>222</v>
      </c>
      <c r="G10" s="14" t="s">
        <v>2547</v>
      </c>
      <c r="H10" s="30">
        <v>7331423005741</v>
      </c>
      <c r="I10" s="47">
        <v>7331423100279</v>
      </c>
      <c r="J10" s="47">
        <v>7331423200436</v>
      </c>
      <c r="K10" s="47">
        <v>17331423200433</v>
      </c>
      <c r="L10" s="79" t="s">
        <v>1299</v>
      </c>
      <c r="M10" s="27" t="s">
        <v>977</v>
      </c>
      <c r="N10" s="514">
        <v>29.99</v>
      </c>
      <c r="O10" s="514">
        <f>IF($C10="","",VLOOKUP($C10,'2017 Pricelist'!$C:$I,7,FALSE))</f>
        <v>39.99</v>
      </c>
      <c r="P10" s="35">
        <v>6</v>
      </c>
      <c r="Q10" s="187">
        <v>36</v>
      </c>
      <c r="R10" s="44">
        <f t="shared" si="0"/>
        <v>0.20723452645378493</v>
      </c>
      <c r="S10" s="33">
        <f t="shared" si="1"/>
        <v>1.7716535433070868</v>
      </c>
      <c r="T10" s="33">
        <f t="shared" si="2"/>
        <v>1.4960629921259843</v>
      </c>
      <c r="U10" s="70">
        <f t="shared" si="3"/>
        <v>8.8582677165354333</v>
      </c>
      <c r="V10" s="44">
        <f t="shared" si="4"/>
        <v>0.33025246875294656</v>
      </c>
      <c r="W10" s="33">
        <f t="shared" si="5"/>
        <v>4.6062992125984259</v>
      </c>
      <c r="X10" s="33">
        <f t="shared" si="6"/>
        <v>1.4173228346456692</v>
      </c>
      <c r="Y10" s="70">
        <f t="shared" si="7"/>
        <v>11.811023622047244</v>
      </c>
      <c r="Z10" s="44">
        <f t="shared" si="8"/>
        <v>2.1803717730084395</v>
      </c>
      <c r="AA10" s="33">
        <f t="shared" si="9"/>
        <v>7.6771653543307083</v>
      </c>
      <c r="AB10" s="33">
        <f t="shared" si="10"/>
        <v>4.3307086614173231</v>
      </c>
      <c r="AC10" s="70">
        <f t="shared" si="11"/>
        <v>12.007874015748031</v>
      </c>
      <c r="AD10" s="44">
        <f t="shared" si="12"/>
        <v>13.568129463906104</v>
      </c>
      <c r="AE10" s="33">
        <f t="shared" si="13"/>
        <v>15.708661417322835</v>
      </c>
      <c r="AF10" s="33">
        <f t="shared" si="14"/>
        <v>13.503937007874017</v>
      </c>
      <c r="AG10" s="70">
        <f t="shared" si="15"/>
        <v>12.362204724409448</v>
      </c>
      <c r="AH10" s="42">
        <f t="shared" si="16"/>
        <v>1.5175806338598679</v>
      </c>
      <c r="AI10" s="37" t="s">
        <v>2901</v>
      </c>
      <c r="AJ10" s="37" t="s">
        <v>2902</v>
      </c>
      <c r="AK10" s="37" t="s">
        <v>2903</v>
      </c>
      <c r="AL10" s="40" t="s">
        <v>2904</v>
      </c>
      <c r="AM10" s="40" t="s">
        <v>2905</v>
      </c>
      <c r="AN10" s="40" t="s">
        <v>2906</v>
      </c>
      <c r="AO10" s="40" t="s">
        <v>2907</v>
      </c>
      <c r="AP10" s="40"/>
      <c r="AQ10" s="9" t="s">
        <v>2742</v>
      </c>
      <c r="AR10" s="18" t="s">
        <v>2909</v>
      </c>
      <c r="AS10" s="94" t="s">
        <v>2908</v>
      </c>
    </row>
    <row r="11" spans="1:45" s="14" customFormat="1" x14ac:dyDescent="0.2">
      <c r="A11" s="18" t="s">
        <v>510</v>
      </c>
      <c r="B11" s="125"/>
      <c r="C11" s="19" t="s">
        <v>844</v>
      </c>
      <c r="D11" s="15" t="s">
        <v>1741</v>
      </c>
      <c r="E11" s="19" t="s">
        <v>2403</v>
      </c>
      <c r="F11" s="14" t="s">
        <v>2776</v>
      </c>
      <c r="G11" s="14" t="s">
        <v>2547</v>
      </c>
      <c r="H11" s="47">
        <v>7331423007936</v>
      </c>
      <c r="I11" s="47">
        <v>7331423007936</v>
      </c>
      <c r="J11" s="47">
        <v>7331423200474</v>
      </c>
      <c r="K11" s="47">
        <v>17331423200471</v>
      </c>
      <c r="L11" s="79" t="s">
        <v>1299</v>
      </c>
      <c r="M11" s="27" t="s">
        <v>977</v>
      </c>
      <c r="N11" s="514">
        <v>29.99</v>
      </c>
      <c r="O11" s="514">
        <f>IF($C11="","",VLOOKUP($C11,'2017 Pricelist'!$C:$I,7,FALSE))</f>
        <v>39.99</v>
      </c>
      <c r="P11" s="35">
        <v>6</v>
      </c>
      <c r="Q11" s="187">
        <v>36</v>
      </c>
      <c r="R11" s="44">
        <f t="shared" si="0"/>
        <v>0.20723452645378493</v>
      </c>
      <c r="S11" s="33">
        <f t="shared" si="1"/>
        <v>1.7716535433070868</v>
      </c>
      <c r="T11" s="33">
        <f t="shared" si="2"/>
        <v>1.4960629921259843</v>
      </c>
      <c r="U11" s="70">
        <f t="shared" si="3"/>
        <v>8.8582677165354333</v>
      </c>
      <c r="V11" s="44">
        <f t="shared" si="4"/>
        <v>0.33025246875294656</v>
      </c>
      <c r="W11" s="33">
        <f t="shared" si="5"/>
        <v>4.6062992125984259</v>
      </c>
      <c r="X11" s="33">
        <f t="shared" si="6"/>
        <v>1.4173228346456692</v>
      </c>
      <c r="Y11" s="70">
        <f t="shared" si="7"/>
        <v>11.811023622047244</v>
      </c>
      <c r="Z11" s="44">
        <f t="shared" si="8"/>
        <v>2.1803717730084395</v>
      </c>
      <c r="AA11" s="33">
        <f t="shared" si="9"/>
        <v>7.6771653543307083</v>
      </c>
      <c r="AB11" s="33">
        <f t="shared" si="10"/>
        <v>4.3307086614173231</v>
      </c>
      <c r="AC11" s="70">
        <f t="shared" si="11"/>
        <v>12.007874015748031</v>
      </c>
      <c r="AD11" s="44">
        <f t="shared" si="12"/>
        <v>13.568129463906104</v>
      </c>
      <c r="AE11" s="33">
        <f t="shared" si="13"/>
        <v>15.708661417322835</v>
      </c>
      <c r="AF11" s="33">
        <f t="shared" si="14"/>
        <v>13.503937007874017</v>
      </c>
      <c r="AG11" s="70">
        <f t="shared" si="15"/>
        <v>12.362204724409448</v>
      </c>
      <c r="AH11" s="42">
        <f t="shared" si="16"/>
        <v>1.5175806338598679</v>
      </c>
      <c r="AI11" s="37" t="s">
        <v>2901</v>
      </c>
      <c r="AJ11" s="37" t="s">
        <v>2902</v>
      </c>
      <c r="AK11" s="37" t="s">
        <v>2903</v>
      </c>
      <c r="AL11" s="40" t="s">
        <v>2904</v>
      </c>
      <c r="AM11" s="40" t="s">
        <v>2905</v>
      </c>
      <c r="AN11" s="40" t="s">
        <v>2906</v>
      </c>
      <c r="AO11" s="40" t="s">
        <v>2907</v>
      </c>
      <c r="AP11" s="40"/>
      <c r="AQ11" s="9" t="s">
        <v>2742</v>
      </c>
      <c r="AR11" s="18" t="s">
        <v>2909</v>
      </c>
      <c r="AS11" s="94" t="s">
        <v>2908</v>
      </c>
    </row>
    <row r="12" spans="1:45" s="14" customFormat="1" x14ac:dyDescent="0.2">
      <c r="A12" s="18" t="s">
        <v>510</v>
      </c>
      <c r="B12" s="125"/>
      <c r="C12" s="19" t="s">
        <v>1570</v>
      </c>
      <c r="D12" s="15" t="s">
        <v>383</v>
      </c>
      <c r="E12" s="19" t="s">
        <v>2403</v>
      </c>
      <c r="F12" s="22" t="s">
        <v>484</v>
      </c>
      <c r="G12" s="22" t="s">
        <v>2520</v>
      </c>
      <c r="H12" s="47">
        <v>7331423006397</v>
      </c>
      <c r="I12" s="47" t="s">
        <v>259</v>
      </c>
      <c r="J12" s="47">
        <v>7331423007431</v>
      </c>
      <c r="K12" s="47" t="s">
        <v>259</v>
      </c>
      <c r="L12" s="79" t="s">
        <v>1299</v>
      </c>
      <c r="M12" s="27" t="s">
        <v>977</v>
      </c>
      <c r="N12" s="514">
        <v>29.99</v>
      </c>
      <c r="O12" s="4">
        <v>39.99</v>
      </c>
      <c r="P12" s="35">
        <v>1</v>
      </c>
      <c r="Q12" s="187">
        <v>15</v>
      </c>
      <c r="R12" s="44">
        <f t="shared" si="0"/>
        <v>0.20723452645378493</v>
      </c>
      <c r="S12" s="33">
        <f t="shared" si="1"/>
        <v>1.7716535433070868</v>
      </c>
      <c r="T12" s="33">
        <f t="shared" si="2"/>
        <v>1.4960629921259843</v>
      </c>
      <c r="U12" s="70">
        <f t="shared" si="3"/>
        <v>8.8582677165354333</v>
      </c>
      <c r="V12" s="44">
        <v>0.25</v>
      </c>
      <c r="W12" s="33">
        <v>1.25</v>
      </c>
      <c r="X12" s="33">
        <v>1.25</v>
      </c>
      <c r="Y12" s="70">
        <v>5.875</v>
      </c>
      <c r="Z12" s="44" t="s">
        <v>259</v>
      </c>
      <c r="AA12" s="33" t="s">
        <v>259</v>
      </c>
      <c r="AB12" s="33" t="s">
        <v>259</v>
      </c>
      <c r="AC12" s="70" t="s">
        <v>259</v>
      </c>
      <c r="AD12" s="44">
        <v>4.3</v>
      </c>
      <c r="AE12" s="33">
        <v>9.875</v>
      </c>
      <c r="AF12" s="33">
        <v>5.25</v>
      </c>
      <c r="AG12" s="70">
        <v>10.25</v>
      </c>
      <c r="AH12" s="42">
        <f t="shared" si="16"/>
        <v>0.3075222439236111</v>
      </c>
      <c r="AI12" s="37" t="s">
        <v>2901</v>
      </c>
      <c r="AJ12" s="37" t="s">
        <v>2902</v>
      </c>
      <c r="AK12" s="37" t="s">
        <v>2903</v>
      </c>
      <c r="AL12" s="40" t="s">
        <v>2904</v>
      </c>
      <c r="AM12" s="40" t="s">
        <v>2905</v>
      </c>
      <c r="AN12" s="40" t="s">
        <v>2906</v>
      </c>
      <c r="AO12" s="40" t="s">
        <v>2907</v>
      </c>
      <c r="AP12" s="40"/>
      <c r="AQ12" s="9" t="s">
        <v>2742</v>
      </c>
      <c r="AR12" s="18" t="s">
        <v>2909</v>
      </c>
      <c r="AS12" s="94" t="s">
        <v>2908</v>
      </c>
    </row>
    <row r="13" spans="1:45" s="14" customFormat="1" x14ac:dyDescent="0.2">
      <c r="A13" s="18" t="s">
        <v>510</v>
      </c>
      <c r="B13" s="125"/>
      <c r="C13" s="19" t="s">
        <v>1570</v>
      </c>
      <c r="D13" s="15" t="s">
        <v>371</v>
      </c>
      <c r="E13" s="19" t="s">
        <v>2403</v>
      </c>
      <c r="F13" s="15" t="s">
        <v>218</v>
      </c>
      <c r="G13" s="22" t="s">
        <v>2520</v>
      </c>
      <c r="H13" s="47">
        <v>7331423006410</v>
      </c>
      <c r="I13" s="47" t="s">
        <v>259</v>
      </c>
      <c r="J13" s="47">
        <v>7331423007578</v>
      </c>
      <c r="K13" s="47" t="s">
        <v>259</v>
      </c>
      <c r="L13" s="79" t="s">
        <v>1299</v>
      </c>
      <c r="M13" s="27" t="s">
        <v>977</v>
      </c>
      <c r="N13" s="514">
        <v>29.99</v>
      </c>
      <c r="O13" s="4">
        <v>39.99</v>
      </c>
      <c r="P13" s="35">
        <v>1</v>
      </c>
      <c r="Q13" s="187">
        <v>15</v>
      </c>
      <c r="R13" s="44">
        <f t="shared" si="0"/>
        <v>0.20723452645378493</v>
      </c>
      <c r="S13" s="33">
        <f t="shared" si="1"/>
        <v>1.7716535433070868</v>
      </c>
      <c r="T13" s="33">
        <f t="shared" si="2"/>
        <v>1.4960629921259843</v>
      </c>
      <c r="U13" s="70">
        <f t="shared" si="3"/>
        <v>8.8582677165354333</v>
      </c>
      <c r="V13" s="44">
        <v>0.25</v>
      </c>
      <c r="W13" s="33">
        <v>1.25</v>
      </c>
      <c r="X13" s="33">
        <v>1.25</v>
      </c>
      <c r="Y13" s="70">
        <v>5.875</v>
      </c>
      <c r="Z13" s="44" t="s">
        <v>259</v>
      </c>
      <c r="AA13" s="33" t="s">
        <v>259</v>
      </c>
      <c r="AB13" s="33" t="s">
        <v>259</v>
      </c>
      <c r="AC13" s="70" t="s">
        <v>259</v>
      </c>
      <c r="AD13" s="44">
        <v>4.3</v>
      </c>
      <c r="AE13" s="33">
        <v>9.875</v>
      </c>
      <c r="AF13" s="33">
        <v>5.25</v>
      </c>
      <c r="AG13" s="70">
        <v>10.25</v>
      </c>
      <c r="AH13" s="42">
        <f t="shared" si="16"/>
        <v>0.3075222439236111</v>
      </c>
      <c r="AI13" s="37" t="s">
        <v>2901</v>
      </c>
      <c r="AJ13" s="37" t="s">
        <v>2902</v>
      </c>
      <c r="AK13" s="37" t="s">
        <v>2903</v>
      </c>
      <c r="AL13" s="40" t="s">
        <v>2904</v>
      </c>
      <c r="AM13" s="40" t="s">
        <v>2905</v>
      </c>
      <c r="AN13" s="40" t="s">
        <v>2906</v>
      </c>
      <c r="AO13" s="40" t="s">
        <v>2907</v>
      </c>
      <c r="AP13" s="40"/>
      <c r="AQ13" s="9" t="s">
        <v>2742</v>
      </c>
      <c r="AR13" s="18" t="s">
        <v>2909</v>
      </c>
      <c r="AS13" s="94" t="s">
        <v>2908</v>
      </c>
    </row>
    <row r="14" spans="1:45" s="14" customFormat="1" x14ac:dyDescent="0.2">
      <c r="A14" s="18" t="s">
        <v>510</v>
      </c>
      <c r="B14" s="125"/>
      <c r="C14" s="19" t="s">
        <v>1570</v>
      </c>
      <c r="D14" s="15" t="s">
        <v>374</v>
      </c>
      <c r="E14" s="19" t="s">
        <v>2403</v>
      </c>
      <c r="F14" s="15" t="s">
        <v>219</v>
      </c>
      <c r="G14" s="22" t="s">
        <v>2520</v>
      </c>
      <c r="H14" s="253" t="s">
        <v>998</v>
      </c>
      <c r="I14" s="253" t="s">
        <v>259</v>
      </c>
      <c r="J14" s="47">
        <v>7331423007585</v>
      </c>
      <c r="K14" s="253" t="s">
        <v>259</v>
      </c>
      <c r="L14" s="79" t="s">
        <v>1299</v>
      </c>
      <c r="M14" s="27" t="s">
        <v>977</v>
      </c>
      <c r="N14" s="514">
        <v>29.99</v>
      </c>
      <c r="O14" s="4">
        <v>39.99</v>
      </c>
      <c r="P14" s="35">
        <v>1</v>
      </c>
      <c r="Q14" s="187">
        <v>15</v>
      </c>
      <c r="R14" s="44">
        <f t="shared" si="0"/>
        <v>0.20723452645378493</v>
      </c>
      <c r="S14" s="33">
        <f t="shared" si="1"/>
        <v>1.7716535433070868</v>
      </c>
      <c r="T14" s="33">
        <f t="shared" si="2"/>
        <v>1.4960629921259843</v>
      </c>
      <c r="U14" s="70">
        <f t="shared" si="3"/>
        <v>8.8582677165354333</v>
      </c>
      <c r="V14" s="44">
        <v>0.25</v>
      </c>
      <c r="W14" s="33">
        <v>1.25</v>
      </c>
      <c r="X14" s="33">
        <v>1.25</v>
      </c>
      <c r="Y14" s="70">
        <v>5.875</v>
      </c>
      <c r="Z14" s="44" t="s">
        <v>259</v>
      </c>
      <c r="AA14" s="33" t="s">
        <v>259</v>
      </c>
      <c r="AB14" s="33" t="s">
        <v>259</v>
      </c>
      <c r="AC14" s="70" t="s">
        <v>259</v>
      </c>
      <c r="AD14" s="44">
        <v>4.3</v>
      </c>
      <c r="AE14" s="33">
        <v>9.875</v>
      </c>
      <c r="AF14" s="33">
        <v>5.25</v>
      </c>
      <c r="AG14" s="70">
        <v>10.25</v>
      </c>
      <c r="AH14" s="42">
        <f t="shared" si="16"/>
        <v>0.3075222439236111</v>
      </c>
      <c r="AI14" s="37" t="s">
        <v>2901</v>
      </c>
      <c r="AJ14" s="37" t="s">
        <v>2902</v>
      </c>
      <c r="AK14" s="37" t="s">
        <v>2903</v>
      </c>
      <c r="AL14" s="40" t="s">
        <v>2904</v>
      </c>
      <c r="AM14" s="40" t="s">
        <v>2905</v>
      </c>
      <c r="AN14" s="40" t="s">
        <v>2906</v>
      </c>
      <c r="AO14" s="40" t="s">
        <v>2907</v>
      </c>
      <c r="AP14" s="40"/>
      <c r="AQ14" s="9" t="s">
        <v>2742</v>
      </c>
      <c r="AR14" s="18" t="s">
        <v>2909</v>
      </c>
      <c r="AS14" s="94" t="s">
        <v>2908</v>
      </c>
    </row>
    <row r="15" spans="1:45" s="14" customFormat="1" x14ac:dyDescent="0.2">
      <c r="A15" s="18" t="s">
        <v>510</v>
      </c>
      <c r="B15" s="125"/>
      <c r="C15" s="19" t="s">
        <v>1570</v>
      </c>
      <c r="D15" s="15" t="s">
        <v>369</v>
      </c>
      <c r="E15" s="19" t="s">
        <v>2403</v>
      </c>
      <c r="F15" s="15" t="s">
        <v>222</v>
      </c>
      <c r="G15" s="22" t="s">
        <v>2520</v>
      </c>
      <c r="H15" s="47">
        <v>7331423006427</v>
      </c>
      <c r="I15" s="47" t="s">
        <v>259</v>
      </c>
      <c r="J15" s="47">
        <v>7331423007561</v>
      </c>
      <c r="K15" s="47" t="s">
        <v>259</v>
      </c>
      <c r="L15" s="79" t="s">
        <v>1299</v>
      </c>
      <c r="M15" s="27" t="s">
        <v>977</v>
      </c>
      <c r="N15" s="514">
        <v>29.99</v>
      </c>
      <c r="O15" s="4">
        <v>39.99</v>
      </c>
      <c r="P15" s="35">
        <v>1</v>
      </c>
      <c r="Q15" s="187">
        <v>15</v>
      </c>
      <c r="R15" s="44">
        <f t="shared" si="0"/>
        <v>0.20723452645378493</v>
      </c>
      <c r="S15" s="33">
        <f t="shared" si="1"/>
        <v>1.7716535433070868</v>
      </c>
      <c r="T15" s="33">
        <f t="shared" si="2"/>
        <v>1.4960629921259843</v>
      </c>
      <c r="U15" s="70">
        <f t="shared" si="3"/>
        <v>8.8582677165354333</v>
      </c>
      <c r="V15" s="44">
        <v>0.25</v>
      </c>
      <c r="W15" s="33">
        <v>1.25</v>
      </c>
      <c r="X15" s="33">
        <v>1.25</v>
      </c>
      <c r="Y15" s="70">
        <v>5.875</v>
      </c>
      <c r="Z15" s="44" t="s">
        <v>259</v>
      </c>
      <c r="AA15" s="33" t="s">
        <v>259</v>
      </c>
      <c r="AB15" s="33" t="s">
        <v>259</v>
      </c>
      <c r="AC15" s="70" t="s">
        <v>259</v>
      </c>
      <c r="AD15" s="44">
        <v>4.3</v>
      </c>
      <c r="AE15" s="33">
        <v>9.875</v>
      </c>
      <c r="AF15" s="33">
        <v>5.25</v>
      </c>
      <c r="AG15" s="70">
        <v>10.25</v>
      </c>
      <c r="AH15" s="42">
        <f t="shared" si="16"/>
        <v>0.3075222439236111</v>
      </c>
      <c r="AI15" s="37" t="s">
        <v>2901</v>
      </c>
      <c r="AJ15" s="37" t="s">
        <v>2902</v>
      </c>
      <c r="AK15" s="37" t="s">
        <v>2903</v>
      </c>
      <c r="AL15" s="40" t="s">
        <v>2904</v>
      </c>
      <c r="AM15" s="40" t="s">
        <v>2905</v>
      </c>
      <c r="AN15" s="40" t="s">
        <v>2906</v>
      </c>
      <c r="AO15" s="40" t="s">
        <v>2907</v>
      </c>
      <c r="AP15" s="40"/>
      <c r="AQ15" s="9" t="s">
        <v>2742</v>
      </c>
      <c r="AR15" s="18" t="s">
        <v>2909</v>
      </c>
      <c r="AS15" s="94" t="s">
        <v>2908</v>
      </c>
    </row>
    <row r="16" spans="1:45" s="14" customFormat="1" x14ac:dyDescent="0.2">
      <c r="A16" s="18" t="s">
        <v>510</v>
      </c>
      <c r="B16" s="125"/>
      <c r="C16" s="19" t="s">
        <v>1570</v>
      </c>
      <c r="D16" s="15" t="s">
        <v>1741</v>
      </c>
      <c r="E16" s="19" t="s">
        <v>2403</v>
      </c>
      <c r="F16" s="14" t="s">
        <v>2776</v>
      </c>
      <c r="G16" s="22" t="s">
        <v>2520</v>
      </c>
      <c r="H16" s="47">
        <v>7331423009909</v>
      </c>
      <c r="I16" s="47" t="s">
        <v>259</v>
      </c>
      <c r="J16" s="47">
        <v>7331423100385</v>
      </c>
      <c r="K16" s="47" t="s">
        <v>259</v>
      </c>
      <c r="L16" s="79" t="s">
        <v>1299</v>
      </c>
      <c r="M16" s="27" t="s">
        <v>977</v>
      </c>
      <c r="N16" s="514">
        <v>29.99</v>
      </c>
      <c r="O16" s="4">
        <v>39.99</v>
      </c>
      <c r="P16" s="35">
        <v>1</v>
      </c>
      <c r="Q16" s="187">
        <v>15</v>
      </c>
      <c r="R16" s="44">
        <f t="shared" si="0"/>
        <v>0.20723452645378493</v>
      </c>
      <c r="S16" s="33">
        <f t="shared" si="1"/>
        <v>1.7716535433070868</v>
      </c>
      <c r="T16" s="33">
        <f t="shared" si="2"/>
        <v>1.4960629921259843</v>
      </c>
      <c r="U16" s="70">
        <f t="shared" si="3"/>
        <v>8.8582677165354333</v>
      </c>
      <c r="V16" s="44">
        <v>0.25</v>
      </c>
      <c r="W16" s="33">
        <v>1.25</v>
      </c>
      <c r="X16" s="33">
        <v>1.25</v>
      </c>
      <c r="Y16" s="70">
        <v>5.875</v>
      </c>
      <c r="Z16" s="44" t="s">
        <v>259</v>
      </c>
      <c r="AA16" s="33" t="s">
        <v>259</v>
      </c>
      <c r="AB16" s="33" t="s">
        <v>259</v>
      </c>
      <c r="AC16" s="70" t="s">
        <v>259</v>
      </c>
      <c r="AD16" s="44">
        <v>4.3</v>
      </c>
      <c r="AE16" s="33">
        <v>9.875</v>
      </c>
      <c r="AF16" s="33">
        <v>5.25</v>
      </c>
      <c r="AG16" s="70">
        <v>10.25</v>
      </c>
      <c r="AH16" s="42">
        <f t="shared" si="16"/>
        <v>0.3075222439236111</v>
      </c>
      <c r="AI16" s="37" t="s">
        <v>2901</v>
      </c>
      <c r="AJ16" s="37" t="s">
        <v>2902</v>
      </c>
      <c r="AK16" s="37" t="s">
        <v>2903</v>
      </c>
      <c r="AL16" s="40" t="s">
        <v>2904</v>
      </c>
      <c r="AM16" s="40" t="s">
        <v>2905</v>
      </c>
      <c r="AN16" s="40" t="s">
        <v>2906</v>
      </c>
      <c r="AO16" s="40" t="s">
        <v>2907</v>
      </c>
      <c r="AP16" s="40"/>
      <c r="AQ16" s="9" t="s">
        <v>2742</v>
      </c>
      <c r="AR16" s="18" t="s">
        <v>2909</v>
      </c>
      <c r="AS16" s="94" t="s">
        <v>2908</v>
      </c>
    </row>
    <row r="17" spans="1:45" s="14" customFormat="1" x14ac:dyDescent="0.2">
      <c r="A17" s="18" t="s">
        <v>510</v>
      </c>
      <c r="B17" s="125"/>
      <c r="C17" s="19" t="s">
        <v>1098</v>
      </c>
      <c r="D17" s="15" t="s">
        <v>383</v>
      </c>
      <c r="E17" s="19" t="s">
        <v>2404</v>
      </c>
      <c r="F17" s="14" t="s">
        <v>484</v>
      </c>
      <c r="G17" s="22" t="s">
        <v>2777</v>
      </c>
      <c r="H17" s="30">
        <v>7331423006700</v>
      </c>
      <c r="I17" s="47" t="s">
        <v>259</v>
      </c>
      <c r="J17" s="47" t="s">
        <v>259</v>
      </c>
      <c r="K17" s="47" t="s">
        <v>259</v>
      </c>
      <c r="L17" s="29" t="s">
        <v>1044</v>
      </c>
      <c r="M17" s="27" t="s">
        <v>977</v>
      </c>
      <c r="N17" s="5"/>
      <c r="O17" s="5">
        <v>11.99</v>
      </c>
      <c r="P17" s="35">
        <v>1</v>
      </c>
      <c r="Q17" s="187">
        <v>6</v>
      </c>
      <c r="R17" s="44">
        <f>CONVERT(21,"g","lbm")</f>
        <v>4.6297075058824293E-2</v>
      </c>
      <c r="S17" s="33">
        <v>1.25</v>
      </c>
      <c r="T17" s="33">
        <v>0.75</v>
      </c>
      <c r="U17" s="70">
        <v>2.375</v>
      </c>
      <c r="V17" s="44">
        <f t="shared" ref="V17:V23" si="17">CONVERT(0.02,"kg","lbm")</f>
        <v>4.4092452436975516E-2</v>
      </c>
      <c r="W17" s="33">
        <f t="shared" ref="W17:W23" si="18">CONVERT(83,"mm","in")</f>
        <v>3.2677165354330708</v>
      </c>
      <c r="X17" s="33">
        <f t="shared" ref="X17:X23" si="19">CONVERT(20,"mm","in")</f>
        <v>0.78740157480314965</v>
      </c>
      <c r="Y17" s="70">
        <f t="shared" ref="Y17:Y23" si="20">CONVERT(140,"mm","in")</f>
        <v>5.5118110236220472</v>
      </c>
      <c r="Z17" s="44" t="s">
        <v>259</v>
      </c>
      <c r="AA17" s="33" t="s">
        <v>259</v>
      </c>
      <c r="AB17" s="33" t="s">
        <v>259</v>
      </c>
      <c r="AC17" s="70" t="s">
        <v>259</v>
      </c>
      <c r="AD17" s="44">
        <f t="shared" ref="AD17:AD23" si="21">CONVERT(0.134,"kg","lbm")</f>
        <v>0.29541943132773596</v>
      </c>
      <c r="AE17" s="33">
        <f t="shared" ref="AE17:AE23" si="22">CONVERT(200,"mm","in")</f>
        <v>7.8740157480314963</v>
      </c>
      <c r="AF17" s="33">
        <f t="shared" ref="AF17:AF23" si="23">CONVERT(125,"mm","in")</f>
        <v>4.9212598425196852</v>
      </c>
      <c r="AG17" s="70">
        <f t="shared" ref="AG17:AG23" si="24">CONVERT(40,"mm","in")</f>
        <v>1.5748031496062993</v>
      </c>
      <c r="AH17" s="42">
        <f t="shared" si="16"/>
        <v>3.5314666721488593E-2</v>
      </c>
      <c r="AI17" s="37" t="s">
        <v>2910</v>
      </c>
      <c r="AJ17" s="37" t="s">
        <v>2914</v>
      </c>
      <c r="AK17" s="37" t="s">
        <v>2913</v>
      </c>
      <c r="AL17" s="37" t="s">
        <v>2912</v>
      </c>
      <c r="AM17" s="37" t="s">
        <v>2911</v>
      </c>
      <c r="AN17" s="37"/>
      <c r="AO17" s="37"/>
      <c r="AP17" s="37"/>
      <c r="AQ17" s="37" t="s">
        <v>2915</v>
      </c>
      <c r="AR17" s="18" t="s">
        <v>2909</v>
      </c>
      <c r="AS17" s="94" t="s">
        <v>2908</v>
      </c>
    </row>
    <row r="18" spans="1:45" s="14" customFormat="1" x14ac:dyDescent="0.2">
      <c r="A18" s="18" t="s">
        <v>510</v>
      </c>
      <c r="B18" s="125"/>
      <c r="C18" s="19" t="s">
        <v>1098</v>
      </c>
      <c r="D18" s="15" t="s">
        <v>1017</v>
      </c>
      <c r="E18" s="19" t="s">
        <v>2404</v>
      </c>
      <c r="F18" s="15" t="s">
        <v>1018</v>
      </c>
      <c r="G18" s="22" t="s">
        <v>2777</v>
      </c>
      <c r="H18" s="30">
        <v>7331423006687</v>
      </c>
      <c r="I18" s="47" t="s">
        <v>259</v>
      </c>
      <c r="J18" s="47" t="s">
        <v>259</v>
      </c>
      <c r="K18" s="47" t="s">
        <v>259</v>
      </c>
      <c r="L18" s="29" t="s">
        <v>1044</v>
      </c>
      <c r="M18" s="27" t="s">
        <v>977</v>
      </c>
      <c r="N18" s="5"/>
      <c r="O18" s="5">
        <v>11.99</v>
      </c>
      <c r="P18" s="35">
        <v>1</v>
      </c>
      <c r="Q18" s="187">
        <v>6</v>
      </c>
      <c r="R18" s="44">
        <f t="shared" ref="R18:R23" si="25">CONVERT(21,"g","lbm")</f>
        <v>4.6297075058824293E-2</v>
      </c>
      <c r="S18" s="33">
        <v>1.25</v>
      </c>
      <c r="T18" s="33">
        <v>0.75</v>
      </c>
      <c r="U18" s="70">
        <v>2.375</v>
      </c>
      <c r="V18" s="44">
        <f t="shared" si="17"/>
        <v>4.4092452436975516E-2</v>
      </c>
      <c r="W18" s="33">
        <f t="shared" si="18"/>
        <v>3.2677165354330708</v>
      </c>
      <c r="X18" s="33">
        <f t="shared" si="19"/>
        <v>0.78740157480314965</v>
      </c>
      <c r="Y18" s="70">
        <f t="shared" si="20"/>
        <v>5.5118110236220472</v>
      </c>
      <c r="Z18" s="44" t="s">
        <v>259</v>
      </c>
      <c r="AA18" s="33" t="s">
        <v>259</v>
      </c>
      <c r="AB18" s="33" t="s">
        <v>259</v>
      </c>
      <c r="AC18" s="70" t="s">
        <v>259</v>
      </c>
      <c r="AD18" s="44">
        <f t="shared" si="21"/>
        <v>0.29541943132773596</v>
      </c>
      <c r="AE18" s="33">
        <f t="shared" si="22"/>
        <v>7.8740157480314963</v>
      </c>
      <c r="AF18" s="33">
        <f t="shared" si="23"/>
        <v>4.9212598425196852</v>
      </c>
      <c r="AG18" s="70">
        <f t="shared" si="24"/>
        <v>1.5748031496062993</v>
      </c>
      <c r="AH18" s="42">
        <f t="shared" si="16"/>
        <v>3.5314666721488593E-2</v>
      </c>
      <c r="AI18" s="37" t="s">
        <v>2910</v>
      </c>
      <c r="AJ18" s="37" t="s">
        <v>2914</v>
      </c>
      <c r="AK18" s="37" t="s">
        <v>2913</v>
      </c>
      <c r="AL18" s="37" t="s">
        <v>2912</v>
      </c>
      <c r="AM18" s="37" t="s">
        <v>2911</v>
      </c>
      <c r="AN18" s="37"/>
      <c r="AO18" s="37"/>
      <c r="AP18" s="37"/>
      <c r="AQ18" s="37" t="s">
        <v>2915</v>
      </c>
      <c r="AR18" s="18" t="s">
        <v>2909</v>
      </c>
      <c r="AS18" s="94" t="s">
        <v>2908</v>
      </c>
    </row>
    <row r="19" spans="1:45" s="14" customFormat="1" x14ac:dyDescent="0.2">
      <c r="A19" s="18" t="s">
        <v>510</v>
      </c>
      <c r="B19" s="125"/>
      <c r="C19" s="19" t="s">
        <v>1098</v>
      </c>
      <c r="D19" s="15" t="s">
        <v>1739</v>
      </c>
      <c r="E19" s="19" t="s">
        <v>2404</v>
      </c>
      <c r="F19" s="114" t="s">
        <v>1859</v>
      </c>
      <c r="G19" s="22" t="s">
        <v>2777</v>
      </c>
      <c r="H19" s="115">
        <v>7331423007950</v>
      </c>
      <c r="I19" s="47" t="s">
        <v>259</v>
      </c>
      <c r="J19" s="47" t="s">
        <v>259</v>
      </c>
      <c r="K19" s="47" t="s">
        <v>259</v>
      </c>
      <c r="L19" s="29" t="s">
        <v>1044</v>
      </c>
      <c r="M19" s="27" t="s">
        <v>977</v>
      </c>
      <c r="N19" s="5"/>
      <c r="O19" s="5">
        <v>11.99</v>
      </c>
      <c r="P19" s="35">
        <v>1</v>
      </c>
      <c r="Q19" s="187">
        <v>6</v>
      </c>
      <c r="R19" s="44">
        <f t="shared" si="25"/>
        <v>4.6297075058824293E-2</v>
      </c>
      <c r="S19" s="33">
        <v>1.25</v>
      </c>
      <c r="T19" s="33">
        <v>0.75</v>
      </c>
      <c r="U19" s="70">
        <v>2.375</v>
      </c>
      <c r="V19" s="44">
        <f t="shared" si="17"/>
        <v>4.4092452436975516E-2</v>
      </c>
      <c r="W19" s="33">
        <f t="shared" si="18"/>
        <v>3.2677165354330708</v>
      </c>
      <c r="X19" s="33">
        <f t="shared" si="19"/>
        <v>0.78740157480314965</v>
      </c>
      <c r="Y19" s="70">
        <f t="shared" si="20"/>
        <v>5.5118110236220472</v>
      </c>
      <c r="Z19" s="44" t="s">
        <v>259</v>
      </c>
      <c r="AA19" s="33" t="s">
        <v>259</v>
      </c>
      <c r="AB19" s="33" t="s">
        <v>259</v>
      </c>
      <c r="AC19" s="70" t="s">
        <v>259</v>
      </c>
      <c r="AD19" s="44">
        <f t="shared" si="21"/>
        <v>0.29541943132773596</v>
      </c>
      <c r="AE19" s="33">
        <f t="shared" si="22"/>
        <v>7.8740157480314963</v>
      </c>
      <c r="AF19" s="33">
        <f t="shared" si="23"/>
        <v>4.9212598425196852</v>
      </c>
      <c r="AG19" s="70">
        <f t="shared" si="24"/>
        <v>1.5748031496062993</v>
      </c>
      <c r="AH19" s="42">
        <f t="shared" si="16"/>
        <v>3.5314666721488593E-2</v>
      </c>
      <c r="AI19" s="37" t="s">
        <v>2910</v>
      </c>
      <c r="AJ19" s="37" t="s">
        <v>2914</v>
      </c>
      <c r="AK19" s="37" t="s">
        <v>2913</v>
      </c>
      <c r="AL19" s="37" t="s">
        <v>2912</v>
      </c>
      <c r="AM19" s="37" t="s">
        <v>2911</v>
      </c>
      <c r="AN19" s="37"/>
      <c r="AO19" s="37"/>
      <c r="AP19" s="37"/>
      <c r="AQ19" s="37" t="s">
        <v>2915</v>
      </c>
      <c r="AR19" s="18" t="s">
        <v>2909</v>
      </c>
      <c r="AS19" s="94" t="s">
        <v>2908</v>
      </c>
    </row>
    <row r="20" spans="1:45" s="14" customFormat="1" x14ac:dyDescent="0.2">
      <c r="A20" s="18" t="s">
        <v>510</v>
      </c>
      <c r="B20" s="125"/>
      <c r="C20" s="19" t="s">
        <v>1098</v>
      </c>
      <c r="D20" s="15" t="s">
        <v>371</v>
      </c>
      <c r="E20" s="19" t="s">
        <v>2404</v>
      </c>
      <c r="F20" s="15" t="s">
        <v>218</v>
      </c>
      <c r="G20" s="22" t="s">
        <v>2777</v>
      </c>
      <c r="H20" s="30">
        <v>7331423006694</v>
      </c>
      <c r="I20" s="47" t="s">
        <v>259</v>
      </c>
      <c r="J20" s="47" t="s">
        <v>259</v>
      </c>
      <c r="K20" s="47" t="s">
        <v>259</v>
      </c>
      <c r="L20" s="29" t="s">
        <v>1044</v>
      </c>
      <c r="M20" s="27" t="s">
        <v>977</v>
      </c>
      <c r="N20" s="5"/>
      <c r="O20" s="5">
        <v>11.99</v>
      </c>
      <c r="P20" s="35">
        <v>1</v>
      </c>
      <c r="Q20" s="187">
        <v>6</v>
      </c>
      <c r="R20" s="44">
        <f t="shared" si="25"/>
        <v>4.6297075058824293E-2</v>
      </c>
      <c r="S20" s="33">
        <v>1.25</v>
      </c>
      <c r="T20" s="33">
        <v>0.75</v>
      </c>
      <c r="U20" s="70">
        <v>2.375</v>
      </c>
      <c r="V20" s="44">
        <f t="shared" si="17"/>
        <v>4.4092452436975516E-2</v>
      </c>
      <c r="W20" s="33">
        <f t="shared" si="18"/>
        <v>3.2677165354330708</v>
      </c>
      <c r="X20" s="33">
        <f t="shared" si="19"/>
        <v>0.78740157480314965</v>
      </c>
      <c r="Y20" s="70">
        <f t="shared" si="20"/>
        <v>5.5118110236220472</v>
      </c>
      <c r="Z20" s="44" t="s">
        <v>259</v>
      </c>
      <c r="AA20" s="33" t="s">
        <v>259</v>
      </c>
      <c r="AB20" s="33" t="s">
        <v>259</v>
      </c>
      <c r="AC20" s="70" t="s">
        <v>259</v>
      </c>
      <c r="AD20" s="44">
        <f t="shared" si="21"/>
        <v>0.29541943132773596</v>
      </c>
      <c r="AE20" s="33">
        <f t="shared" si="22"/>
        <v>7.8740157480314963</v>
      </c>
      <c r="AF20" s="33">
        <f t="shared" si="23"/>
        <v>4.9212598425196852</v>
      </c>
      <c r="AG20" s="70">
        <f t="shared" si="24"/>
        <v>1.5748031496062993</v>
      </c>
      <c r="AH20" s="42">
        <f t="shared" si="16"/>
        <v>3.5314666721488593E-2</v>
      </c>
      <c r="AI20" s="37" t="s">
        <v>2910</v>
      </c>
      <c r="AJ20" s="37" t="s">
        <v>2914</v>
      </c>
      <c r="AK20" s="37" t="s">
        <v>2913</v>
      </c>
      <c r="AL20" s="37" t="s">
        <v>2912</v>
      </c>
      <c r="AM20" s="37" t="s">
        <v>2911</v>
      </c>
      <c r="AN20" s="37"/>
      <c r="AO20" s="37"/>
      <c r="AP20" s="37"/>
      <c r="AQ20" s="37" t="s">
        <v>2915</v>
      </c>
      <c r="AR20" s="18" t="s">
        <v>2909</v>
      </c>
      <c r="AS20" s="94" t="s">
        <v>2908</v>
      </c>
    </row>
    <row r="21" spans="1:45" s="14" customFormat="1" x14ac:dyDescent="0.2">
      <c r="A21" s="18" t="s">
        <v>510</v>
      </c>
      <c r="B21" s="125"/>
      <c r="C21" s="19" t="s">
        <v>1098</v>
      </c>
      <c r="D21" s="15" t="s">
        <v>1740</v>
      </c>
      <c r="E21" s="19" t="s">
        <v>2404</v>
      </c>
      <c r="F21" s="114" t="s">
        <v>1858</v>
      </c>
      <c r="G21" s="22" t="s">
        <v>2777</v>
      </c>
      <c r="H21" s="115">
        <v>7331423007943</v>
      </c>
      <c r="I21" s="47" t="s">
        <v>259</v>
      </c>
      <c r="J21" s="47" t="s">
        <v>259</v>
      </c>
      <c r="K21" s="47" t="s">
        <v>259</v>
      </c>
      <c r="L21" s="29" t="s">
        <v>1044</v>
      </c>
      <c r="M21" s="27" t="s">
        <v>977</v>
      </c>
      <c r="N21" s="5"/>
      <c r="O21" s="5">
        <v>11.99</v>
      </c>
      <c r="P21" s="35">
        <v>1</v>
      </c>
      <c r="Q21" s="187">
        <v>6</v>
      </c>
      <c r="R21" s="44">
        <f t="shared" si="25"/>
        <v>4.6297075058824293E-2</v>
      </c>
      <c r="S21" s="33">
        <v>1.25</v>
      </c>
      <c r="T21" s="33">
        <v>0.75</v>
      </c>
      <c r="U21" s="70">
        <v>2.375</v>
      </c>
      <c r="V21" s="44">
        <f t="shared" si="17"/>
        <v>4.4092452436975516E-2</v>
      </c>
      <c r="W21" s="33">
        <f t="shared" si="18"/>
        <v>3.2677165354330708</v>
      </c>
      <c r="X21" s="33">
        <f t="shared" si="19"/>
        <v>0.78740157480314965</v>
      </c>
      <c r="Y21" s="70">
        <f t="shared" si="20"/>
        <v>5.5118110236220472</v>
      </c>
      <c r="Z21" s="44" t="s">
        <v>259</v>
      </c>
      <c r="AA21" s="33" t="s">
        <v>259</v>
      </c>
      <c r="AB21" s="33" t="s">
        <v>259</v>
      </c>
      <c r="AC21" s="70" t="s">
        <v>259</v>
      </c>
      <c r="AD21" s="44">
        <f t="shared" si="21"/>
        <v>0.29541943132773596</v>
      </c>
      <c r="AE21" s="33">
        <f t="shared" si="22"/>
        <v>7.8740157480314963</v>
      </c>
      <c r="AF21" s="33">
        <f t="shared" si="23"/>
        <v>4.9212598425196852</v>
      </c>
      <c r="AG21" s="70">
        <f t="shared" si="24"/>
        <v>1.5748031496062993</v>
      </c>
      <c r="AH21" s="42">
        <f t="shared" si="16"/>
        <v>3.5314666721488593E-2</v>
      </c>
      <c r="AI21" s="37" t="s">
        <v>2910</v>
      </c>
      <c r="AJ21" s="37" t="s">
        <v>2914</v>
      </c>
      <c r="AK21" s="37" t="s">
        <v>2913</v>
      </c>
      <c r="AL21" s="37" t="s">
        <v>2912</v>
      </c>
      <c r="AM21" s="37" t="s">
        <v>2911</v>
      </c>
      <c r="AN21" s="37"/>
      <c r="AO21" s="37"/>
      <c r="AP21" s="37"/>
      <c r="AQ21" s="37" t="s">
        <v>2915</v>
      </c>
      <c r="AR21" s="18" t="s">
        <v>2909</v>
      </c>
      <c r="AS21" s="94" t="s">
        <v>2908</v>
      </c>
    </row>
    <row r="22" spans="1:45" s="14" customFormat="1" x14ac:dyDescent="0.2">
      <c r="A22" s="18" t="s">
        <v>510</v>
      </c>
      <c r="B22" s="125"/>
      <c r="C22" s="19" t="s">
        <v>1098</v>
      </c>
      <c r="D22" s="15" t="s">
        <v>374</v>
      </c>
      <c r="E22" s="19" t="s">
        <v>2404</v>
      </c>
      <c r="F22" s="15" t="s">
        <v>219</v>
      </c>
      <c r="G22" s="22" t="s">
        <v>2777</v>
      </c>
      <c r="H22" s="30">
        <v>7331423006717</v>
      </c>
      <c r="I22" s="47" t="s">
        <v>259</v>
      </c>
      <c r="J22" s="47" t="s">
        <v>259</v>
      </c>
      <c r="K22" s="47" t="s">
        <v>259</v>
      </c>
      <c r="L22" s="29" t="s">
        <v>1044</v>
      </c>
      <c r="M22" s="27" t="s">
        <v>977</v>
      </c>
      <c r="N22" s="5"/>
      <c r="O22" s="5">
        <v>11.99</v>
      </c>
      <c r="P22" s="35">
        <v>1</v>
      </c>
      <c r="Q22" s="187">
        <v>6</v>
      </c>
      <c r="R22" s="44">
        <f t="shared" si="25"/>
        <v>4.6297075058824293E-2</v>
      </c>
      <c r="S22" s="33">
        <v>1.25</v>
      </c>
      <c r="T22" s="33">
        <v>0.75</v>
      </c>
      <c r="U22" s="70">
        <v>2.375</v>
      </c>
      <c r="V22" s="44">
        <f t="shared" si="17"/>
        <v>4.4092452436975516E-2</v>
      </c>
      <c r="W22" s="33">
        <f t="shared" si="18"/>
        <v>3.2677165354330708</v>
      </c>
      <c r="X22" s="33">
        <f t="shared" si="19"/>
        <v>0.78740157480314965</v>
      </c>
      <c r="Y22" s="70">
        <f t="shared" si="20"/>
        <v>5.5118110236220472</v>
      </c>
      <c r="Z22" s="44" t="s">
        <v>259</v>
      </c>
      <c r="AA22" s="33" t="s">
        <v>259</v>
      </c>
      <c r="AB22" s="33" t="s">
        <v>259</v>
      </c>
      <c r="AC22" s="70" t="s">
        <v>259</v>
      </c>
      <c r="AD22" s="44">
        <f t="shared" si="21"/>
        <v>0.29541943132773596</v>
      </c>
      <c r="AE22" s="33">
        <f t="shared" si="22"/>
        <v>7.8740157480314963</v>
      </c>
      <c r="AF22" s="33">
        <f t="shared" si="23"/>
        <v>4.9212598425196852</v>
      </c>
      <c r="AG22" s="70">
        <f t="shared" si="24"/>
        <v>1.5748031496062993</v>
      </c>
      <c r="AH22" s="42">
        <f t="shared" si="16"/>
        <v>3.5314666721488593E-2</v>
      </c>
      <c r="AI22" s="37" t="s">
        <v>2910</v>
      </c>
      <c r="AJ22" s="37" t="s">
        <v>2914</v>
      </c>
      <c r="AK22" s="37" t="s">
        <v>2913</v>
      </c>
      <c r="AL22" s="37" t="s">
        <v>2912</v>
      </c>
      <c r="AM22" s="37" t="s">
        <v>2911</v>
      </c>
      <c r="AN22" s="37"/>
      <c r="AO22" s="37"/>
      <c r="AP22" s="37"/>
      <c r="AQ22" s="37" t="s">
        <v>2915</v>
      </c>
      <c r="AR22" s="18" t="s">
        <v>2909</v>
      </c>
      <c r="AS22" s="94" t="s">
        <v>2908</v>
      </c>
    </row>
    <row r="23" spans="1:45" s="14" customFormat="1" x14ac:dyDescent="0.2">
      <c r="A23" s="18" t="s">
        <v>510</v>
      </c>
      <c r="B23" s="125"/>
      <c r="C23" s="19" t="s">
        <v>1098</v>
      </c>
      <c r="D23" s="15" t="s">
        <v>369</v>
      </c>
      <c r="E23" s="19" t="s">
        <v>2404</v>
      </c>
      <c r="F23" s="15" t="s">
        <v>222</v>
      </c>
      <c r="G23" s="22" t="s">
        <v>2777</v>
      </c>
      <c r="H23" s="30">
        <v>7331423006670</v>
      </c>
      <c r="I23" s="47" t="s">
        <v>259</v>
      </c>
      <c r="J23" s="47" t="s">
        <v>259</v>
      </c>
      <c r="K23" s="47" t="s">
        <v>259</v>
      </c>
      <c r="L23" s="29" t="s">
        <v>1044</v>
      </c>
      <c r="M23" s="27" t="s">
        <v>977</v>
      </c>
      <c r="N23" s="5"/>
      <c r="O23" s="5">
        <v>11.99</v>
      </c>
      <c r="P23" s="35">
        <v>1</v>
      </c>
      <c r="Q23" s="187">
        <v>6</v>
      </c>
      <c r="R23" s="44">
        <f t="shared" si="25"/>
        <v>4.6297075058824293E-2</v>
      </c>
      <c r="S23" s="33">
        <v>1.25</v>
      </c>
      <c r="T23" s="33">
        <v>0.75</v>
      </c>
      <c r="U23" s="70">
        <v>2.375</v>
      </c>
      <c r="V23" s="44">
        <f t="shared" si="17"/>
        <v>4.4092452436975516E-2</v>
      </c>
      <c r="W23" s="33">
        <f t="shared" si="18"/>
        <v>3.2677165354330708</v>
      </c>
      <c r="X23" s="33">
        <f t="shared" si="19"/>
        <v>0.78740157480314965</v>
      </c>
      <c r="Y23" s="70">
        <f t="shared" si="20"/>
        <v>5.5118110236220472</v>
      </c>
      <c r="Z23" s="44" t="s">
        <v>259</v>
      </c>
      <c r="AA23" s="33" t="s">
        <v>259</v>
      </c>
      <c r="AB23" s="33" t="s">
        <v>259</v>
      </c>
      <c r="AC23" s="70" t="s">
        <v>259</v>
      </c>
      <c r="AD23" s="44">
        <f t="shared" si="21"/>
        <v>0.29541943132773596</v>
      </c>
      <c r="AE23" s="33">
        <f t="shared" si="22"/>
        <v>7.8740157480314963</v>
      </c>
      <c r="AF23" s="33">
        <f t="shared" si="23"/>
        <v>4.9212598425196852</v>
      </c>
      <c r="AG23" s="70">
        <f t="shared" si="24"/>
        <v>1.5748031496062993</v>
      </c>
      <c r="AH23" s="42">
        <f t="shared" si="16"/>
        <v>3.5314666721488593E-2</v>
      </c>
      <c r="AI23" s="37" t="s">
        <v>2910</v>
      </c>
      <c r="AJ23" s="37" t="s">
        <v>2914</v>
      </c>
      <c r="AK23" s="37" t="s">
        <v>2913</v>
      </c>
      <c r="AL23" s="37" t="s">
        <v>2912</v>
      </c>
      <c r="AM23" s="37" t="s">
        <v>2911</v>
      </c>
      <c r="AN23" s="37"/>
      <c r="AO23" s="37"/>
      <c r="AP23" s="37"/>
      <c r="AQ23" s="37" t="s">
        <v>2915</v>
      </c>
      <c r="AR23" s="18" t="s">
        <v>2909</v>
      </c>
      <c r="AS23" s="94" t="s">
        <v>2908</v>
      </c>
    </row>
    <row r="24" spans="1:45" s="18" customFormat="1" x14ac:dyDescent="0.2">
      <c r="B24" s="125"/>
      <c r="C24" s="19"/>
      <c r="D24" s="15" t="s">
        <v>529</v>
      </c>
      <c r="E24" s="19"/>
      <c r="F24" s="114"/>
      <c r="G24" s="114"/>
      <c r="H24" s="115"/>
      <c r="I24" s="115"/>
      <c r="J24" s="115"/>
      <c r="K24" s="115"/>
      <c r="L24" s="28"/>
      <c r="M24" s="36"/>
      <c r="N24" s="5"/>
      <c r="O24" s="5"/>
      <c r="P24" s="35"/>
      <c r="Q24" s="187"/>
      <c r="R24" s="33"/>
      <c r="S24" s="33"/>
      <c r="T24" s="33"/>
      <c r="U24" s="70"/>
      <c r="V24" s="44"/>
      <c r="W24" s="33"/>
      <c r="X24" s="33"/>
      <c r="Y24" s="70"/>
      <c r="Z24" s="44"/>
      <c r="AA24" s="33"/>
      <c r="AB24" s="33"/>
      <c r="AC24" s="70"/>
      <c r="AD24" s="44"/>
      <c r="AE24" s="33"/>
      <c r="AF24" s="33"/>
      <c r="AG24" s="70"/>
      <c r="AH24" s="44"/>
      <c r="AI24" s="37"/>
      <c r="AJ24" s="37"/>
      <c r="AK24" s="37"/>
      <c r="AL24" s="37"/>
      <c r="AM24" s="37"/>
      <c r="AN24" s="37"/>
      <c r="AO24" s="37"/>
      <c r="AP24" s="37"/>
      <c r="AQ24" s="37"/>
      <c r="AR24" s="94"/>
    </row>
    <row r="25" spans="1:45" s="106" customFormat="1" ht="15.75" x14ac:dyDescent="0.25">
      <c r="A25" s="106" t="s">
        <v>502</v>
      </c>
      <c r="B25" s="316"/>
      <c r="C25" s="142" t="s">
        <v>529</v>
      </c>
      <c r="D25" s="15" t="s">
        <v>529</v>
      </c>
      <c r="E25" s="143"/>
      <c r="H25" s="144"/>
      <c r="I25" s="144"/>
      <c r="J25" s="144"/>
      <c r="K25" s="144"/>
      <c r="L25" s="144"/>
      <c r="M25" s="144"/>
      <c r="N25" s="145"/>
      <c r="O25" s="145"/>
      <c r="P25" s="146"/>
      <c r="Q25" s="232"/>
      <c r="R25" s="142"/>
      <c r="S25" s="142"/>
      <c r="T25" s="142"/>
      <c r="U25" s="148"/>
      <c r="V25" s="147"/>
      <c r="W25" s="142"/>
      <c r="X25" s="142"/>
      <c r="Y25" s="148"/>
      <c r="Z25" s="147"/>
      <c r="AA25" s="142"/>
      <c r="AB25" s="142"/>
      <c r="AC25" s="148"/>
      <c r="AD25" s="147"/>
      <c r="AE25" s="142"/>
      <c r="AF25" s="142"/>
      <c r="AG25" s="148"/>
      <c r="AH25" s="147"/>
      <c r="AI25" s="105"/>
      <c r="AJ25" s="105"/>
      <c r="AK25" s="105"/>
      <c r="AL25" s="105"/>
      <c r="AM25" s="105"/>
      <c r="AN25" s="105"/>
      <c r="AO25" s="105"/>
      <c r="AP25" s="105"/>
      <c r="AQ25" s="105"/>
      <c r="AR25" s="105"/>
      <c r="AS25" s="105"/>
    </row>
    <row r="26" spans="1:45" s="172" customFormat="1" x14ac:dyDescent="0.2">
      <c r="A26" s="172" t="s">
        <v>1145</v>
      </c>
      <c r="B26" s="317"/>
      <c r="C26" s="149" t="s">
        <v>529</v>
      </c>
      <c r="D26" s="15" t="s">
        <v>529</v>
      </c>
      <c r="E26" s="149"/>
      <c r="G26" s="18"/>
      <c r="H26" s="190"/>
      <c r="I26" s="190"/>
      <c r="J26" s="190"/>
      <c r="K26" s="190"/>
      <c r="L26" s="173"/>
      <c r="M26" s="170"/>
      <c r="N26" s="174"/>
      <c r="O26" s="174"/>
      <c r="P26" s="175"/>
      <c r="Q26" s="233"/>
      <c r="R26" s="151"/>
      <c r="S26" s="151"/>
      <c r="T26" s="151"/>
      <c r="U26" s="152"/>
      <c r="V26" s="150"/>
      <c r="W26" s="151"/>
      <c r="X26" s="151"/>
      <c r="Y26" s="152"/>
      <c r="Z26" s="150"/>
      <c r="AA26" s="151"/>
      <c r="AB26" s="151"/>
      <c r="AC26" s="152"/>
      <c r="AD26" s="150"/>
      <c r="AE26" s="151"/>
      <c r="AF26" s="151"/>
      <c r="AG26" s="152"/>
      <c r="AH26" s="150"/>
      <c r="AI26" s="161"/>
      <c r="AJ26" s="161"/>
      <c r="AK26" s="161"/>
      <c r="AL26" s="161"/>
      <c r="AM26" s="161"/>
      <c r="AN26" s="161"/>
      <c r="AO26" s="161"/>
      <c r="AP26" s="161"/>
      <c r="AQ26" s="161"/>
      <c r="AS26" s="179"/>
    </row>
    <row r="27" spans="1:45" s="14" customFormat="1" x14ac:dyDescent="0.2">
      <c r="A27" s="14" t="s">
        <v>510</v>
      </c>
      <c r="B27" s="127"/>
      <c r="C27" s="37" t="s">
        <v>688</v>
      </c>
      <c r="D27" s="33" t="s">
        <v>383</v>
      </c>
      <c r="E27" s="45" t="s">
        <v>2397</v>
      </c>
      <c r="F27" s="45" t="s">
        <v>484</v>
      </c>
      <c r="G27" s="18" t="s">
        <v>2547</v>
      </c>
      <c r="H27" s="58" t="s">
        <v>691</v>
      </c>
      <c r="I27" s="58" t="s">
        <v>691</v>
      </c>
      <c r="J27" s="58" t="s">
        <v>691</v>
      </c>
      <c r="K27" s="66" t="s">
        <v>259</v>
      </c>
      <c r="L27" s="29" t="s">
        <v>1044</v>
      </c>
      <c r="M27" s="27" t="s">
        <v>977</v>
      </c>
      <c r="N27" s="514"/>
      <c r="O27" s="514">
        <f>IF($C27="","",VLOOKUP($C27,'2017 Pricelist'!$C:$I,7,FALSE))</f>
        <v>14.99</v>
      </c>
      <c r="P27" s="35">
        <v>6</v>
      </c>
      <c r="Q27" s="187">
        <v>72</v>
      </c>
      <c r="R27" s="33">
        <f t="shared" ref="R27:R35" si="26">CONVERT(27,"g","lbm")</f>
        <v>5.9524810789916942E-2</v>
      </c>
      <c r="S27" s="33">
        <f t="shared" ref="S27:S35" si="27">CONVERT(24,"mm","in")</f>
        <v>0.94488188976377963</v>
      </c>
      <c r="T27" s="33">
        <f t="shared" ref="T27:T35" si="28">CONVERT(14,"mm","in")</f>
        <v>0.55118110236220474</v>
      </c>
      <c r="U27" s="70">
        <f t="shared" ref="U27:U35" si="29">CONVERT(77,"mm","in")</f>
        <v>3.0314960629921264</v>
      </c>
      <c r="V27" s="44">
        <f t="shared" ref="V27:V35" si="30">CONVERT(0.05,"kg","lbm")</f>
        <v>0.11023113109243879</v>
      </c>
      <c r="W27" s="33">
        <f t="shared" ref="W27:W35" si="31">CONVERT(103,"mm","in")</f>
        <v>4.0551181102362204</v>
      </c>
      <c r="X27" s="33">
        <f t="shared" ref="X27:X35" si="32">CONVERT(19,"mm","in")</f>
        <v>0.74803149606299213</v>
      </c>
      <c r="Y27" s="70">
        <f t="shared" ref="Y27:Y35" si="33">CONVERT(200,"mm","in")</f>
        <v>7.8740157480314963</v>
      </c>
      <c r="Z27" s="44">
        <f t="shared" ref="Z27:Z35" si="34">CONVERT(0.3483,"kg","lbm")</f>
        <v>0.76787005918992857</v>
      </c>
      <c r="AA27" s="33">
        <f t="shared" ref="AA27:AA35" si="35">CONVERT(104,"mm","in")</f>
        <v>4.0944881889763778</v>
      </c>
      <c r="AB27" s="33">
        <f t="shared" ref="AB27:AB35" si="36">CONVERT(116,"mm","in")</f>
        <v>4.5669291338582685</v>
      </c>
      <c r="AC27" s="70">
        <f t="shared" ref="AC27:AC35" si="37">CONVERT(215,"mm","in")</f>
        <v>8.4645669291338574</v>
      </c>
      <c r="AD27" s="44">
        <f t="shared" ref="AD27:AD35" si="38">CONVERT(4.544,"kg","lbm")</f>
        <v>10.017805193680836</v>
      </c>
      <c r="AE27" s="33">
        <f t="shared" ref="AE27:AE35" si="39">CONVERT(364,"mm","in")</f>
        <v>14.330708661417322</v>
      </c>
      <c r="AF27" s="33">
        <f t="shared" ref="AF27:AF35" si="40">CONVERT(222,"mm","in")</f>
        <v>8.7401574803149611</v>
      </c>
      <c r="AG27" s="70">
        <f t="shared" ref="AG27:AG35" si="41">CONVERT(440,"mm","in")</f>
        <v>17.322834645669293</v>
      </c>
      <c r="AH27" s="42">
        <f t="shared" ref="AH27:AH35" si="42">AE27*AF27*AG27/(12^3)</f>
        <v>1.2556313389092222</v>
      </c>
      <c r="AI27" s="37" t="s">
        <v>2906</v>
      </c>
      <c r="AJ27" s="37" t="s">
        <v>2916</v>
      </c>
      <c r="AK27" s="37" t="s">
        <v>2917</v>
      </c>
      <c r="AL27" s="18" t="s">
        <v>2918</v>
      </c>
      <c r="AM27" s="40" t="s">
        <v>2919</v>
      </c>
      <c r="AN27" s="40" t="s">
        <v>2920</v>
      </c>
      <c r="AO27" s="40" t="s">
        <v>2921</v>
      </c>
      <c r="AP27" s="40"/>
      <c r="AQ27" s="37" t="s">
        <v>2924</v>
      </c>
      <c r="AR27" s="18" t="s">
        <v>2909</v>
      </c>
      <c r="AS27" s="94" t="s">
        <v>2908</v>
      </c>
    </row>
    <row r="28" spans="1:45" s="14" customFormat="1" x14ac:dyDescent="0.2">
      <c r="A28" s="14" t="s">
        <v>510</v>
      </c>
      <c r="B28" s="127"/>
      <c r="C28" s="37" t="s">
        <v>688</v>
      </c>
      <c r="D28" s="33" t="s">
        <v>1017</v>
      </c>
      <c r="E28" s="45" t="s">
        <v>2397</v>
      </c>
      <c r="F28" s="45" t="s">
        <v>1018</v>
      </c>
      <c r="G28" s="18" t="s">
        <v>2547</v>
      </c>
      <c r="H28" s="58">
        <v>7331423005819</v>
      </c>
      <c r="I28" s="66">
        <v>7331423100156</v>
      </c>
      <c r="J28" s="66">
        <v>7331423200313</v>
      </c>
      <c r="K28" s="66">
        <v>17331423200310</v>
      </c>
      <c r="L28" s="29" t="s">
        <v>1044</v>
      </c>
      <c r="M28" s="27" t="s">
        <v>977</v>
      </c>
      <c r="N28" s="514"/>
      <c r="O28" s="514">
        <f>IF($C28="","",VLOOKUP($C28,'2017 Pricelist'!$C:$I,7,FALSE))</f>
        <v>14.99</v>
      </c>
      <c r="P28" s="35">
        <v>6</v>
      </c>
      <c r="Q28" s="187">
        <v>72</v>
      </c>
      <c r="R28" s="33">
        <f t="shared" si="26"/>
        <v>5.9524810789916942E-2</v>
      </c>
      <c r="S28" s="33">
        <f t="shared" si="27"/>
        <v>0.94488188976377963</v>
      </c>
      <c r="T28" s="33">
        <f t="shared" si="28"/>
        <v>0.55118110236220474</v>
      </c>
      <c r="U28" s="70">
        <f t="shared" si="29"/>
        <v>3.0314960629921264</v>
      </c>
      <c r="V28" s="44">
        <f t="shared" si="30"/>
        <v>0.11023113109243879</v>
      </c>
      <c r="W28" s="33">
        <f t="shared" si="31"/>
        <v>4.0551181102362204</v>
      </c>
      <c r="X28" s="33">
        <f t="shared" si="32"/>
        <v>0.74803149606299213</v>
      </c>
      <c r="Y28" s="70">
        <f t="shared" si="33"/>
        <v>7.8740157480314963</v>
      </c>
      <c r="Z28" s="44">
        <f t="shared" si="34"/>
        <v>0.76787005918992857</v>
      </c>
      <c r="AA28" s="33">
        <f t="shared" si="35"/>
        <v>4.0944881889763778</v>
      </c>
      <c r="AB28" s="33">
        <f t="shared" si="36"/>
        <v>4.5669291338582685</v>
      </c>
      <c r="AC28" s="70">
        <f t="shared" si="37"/>
        <v>8.4645669291338574</v>
      </c>
      <c r="AD28" s="44">
        <f t="shared" si="38"/>
        <v>10.017805193680836</v>
      </c>
      <c r="AE28" s="33">
        <f t="shared" si="39"/>
        <v>14.330708661417322</v>
      </c>
      <c r="AF28" s="33">
        <f t="shared" si="40"/>
        <v>8.7401574803149611</v>
      </c>
      <c r="AG28" s="70">
        <f t="shared" si="41"/>
        <v>17.322834645669293</v>
      </c>
      <c r="AH28" s="42">
        <f t="shared" si="42"/>
        <v>1.2556313389092222</v>
      </c>
      <c r="AI28" s="37" t="s">
        <v>2906</v>
      </c>
      <c r="AJ28" s="37" t="s">
        <v>2916</v>
      </c>
      <c r="AK28" s="37" t="s">
        <v>2917</v>
      </c>
      <c r="AL28" s="18" t="s">
        <v>2918</v>
      </c>
      <c r="AM28" s="40" t="s">
        <v>2919</v>
      </c>
      <c r="AN28" s="40" t="s">
        <v>2920</v>
      </c>
      <c r="AO28" s="40" t="s">
        <v>2921</v>
      </c>
      <c r="AP28" s="40"/>
      <c r="AQ28" s="37" t="s">
        <v>2924</v>
      </c>
      <c r="AR28" s="18" t="s">
        <v>2909</v>
      </c>
      <c r="AS28" s="94" t="s">
        <v>2908</v>
      </c>
    </row>
    <row r="29" spans="1:45" s="14" customFormat="1" x14ac:dyDescent="0.2">
      <c r="A29" s="14" t="s">
        <v>510</v>
      </c>
      <c r="B29" s="127"/>
      <c r="C29" s="37" t="s">
        <v>688</v>
      </c>
      <c r="D29" s="33" t="s">
        <v>371</v>
      </c>
      <c r="E29" s="45" t="s">
        <v>2397</v>
      </c>
      <c r="F29" s="45" t="s">
        <v>218</v>
      </c>
      <c r="G29" s="18" t="s">
        <v>2547</v>
      </c>
      <c r="H29" s="58" t="s">
        <v>695</v>
      </c>
      <c r="I29" s="66">
        <v>7331423100170</v>
      </c>
      <c r="J29" s="66">
        <v>7331423200337</v>
      </c>
      <c r="K29" s="66">
        <v>17331423200334</v>
      </c>
      <c r="L29" s="29" t="s">
        <v>1044</v>
      </c>
      <c r="M29" s="27" t="s">
        <v>977</v>
      </c>
      <c r="N29" s="514"/>
      <c r="O29" s="514">
        <f>IF($C29="","",VLOOKUP($C29,'2017 Pricelist'!$C:$I,7,FALSE))</f>
        <v>14.99</v>
      </c>
      <c r="P29" s="35">
        <v>6</v>
      </c>
      <c r="Q29" s="187">
        <v>72</v>
      </c>
      <c r="R29" s="33">
        <f t="shared" si="26"/>
        <v>5.9524810789916942E-2</v>
      </c>
      <c r="S29" s="33">
        <f t="shared" si="27"/>
        <v>0.94488188976377963</v>
      </c>
      <c r="T29" s="33">
        <f t="shared" si="28"/>
        <v>0.55118110236220474</v>
      </c>
      <c r="U29" s="70">
        <f t="shared" si="29"/>
        <v>3.0314960629921264</v>
      </c>
      <c r="V29" s="44">
        <f t="shared" si="30"/>
        <v>0.11023113109243879</v>
      </c>
      <c r="W29" s="33">
        <f t="shared" si="31"/>
        <v>4.0551181102362204</v>
      </c>
      <c r="X29" s="33">
        <f t="shared" si="32"/>
        <v>0.74803149606299213</v>
      </c>
      <c r="Y29" s="70">
        <f t="shared" si="33"/>
        <v>7.8740157480314963</v>
      </c>
      <c r="Z29" s="44">
        <f t="shared" si="34"/>
        <v>0.76787005918992857</v>
      </c>
      <c r="AA29" s="33">
        <f t="shared" si="35"/>
        <v>4.0944881889763778</v>
      </c>
      <c r="AB29" s="33">
        <f t="shared" si="36"/>
        <v>4.5669291338582685</v>
      </c>
      <c r="AC29" s="70">
        <f t="shared" si="37"/>
        <v>8.4645669291338574</v>
      </c>
      <c r="AD29" s="44">
        <f t="shared" si="38"/>
        <v>10.017805193680836</v>
      </c>
      <c r="AE29" s="33">
        <f t="shared" si="39"/>
        <v>14.330708661417322</v>
      </c>
      <c r="AF29" s="33">
        <f t="shared" si="40"/>
        <v>8.7401574803149611</v>
      </c>
      <c r="AG29" s="70">
        <f t="shared" si="41"/>
        <v>17.322834645669293</v>
      </c>
      <c r="AH29" s="42">
        <f t="shared" si="42"/>
        <v>1.2556313389092222</v>
      </c>
      <c r="AI29" s="37" t="s">
        <v>2906</v>
      </c>
      <c r="AJ29" s="37" t="s">
        <v>2916</v>
      </c>
      <c r="AK29" s="37" t="s">
        <v>2917</v>
      </c>
      <c r="AL29" s="18" t="s">
        <v>2918</v>
      </c>
      <c r="AM29" s="40" t="s">
        <v>2919</v>
      </c>
      <c r="AN29" s="40" t="s">
        <v>2920</v>
      </c>
      <c r="AO29" s="40" t="s">
        <v>2921</v>
      </c>
      <c r="AP29" s="40"/>
      <c r="AQ29" s="37" t="s">
        <v>2924</v>
      </c>
      <c r="AR29" s="18" t="s">
        <v>2909</v>
      </c>
      <c r="AS29" s="94" t="s">
        <v>2908</v>
      </c>
    </row>
    <row r="30" spans="1:45" s="14" customFormat="1" x14ac:dyDescent="0.2">
      <c r="A30" s="14" t="s">
        <v>510</v>
      </c>
      <c r="B30" s="127"/>
      <c r="C30" s="37" t="s">
        <v>688</v>
      </c>
      <c r="D30" s="33" t="s">
        <v>374</v>
      </c>
      <c r="E30" s="45" t="s">
        <v>2397</v>
      </c>
      <c r="F30" s="45" t="s">
        <v>219</v>
      </c>
      <c r="G30" s="18" t="s">
        <v>2547</v>
      </c>
      <c r="H30" s="58">
        <v>7331423004362</v>
      </c>
      <c r="I30" s="66">
        <v>7331423100187</v>
      </c>
      <c r="J30" s="66">
        <v>7331423200726</v>
      </c>
      <c r="K30" s="66">
        <v>17331423201935</v>
      </c>
      <c r="L30" s="29" t="s">
        <v>1044</v>
      </c>
      <c r="M30" s="27" t="s">
        <v>977</v>
      </c>
      <c r="N30" s="514"/>
      <c r="O30" s="514">
        <f>IF($C30="","",VLOOKUP($C30,'2017 Pricelist'!$C:$I,7,FALSE))</f>
        <v>14.99</v>
      </c>
      <c r="P30" s="35">
        <v>6</v>
      </c>
      <c r="Q30" s="187">
        <v>72</v>
      </c>
      <c r="R30" s="33">
        <f t="shared" si="26"/>
        <v>5.9524810789916942E-2</v>
      </c>
      <c r="S30" s="33">
        <f t="shared" si="27"/>
        <v>0.94488188976377963</v>
      </c>
      <c r="T30" s="33">
        <f t="shared" si="28"/>
        <v>0.55118110236220474</v>
      </c>
      <c r="U30" s="70">
        <f t="shared" si="29"/>
        <v>3.0314960629921264</v>
      </c>
      <c r="V30" s="44">
        <f t="shared" si="30"/>
        <v>0.11023113109243879</v>
      </c>
      <c r="W30" s="33">
        <f t="shared" si="31"/>
        <v>4.0551181102362204</v>
      </c>
      <c r="X30" s="33">
        <f t="shared" si="32"/>
        <v>0.74803149606299213</v>
      </c>
      <c r="Y30" s="70">
        <f t="shared" si="33"/>
        <v>7.8740157480314963</v>
      </c>
      <c r="Z30" s="44">
        <f t="shared" si="34"/>
        <v>0.76787005918992857</v>
      </c>
      <c r="AA30" s="33">
        <f t="shared" si="35"/>
        <v>4.0944881889763778</v>
      </c>
      <c r="AB30" s="33">
        <f t="shared" si="36"/>
        <v>4.5669291338582685</v>
      </c>
      <c r="AC30" s="70">
        <f t="shared" si="37"/>
        <v>8.4645669291338574</v>
      </c>
      <c r="AD30" s="44">
        <f t="shared" si="38"/>
        <v>10.017805193680836</v>
      </c>
      <c r="AE30" s="33">
        <f t="shared" si="39"/>
        <v>14.330708661417322</v>
      </c>
      <c r="AF30" s="33">
        <f t="shared" si="40"/>
        <v>8.7401574803149611</v>
      </c>
      <c r="AG30" s="70">
        <f t="shared" si="41"/>
        <v>17.322834645669293</v>
      </c>
      <c r="AH30" s="42">
        <f t="shared" si="42"/>
        <v>1.2556313389092222</v>
      </c>
      <c r="AI30" s="37" t="s">
        <v>2906</v>
      </c>
      <c r="AJ30" s="37" t="s">
        <v>2916</v>
      </c>
      <c r="AK30" s="37" t="s">
        <v>2917</v>
      </c>
      <c r="AL30" s="18" t="s">
        <v>2918</v>
      </c>
      <c r="AM30" s="40" t="s">
        <v>2919</v>
      </c>
      <c r="AN30" s="40" t="s">
        <v>2920</v>
      </c>
      <c r="AO30" s="40" t="s">
        <v>2921</v>
      </c>
      <c r="AP30" s="40"/>
      <c r="AQ30" s="37" t="s">
        <v>2924</v>
      </c>
      <c r="AR30" s="18" t="s">
        <v>2909</v>
      </c>
      <c r="AS30" s="94" t="s">
        <v>2908</v>
      </c>
    </row>
    <row r="31" spans="1:45" s="14" customFormat="1" x14ac:dyDescent="0.2">
      <c r="A31" s="14" t="s">
        <v>510</v>
      </c>
      <c r="B31" s="127"/>
      <c r="C31" s="37" t="s">
        <v>688</v>
      </c>
      <c r="D31" s="33" t="s">
        <v>369</v>
      </c>
      <c r="E31" s="45" t="s">
        <v>2397</v>
      </c>
      <c r="F31" s="45" t="s">
        <v>222</v>
      </c>
      <c r="G31" s="18" t="s">
        <v>2547</v>
      </c>
      <c r="H31" s="58" t="s">
        <v>692</v>
      </c>
      <c r="I31" s="66">
        <v>7331423100163</v>
      </c>
      <c r="J31" s="66">
        <v>7331423200320</v>
      </c>
      <c r="K31" s="66">
        <v>17331423200327</v>
      </c>
      <c r="L31" s="29" t="s">
        <v>1044</v>
      </c>
      <c r="M31" s="27" t="s">
        <v>977</v>
      </c>
      <c r="N31" s="514"/>
      <c r="O31" s="514">
        <f>IF($C31="","",VLOOKUP($C31,'2017 Pricelist'!$C:$I,7,FALSE))</f>
        <v>14.99</v>
      </c>
      <c r="P31" s="35">
        <v>6</v>
      </c>
      <c r="Q31" s="187">
        <v>72</v>
      </c>
      <c r="R31" s="33">
        <f t="shared" si="26"/>
        <v>5.9524810789916942E-2</v>
      </c>
      <c r="S31" s="33">
        <f t="shared" si="27"/>
        <v>0.94488188976377963</v>
      </c>
      <c r="T31" s="33">
        <f t="shared" si="28"/>
        <v>0.55118110236220474</v>
      </c>
      <c r="U31" s="70">
        <f t="shared" si="29"/>
        <v>3.0314960629921264</v>
      </c>
      <c r="V31" s="44">
        <f t="shared" si="30"/>
        <v>0.11023113109243879</v>
      </c>
      <c r="W31" s="33">
        <f t="shared" si="31"/>
        <v>4.0551181102362204</v>
      </c>
      <c r="X31" s="33">
        <f t="shared" si="32"/>
        <v>0.74803149606299213</v>
      </c>
      <c r="Y31" s="70">
        <f t="shared" si="33"/>
        <v>7.8740157480314963</v>
      </c>
      <c r="Z31" s="44">
        <f t="shared" si="34"/>
        <v>0.76787005918992857</v>
      </c>
      <c r="AA31" s="33">
        <f t="shared" si="35"/>
        <v>4.0944881889763778</v>
      </c>
      <c r="AB31" s="33">
        <f t="shared" si="36"/>
        <v>4.5669291338582685</v>
      </c>
      <c r="AC31" s="70">
        <f t="shared" si="37"/>
        <v>8.4645669291338574</v>
      </c>
      <c r="AD31" s="44">
        <f t="shared" si="38"/>
        <v>10.017805193680836</v>
      </c>
      <c r="AE31" s="33">
        <f t="shared" si="39"/>
        <v>14.330708661417322</v>
      </c>
      <c r="AF31" s="33">
        <f t="shared" si="40"/>
        <v>8.7401574803149611</v>
      </c>
      <c r="AG31" s="70">
        <f t="shared" si="41"/>
        <v>17.322834645669293</v>
      </c>
      <c r="AH31" s="42">
        <f t="shared" si="42"/>
        <v>1.2556313389092222</v>
      </c>
      <c r="AI31" s="37" t="s">
        <v>2906</v>
      </c>
      <c r="AJ31" s="37" t="s">
        <v>2916</v>
      </c>
      <c r="AK31" s="37" t="s">
        <v>2917</v>
      </c>
      <c r="AL31" s="18" t="s">
        <v>2918</v>
      </c>
      <c r="AM31" s="40" t="s">
        <v>2919</v>
      </c>
      <c r="AN31" s="40" t="s">
        <v>2920</v>
      </c>
      <c r="AO31" s="40" t="s">
        <v>2921</v>
      </c>
      <c r="AP31" s="40"/>
      <c r="AQ31" s="37" t="s">
        <v>2924</v>
      </c>
      <c r="AR31" s="18" t="s">
        <v>2909</v>
      </c>
      <c r="AS31" s="94" t="s">
        <v>2908</v>
      </c>
    </row>
    <row r="32" spans="1:45" s="14" customFormat="1" x14ac:dyDescent="0.2">
      <c r="A32" s="14" t="s">
        <v>510</v>
      </c>
      <c r="B32" s="127"/>
      <c r="C32" s="37" t="s">
        <v>688</v>
      </c>
      <c r="D32" s="33" t="s">
        <v>2667</v>
      </c>
      <c r="E32" s="45" t="s">
        <v>2397</v>
      </c>
      <c r="F32" s="45" t="s">
        <v>2762</v>
      </c>
      <c r="G32" s="18" t="s">
        <v>2547</v>
      </c>
      <c r="H32" s="58">
        <v>7331423007233</v>
      </c>
      <c r="I32" s="66">
        <v>7331423100194</v>
      </c>
      <c r="J32" s="66">
        <v>7331423200351</v>
      </c>
      <c r="K32" s="66">
        <v>17331423200358</v>
      </c>
      <c r="L32" s="29" t="s">
        <v>1044</v>
      </c>
      <c r="M32" s="27" t="s">
        <v>977</v>
      </c>
      <c r="N32" s="514"/>
      <c r="O32" s="514">
        <f>IF($C32="","",VLOOKUP($C32,'2017 Pricelist'!$C:$I,7,FALSE))</f>
        <v>14.99</v>
      </c>
      <c r="P32" s="35">
        <v>6</v>
      </c>
      <c r="Q32" s="187">
        <v>72</v>
      </c>
      <c r="R32" s="33">
        <f t="shared" si="26"/>
        <v>5.9524810789916942E-2</v>
      </c>
      <c r="S32" s="33">
        <f t="shared" si="27"/>
        <v>0.94488188976377963</v>
      </c>
      <c r="T32" s="33">
        <f t="shared" si="28"/>
        <v>0.55118110236220474</v>
      </c>
      <c r="U32" s="70">
        <f t="shared" si="29"/>
        <v>3.0314960629921264</v>
      </c>
      <c r="V32" s="44">
        <f t="shared" si="30"/>
        <v>0.11023113109243879</v>
      </c>
      <c r="W32" s="33">
        <f t="shared" si="31"/>
        <v>4.0551181102362204</v>
      </c>
      <c r="X32" s="33">
        <f t="shared" si="32"/>
        <v>0.74803149606299213</v>
      </c>
      <c r="Y32" s="70">
        <f t="shared" si="33"/>
        <v>7.8740157480314963</v>
      </c>
      <c r="Z32" s="44">
        <f t="shared" si="34"/>
        <v>0.76787005918992857</v>
      </c>
      <c r="AA32" s="33">
        <f t="shared" si="35"/>
        <v>4.0944881889763778</v>
      </c>
      <c r="AB32" s="33">
        <f t="shared" si="36"/>
        <v>4.5669291338582685</v>
      </c>
      <c r="AC32" s="70">
        <f t="shared" si="37"/>
        <v>8.4645669291338574</v>
      </c>
      <c r="AD32" s="44">
        <f t="shared" si="38"/>
        <v>10.017805193680836</v>
      </c>
      <c r="AE32" s="33">
        <f t="shared" si="39"/>
        <v>14.330708661417322</v>
      </c>
      <c r="AF32" s="33">
        <f t="shared" si="40"/>
        <v>8.7401574803149611</v>
      </c>
      <c r="AG32" s="70">
        <f t="shared" si="41"/>
        <v>17.322834645669293</v>
      </c>
      <c r="AH32" s="42">
        <f t="shared" si="42"/>
        <v>1.2556313389092222</v>
      </c>
      <c r="AI32" s="37" t="s">
        <v>2906</v>
      </c>
      <c r="AJ32" s="37" t="s">
        <v>2916</v>
      </c>
      <c r="AK32" s="37" t="s">
        <v>2917</v>
      </c>
      <c r="AL32" s="18" t="s">
        <v>2918</v>
      </c>
      <c r="AM32" s="40" t="s">
        <v>2919</v>
      </c>
      <c r="AN32" s="40" t="s">
        <v>2920</v>
      </c>
      <c r="AO32" s="40" t="s">
        <v>2921</v>
      </c>
      <c r="AP32" s="40"/>
      <c r="AQ32" s="37" t="s">
        <v>2924</v>
      </c>
      <c r="AR32" s="18" t="s">
        <v>2909</v>
      </c>
      <c r="AS32" s="94" t="s">
        <v>2908</v>
      </c>
    </row>
    <row r="33" spans="1:45" s="14" customFormat="1" x14ac:dyDescent="0.2">
      <c r="A33" s="14" t="s">
        <v>510</v>
      </c>
      <c r="B33" s="127"/>
      <c r="C33" s="37" t="s">
        <v>688</v>
      </c>
      <c r="D33" s="33" t="s">
        <v>1739</v>
      </c>
      <c r="E33" s="45" t="s">
        <v>2397</v>
      </c>
      <c r="F33" s="45" t="s">
        <v>1859</v>
      </c>
      <c r="G33" s="18" t="s">
        <v>2547</v>
      </c>
      <c r="H33" s="58">
        <v>7331423007882</v>
      </c>
      <c r="I33" s="66">
        <v>7331423100149</v>
      </c>
      <c r="J33" s="66">
        <v>7331423200306</v>
      </c>
      <c r="K33" s="66">
        <v>17331423200303</v>
      </c>
      <c r="L33" s="29" t="s">
        <v>1044</v>
      </c>
      <c r="M33" s="27" t="s">
        <v>977</v>
      </c>
      <c r="N33" s="514"/>
      <c r="O33" s="514">
        <f>IF($C33="","",VLOOKUP($C33,'2017 Pricelist'!$C:$I,7,FALSE))</f>
        <v>14.99</v>
      </c>
      <c r="P33" s="35">
        <v>6</v>
      </c>
      <c r="Q33" s="187">
        <v>72</v>
      </c>
      <c r="R33" s="33">
        <f t="shared" si="26"/>
        <v>5.9524810789916942E-2</v>
      </c>
      <c r="S33" s="33">
        <f t="shared" si="27"/>
        <v>0.94488188976377963</v>
      </c>
      <c r="T33" s="33">
        <f t="shared" si="28"/>
        <v>0.55118110236220474</v>
      </c>
      <c r="U33" s="70">
        <f t="shared" si="29"/>
        <v>3.0314960629921264</v>
      </c>
      <c r="V33" s="44">
        <f t="shared" si="30"/>
        <v>0.11023113109243879</v>
      </c>
      <c r="W33" s="33">
        <f t="shared" si="31"/>
        <v>4.0551181102362204</v>
      </c>
      <c r="X33" s="33">
        <f t="shared" si="32"/>
        <v>0.74803149606299213</v>
      </c>
      <c r="Y33" s="70">
        <f t="shared" si="33"/>
        <v>7.8740157480314963</v>
      </c>
      <c r="Z33" s="44">
        <f t="shared" si="34"/>
        <v>0.76787005918992857</v>
      </c>
      <c r="AA33" s="33">
        <f t="shared" si="35"/>
        <v>4.0944881889763778</v>
      </c>
      <c r="AB33" s="33">
        <f t="shared" si="36"/>
        <v>4.5669291338582685</v>
      </c>
      <c r="AC33" s="70">
        <f t="shared" si="37"/>
        <v>8.4645669291338574</v>
      </c>
      <c r="AD33" s="44">
        <f t="shared" si="38"/>
        <v>10.017805193680836</v>
      </c>
      <c r="AE33" s="33">
        <f t="shared" si="39"/>
        <v>14.330708661417322</v>
      </c>
      <c r="AF33" s="33">
        <f t="shared" si="40"/>
        <v>8.7401574803149611</v>
      </c>
      <c r="AG33" s="70">
        <f t="shared" si="41"/>
        <v>17.322834645669293</v>
      </c>
      <c r="AH33" s="42">
        <f t="shared" si="42"/>
        <v>1.2556313389092222</v>
      </c>
      <c r="AI33" s="37" t="s">
        <v>2906</v>
      </c>
      <c r="AJ33" s="37" t="s">
        <v>2916</v>
      </c>
      <c r="AK33" s="37" t="s">
        <v>2917</v>
      </c>
      <c r="AL33" s="18" t="s">
        <v>2918</v>
      </c>
      <c r="AM33" s="40" t="s">
        <v>2919</v>
      </c>
      <c r="AN33" s="40" t="s">
        <v>2920</v>
      </c>
      <c r="AO33" s="40" t="s">
        <v>2921</v>
      </c>
      <c r="AP33" s="40"/>
      <c r="AQ33" s="37" t="s">
        <v>2924</v>
      </c>
      <c r="AR33" s="18" t="s">
        <v>2909</v>
      </c>
      <c r="AS33" s="94" t="s">
        <v>2908</v>
      </c>
    </row>
    <row r="34" spans="1:45" s="14" customFormat="1" x14ac:dyDescent="0.2">
      <c r="A34" s="14" t="s">
        <v>510</v>
      </c>
      <c r="B34" s="127"/>
      <c r="C34" s="37" t="s">
        <v>688</v>
      </c>
      <c r="D34" s="33" t="s">
        <v>1740</v>
      </c>
      <c r="E34" s="45" t="s">
        <v>2397</v>
      </c>
      <c r="F34" s="45" t="s">
        <v>1858</v>
      </c>
      <c r="G34" s="18" t="s">
        <v>2547</v>
      </c>
      <c r="H34" s="58">
        <v>7331423007875</v>
      </c>
      <c r="I34" s="66">
        <v>7331423100132</v>
      </c>
      <c r="J34" s="66">
        <v>7331423200290</v>
      </c>
      <c r="K34" s="66">
        <v>17331423200297</v>
      </c>
      <c r="L34" s="29" t="s">
        <v>1044</v>
      </c>
      <c r="M34" s="27" t="s">
        <v>977</v>
      </c>
      <c r="N34" s="514"/>
      <c r="O34" s="514">
        <f>IF($C34="","",VLOOKUP($C34,'2017 Pricelist'!$C:$I,7,FALSE))</f>
        <v>14.99</v>
      </c>
      <c r="P34" s="35">
        <v>6</v>
      </c>
      <c r="Q34" s="187">
        <v>72</v>
      </c>
      <c r="R34" s="33">
        <f t="shared" si="26"/>
        <v>5.9524810789916942E-2</v>
      </c>
      <c r="S34" s="33">
        <f t="shared" si="27"/>
        <v>0.94488188976377963</v>
      </c>
      <c r="T34" s="33">
        <f t="shared" si="28"/>
        <v>0.55118110236220474</v>
      </c>
      <c r="U34" s="70">
        <f t="shared" si="29"/>
        <v>3.0314960629921264</v>
      </c>
      <c r="V34" s="44">
        <f t="shared" si="30"/>
        <v>0.11023113109243879</v>
      </c>
      <c r="W34" s="33">
        <f t="shared" si="31"/>
        <v>4.0551181102362204</v>
      </c>
      <c r="X34" s="33">
        <f t="shared" si="32"/>
        <v>0.74803149606299213</v>
      </c>
      <c r="Y34" s="70">
        <f t="shared" si="33"/>
        <v>7.8740157480314963</v>
      </c>
      <c r="Z34" s="44">
        <f t="shared" si="34"/>
        <v>0.76787005918992857</v>
      </c>
      <c r="AA34" s="33">
        <f t="shared" si="35"/>
        <v>4.0944881889763778</v>
      </c>
      <c r="AB34" s="33">
        <f t="shared" si="36"/>
        <v>4.5669291338582685</v>
      </c>
      <c r="AC34" s="70">
        <f t="shared" si="37"/>
        <v>8.4645669291338574</v>
      </c>
      <c r="AD34" s="44">
        <f t="shared" si="38"/>
        <v>10.017805193680836</v>
      </c>
      <c r="AE34" s="33">
        <f t="shared" si="39"/>
        <v>14.330708661417322</v>
      </c>
      <c r="AF34" s="33">
        <f t="shared" si="40"/>
        <v>8.7401574803149611</v>
      </c>
      <c r="AG34" s="70">
        <f t="shared" si="41"/>
        <v>17.322834645669293</v>
      </c>
      <c r="AH34" s="42">
        <f t="shared" si="42"/>
        <v>1.2556313389092222</v>
      </c>
      <c r="AI34" s="37" t="s">
        <v>2906</v>
      </c>
      <c r="AJ34" s="37" t="s">
        <v>2916</v>
      </c>
      <c r="AK34" s="37" t="s">
        <v>2917</v>
      </c>
      <c r="AL34" s="18" t="s">
        <v>2918</v>
      </c>
      <c r="AM34" s="40" t="s">
        <v>2919</v>
      </c>
      <c r="AN34" s="40" t="s">
        <v>2920</v>
      </c>
      <c r="AO34" s="40" t="s">
        <v>2921</v>
      </c>
      <c r="AP34" s="40"/>
      <c r="AQ34" s="37" t="s">
        <v>2924</v>
      </c>
      <c r="AR34" s="18" t="s">
        <v>2909</v>
      </c>
      <c r="AS34" s="94" t="s">
        <v>2908</v>
      </c>
    </row>
    <row r="35" spans="1:45" s="14" customFormat="1" x14ac:dyDescent="0.2">
      <c r="A35" s="14" t="s">
        <v>510</v>
      </c>
      <c r="B35" s="127"/>
      <c r="C35" s="37" t="s">
        <v>688</v>
      </c>
      <c r="D35" s="33" t="s">
        <v>1741</v>
      </c>
      <c r="E35" s="45" t="s">
        <v>2397</v>
      </c>
      <c r="F35" s="45" t="s">
        <v>2764</v>
      </c>
      <c r="G35" s="18" t="s">
        <v>2547</v>
      </c>
      <c r="H35" s="47">
        <v>7331423007899</v>
      </c>
      <c r="I35" s="66">
        <v>7331423007899</v>
      </c>
      <c r="J35" s="66">
        <v>7331423202256</v>
      </c>
      <c r="K35" s="66">
        <v>17331423200341</v>
      </c>
      <c r="L35" s="29" t="s">
        <v>1044</v>
      </c>
      <c r="M35" s="27" t="s">
        <v>977</v>
      </c>
      <c r="N35" s="514"/>
      <c r="O35" s="514">
        <f>IF($C35="","",VLOOKUP($C35,'2017 Pricelist'!$C:$I,7,FALSE))</f>
        <v>14.99</v>
      </c>
      <c r="P35" s="35">
        <v>6</v>
      </c>
      <c r="Q35" s="187">
        <v>72</v>
      </c>
      <c r="R35" s="33">
        <f t="shared" si="26"/>
        <v>5.9524810789916942E-2</v>
      </c>
      <c r="S35" s="33">
        <f t="shared" si="27"/>
        <v>0.94488188976377963</v>
      </c>
      <c r="T35" s="33">
        <f t="shared" si="28"/>
        <v>0.55118110236220474</v>
      </c>
      <c r="U35" s="70">
        <f t="shared" si="29"/>
        <v>3.0314960629921264</v>
      </c>
      <c r="V35" s="44">
        <f t="shared" si="30"/>
        <v>0.11023113109243879</v>
      </c>
      <c r="W35" s="33">
        <f t="shared" si="31"/>
        <v>4.0551181102362204</v>
      </c>
      <c r="X35" s="33">
        <f t="shared" si="32"/>
        <v>0.74803149606299213</v>
      </c>
      <c r="Y35" s="70">
        <f t="shared" si="33"/>
        <v>7.8740157480314963</v>
      </c>
      <c r="Z35" s="44">
        <f t="shared" si="34"/>
        <v>0.76787005918992857</v>
      </c>
      <c r="AA35" s="33">
        <f t="shared" si="35"/>
        <v>4.0944881889763778</v>
      </c>
      <c r="AB35" s="33">
        <f t="shared" si="36"/>
        <v>4.5669291338582685</v>
      </c>
      <c r="AC35" s="70">
        <f t="shared" si="37"/>
        <v>8.4645669291338574</v>
      </c>
      <c r="AD35" s="44">
        <f t="shared" si="38"/>
        <v>10.017805193680836</v>
      </c>
      <c r="AE35" s="33">
        <f t="shared" si="39"/>
        <v>14.330708661417322</v>
      </c>
      <c r="AF35" s="33">
        <f t="shared" si="40"/>
        <v>8.7401574803149611</v>
      </c>
      <c r="AG35" s="70">
        <f t="shared" si="41"/>
        <v>17.322834645669293</v>
      </c>
      <c r="AH35" s="42">
        <f t="shared" si="42"/>
        <v>1.2556313389092222</v>
      </c>
      <c r="AI35" s="37" t="s">
        <v>2906</v>
      </c>
      <c r="AJ35" s="37" t="s">
        <v>2916</v>
      </c>
      <c r="AK35" s="37" t="s">
        <v>2917</v>
      </c>
      <c r="AL35" s="18" t="s">
        <v>2918</v>
      </c>
      <c r="AM35" s="40" t="s">
        <v>2919</v>
      </c>
      <c r="AN35" s="40" t="s">
        <v>2920</v>
      </c>
      <c r="AO35" s="40" t="s">
        <v>2921</v>
      </c>
      <c r="AP35" s="40"/>
      <c r="AQ35" s="37" t="s">
        <v>2924</v>
      </c>
      <c r="AR35" s="18" t="s">
        <v>2909</v>
      </c>
      <c r="AS35" s="94" t="s">
        <v>2908</v>
      </c>
    </row>
    <row r="36" spans="1:45" s="172" customFormat="1" x14ac:dyDescent="0.2">
      <c r="A36" s="172" t="s">
        <v>1144</v>
      </c>
      <c r="B36" s="317"/>
      <c r="C36" s="149"/>
      <c r="D36" s="33" t="s">
        <v>529</v>
      </c>
      <c r="E36" s="149"/>
      <c r="G36" s="18"/>
      <c r="H36" s="191"/>
      <c r="I36" s="191"/>
      <c r="J36" s="191"/>
      <c r="K36" s="191"/>
      <c r="L36" s="173"/>
      <c r="M36" s="173"/>
      <c r="N36" s="174"/>
      <c r="O36" s="174"/>
      <c r="P36" s="175"/>
      <c r="Q36" s="233"/>
      <c r="R36" s="151"/>
      <c r="S36" s="151"/>
      <c r="T36" s="151"/>
      <c r="U36" s="152"/>
      <c r="V36" s="150"/>
      <c r="W36" s="151"/>
      <c r="X36" s="151"/>
      <c r="Y36" s="152"/>
      <c r="Z36" s="150"/>
      <c r="AA36" s="151"/>
      <c r="AB36" s="151"/>
      <c r="AC36" s="152"/>
      <c r="AD36" s="150"/>
      <c r="AE36" s="151"/>
      <c r="AF36" s="151"/>
      <c r="AG36" s="152"/>
      <c r="AH36" s="150"/>
      <c r="AI36" s="161"/>
      <c r="AJ36" s="161"/>
      <c r="AK36" s="161"/>
      <c r="AL36" s="161"/>
      <c r="AM36" s="161"/>
      <c r="AN36" s="161"/>
      <c r="AO36" s="161"/>
      <c r="AP36" s="161"/>
      <c r="AQ36" s="161"/>
      <c r="AS36" s="179"/>
    </row>
    <row r="37" spans="1:45" s="14" customFormat="1" x14ac:dyDescent="0.2">
      <c r="A37" s="14" t="s">
        <v>510</v>
      </c>
      <c r="B37" s="127"/>
      <c r="C37" s="19" t="s">
        <v>696</v>
      </c>
      <c r="D37" s="15" t="s">
        <v>383</v>
      </c>
      <c r="E37" s="19" t="s">
        <v>2398</v>
      </c>
      <c r="F37" s="14" t="s">
        <v>484</v>
      </c>
      <c r="G37" s="18" t="s">
        <v>2547</v>
      </c>
      <c r="H37" s="53" t="s">
        <v>697</v>
      </c>
      <c r="I37" s="54" t="s">
        <v>2767</v>
      </c>
      <c r="J37" s="54" t="s">
        <v>2770</v>
      </c>
      <c r="K37" s="54" t="s">
        <v>2771</v>
      </c>
      <c r="L37" s="29" t="s">
        <v>1044</v>
      </c>
      <c r="M37" s="27" t="s">
        <v>977</v>
      </c>
      <c r="N37" s="514"/>
      <c r="O37" s="514">
        <f>IF($C37="","",VLOOKUP($C37,'2017 Pricelist'!$C:$I,7,FALSE))</f>
        <v>19.989999999999998</v>
      </c>
      <c r="P37" s="35">
        <v>6</v>
      </c>
      <c r="Q37" s="187">
        <v>72</v>
      </c>
      <c r="R37" s="33">
        <f>CONVERT(1.8,"ozm","lbm")</f>
        <v>0.1125</v>
      </c>
      <c r="S37" s="33">
        <v>1</v>
      </c>
      <c r="T37" s="33">
        <f>6/16</f>
        <v>0.375</v>
      </c>
      <c r="U37" s="70">
        <v>3.75</v>
      </c>
      <c r="V37" s="44">
        <f>CONVERT(0.073,"kg","lbm")</f>
        <v>0.16093745139496063</v>
      </c>
      <c r="W37" s="33">
        <f>CONVERT(102,"mm","in")</f>
        <v>4.015748031496063</v>
      </c>
      <c r="X37" s="33">
        <f>CONVERT(19,"mm","in")</f>
        <v>0.74803149606299213</v>
      </c>
      <c r="Y37" s="70">
        <f>CONVERT(200,"mm","in")</f>
        <v>7.8740157480314963</v>
      </c>
      <c r="Z37" s="44">
        <f>CONVERT(0.47,"kg","lbm")</f>
        <v>1.0361726322689246</v>
      </c>
      <c r="AA37" s="33">
        <f>CONVERT(104,"mm","in")</f>
        <v>4.0944881889763778</v>
      </c>
      <c r="AB37" s="33">
        <f>CONVERT(117,"mm","in")</f>
        <v>4.6062992125984259</v>
      </c>
      <c r="AC37" s="70">
        <f>CONVERT(215,"mm","in")</f>
        <v>8.4645669291338574</v>
      </c>
      <c r="AD37" s="44">
        <f>CONVERT(6.027,"kg","lbm")</f>
        <v>13.287260541882572</v>
      </c>
      <c r="AE37" s="33">
        <f>CONVERT(364,"mm","in")</f>
        <v>14.330708661417322</v>
      </c>
      <c r="AF37" s="33">
        <f>CONVERT(222,"mm","in")</f>
        <v>8.7401574803149611</v>
      </c>
      <c r="AG37" s="70">
        <f>CONVERT(437,"mm","in")</f>
        <v>17.204724409448819</v>
      </c>
      <c r="AH37" s="42">
        <f>AE37*AF37*AG37/(12^3)</f>
        <v>1.2470702161439318</v>
      </c>
      <c r="AI37" s="37" t="s">
        <v>2906</v>
      </c>
      <c r="AJ37" s="37" t="s">
        <v>2922</v>
      </c>
      <c r="AK37" s="37" t="s">
        <v>2917</v>
      </c>
      <c r="AL37" s="18" t="s">
        <v>2918</v>
      </c>
      <c r="AM37" s="40" t="s">
        <v>2919</v>
      </c>
      <c r="AN37" s="40" t="s">
        <v>2920</v>
      </c>
      <c r="AO37" s="40" t="s">
        <v>2923</v>
      </c>
      <c r="AP37" s="40"/>
      <c r="AQ37" s="37" t="s">
        <v>2924</v>
      </c>
      <c r="AR37" s="18" t="s">
        <v>2909</v>
      </c>
      <c r="AS37" s="94" t="s">
        <v>2908</v>
      </c>
    </row>
    <row r="38" spans="1:45" s="14" customFormat="1" x14ac:dyDescent="0.2">
      <c r="A38" s="14" t="s">
        <v>510</v>
      </c>
      <c r="B38" s="127"/>
      <c r="C38" s="19" t="s">
        <v>696</v>
      </c>
      <c r="D38" s="15" t="s">
        <v>374</v>
      </c>
      <c r="E38" s="19" t="s">
        <v>2398</v>
      </c>
      <c r="F38" s="14" t="s">
        <v>219</v>
      </c>
      <c r="G38" s="18" t="s">
        <v>2547</v>
      </c>
      <c r="H38" s="53" t="s">
        <v>698</v>
      </c>
      <c r="I38" s="54" t="s">
        <v>2768</v>
      </c>
      <c r="J38" s="54" t="s">
        <v>2772</v>
      </c>
      <c r="K38" s="54" t="s">
        <v>2773</v>
      </c>
      <c r="L38" s="29" t="s">
        <v>1044</v>
      </c>
      <c r="M38" s="27" t="s">
        <v>977</v>
      </c>
      <c r="N38" s="514"/>
      <c r="O38" s="514">
        <f>IF($C38="","",VLOOKUP($C38,'2017 Pricelist'!$C:$I,7,FALSE))</f>
        <v>19.989999999999998</v>
      </c>
      <c r="P38" s="35">
        <v>6</v>
      </c>
      <c r="Q38" s="187">
        <v>72</v>
      </c>
      <c r="R38" s="33">
        <f>CONVERT(1.8,"ozm","lbm")</f>
        <v>0.1125</v>
      </c>
      <c r="S38" s="33">
        <v>1</v>
      </c>
      <c r="T38" s="33">
        <f>6/16</f>
        <v>0.375</v>
      </c>
      <c r="U38" s="70">
        <v>3.75</v>
      </c>
      <c r="V38" s="44">
        <f>CONVERT(0.073,"kg","lbm")</f>
        <v>0.16093745139496063</v>
      </c>
      <c r="W38" s="33">
        <f>CONVERT(102,"mm","in")</f>
        <v>4.015748031496063</v>
      </c>
      <c r="X38" s="33">
        <f>CONVERT(19,"mm","in")</f>
        <v>0.74803149606299213</v>
      </c>
      <c r="Y38" s="70">
        <f>CONVERT(200,"mm","in")</f>
        <v>7.8740157480314963</v>
      </c>
      <c r="Z38" s="44">
        <f>CONVERT(0.47,"kg","lbm")</f>
        <v>1.0361726322689246</v>
      </c>
      <c r="AA38" s="33">
        <f>CONVERT(104,"mm","in")</f>
        <v>4.0944881889763778</v>
      </c>
      <c r="AB38" s="33">
        <f>CONVERT(117,"mm","in")</f>
        <v>4.6062992125984259</v>
      </c>
      <c r="AC38" s="70">
        <f>CONVERT(215,"mm","in")</f>
        <v>8.4645669291338574</v>
      </c>
      <c r="AD38" s="44">
        <f>CONVERT(6.027,"kg","lbm")</f>
        <v>13.287260541882572</v>
      </c>
      <c r="AE38" s="33">
        <f>CONVERT(364,"mm","in")</f>
        <v>14.330708661417322</v>
      </c>
      <c r="AF38" s="33">
        <f>CONVERT(222,"mm","in")</f>
        <v>8.7401574803149611</v>
      </c>
      <c r="AG38" s="70">
        <f>CONVERT(437,"mm","in")</f>
        <v>17.204724409448819</v>
      </c>
      <c r="AH38" s="42">
        <f>AE38*AF38*AG38/(12^3)</f>
        <v>1.2470702161439318</v>
      </c>
      <c r="AI38" s="37" t="s">
        <v>2906</v>
      </c>
      <c r="AJ38" s="37" t="s">
        <v>2922</v>
      </c>
      <c r="AK38" s="37" t="s">
        <v>2917</v>
      </c>
      <c r="AL38" s="18" t="s">
        <v>2918</v>
      </c>
      <c r="AM38" s="40" t="s">
        <v>2919</v>
      </c>
      <c r="AN38" s="40" t="s">
        <v>2920</v>
      </c>
      <c r="AO38" s="40" t="s">
        <v>2923</v>
      </c>
      <c r="AP38" s="40"/>
      <c r="AQ38" s="37" t="s">
        <v>2924</v>
      </c>
      <c r="AR38" s="18" t="s">
        <v>2909</v>
      </c>
      <c r="AS38" s="94" t="s">
        <v>2908</v>
      </c>
    </row>
    <row r="39" spans="1:45" s="14" customFormat="1" x14ac:dyDescent="0.2">
      <c r="A39" s="14" t="s">
        <v>510</v>
      </c>
      <c r="B39" s="127"/>
      <c r="C39" s="19" t="s">
        <v>696</v>
      </c>
      <c r="D39" s="15" t="s">
        <v>2667</v>
      </c>
      <c r="E39" s="19" t="s">
        <v>2398</v>
      </c>
      <c r="F39" s="45" t="s">
        <v>2762</v>
      </c>
      <c r="G39" s="18" t="s">
        <v>2547</v>
      </c>
      <c r="H39" s="93" t="s">
        <v>1632</v>
      </c>
      <c r="I39" s="54" t="s">
        <v>2769</v>
      </c>
      <c r="J39" s="54" t="s">
        <v>2774</v>
      </c>
      <c r="K39" s="54" t="s">
        <v>2775</v>
      </c>
      <c r="L39" s="29" t="s">
        <v>1044</v>
      </c>
      <c r="M39" s="27" t="s">
        <v>977</v>
      </c>
      <c r="N39" s="514"/>
      <c r="O39" s="514">
        <f>IF($C39="","",VLOOKUP($C39,'2017 Pricelist'!$C:$I,7,FALSE))</f>
        <v>19.989999999999998</v>
      </c>
      <c r="P39" s="35">
        <v>6</v>
      </c>
      <c r="Q39" s="187">
        <v>72</v>
      </c>
      <c r="R39" s="33">
        <f>CONVERT(1.8,"ozm","lbm")</f>
        <v>0.1125</v>
      </c>
      <c r="S39" s="33">
        <v>1</v>
      </c>
      <c r="T39" s="33">
        <f>6/16</f>
        <v>0.375</v>
      </c>
      <c r="U39" s="70">
        <v>3.75</v>
      </c>
      <c r="V39" s="44">
        <f>CONVERT(0.073,"kg","lbm")</f>
        <v>0.16093745139496063</v>
      </c>
      <c r="W39" s="33">
        <f>CONVERT(102,"mm","in")</f>
        <v>4.015748031496063</v>
      </c>
      <c r="X39" s="33">
        <f>CONVERT(19,"mm","in")</f>
        <v>0.74803149606299213</v>
      </c>
      <c r="Y39" s="70">
        <f>CONVERT(200,"mm","in")</f>
        <v>7.8740157480314963</v>
      </c>
      <c r="Z39" s="44">
        <f>CONVERT(0.47,"kg","lbm")</f>
        <v>1.0361726322689246</v>
      </c>
      <c r="AA39" s="33">
        <f>CONVERT(104,"mm","in")</f>
        <v>4.0944881889763778</v>
      </c>
      <c r="AB39" s="33">
        <f>CONVERT(117,"mm","in")</f>
        <v>4.6062992125984259</v>
      </c>
      <c r="AC39" s="70">
        <f>CONVERT(215,"mm","in")</f>
        <v>8.4645669291338574</v>
      </c>
      <c r="AD39" s="44">
        <f>CONVERT(6.027,"kg","lbm")</f>
        <v>13.287260541882572</v>
      </c>
      <c r="AE39" s="33">
        <f>CONVERT(364,"mm","in")</f>
        <v>14.330708661417322</v>
      </c>
      <c r="AF39" s="33">
        <f>CONVERT(222,"mm","in")</f>
        <v>8.7401574803149611</v>
      </c>
      <c r="AG39" s="70">
        <f>CONVERT(437,"mm","in")</f>
        <v>17.204724409448819</v>
      </c>
      <c r="AH39" s="42">
        <f>AE39*AF39*AG39/(12^3)</f>
        <v>1.2470702161439318</v>
      </c>
      <c r="AI39" s="37" t="s">
        <v>2906</v>
      </c>
      <c r="AJ39" s="37" t="s">
        <v>2922</v>
      </c>
      <c r="AK39" s="37" t="s">
        <v>2917</v>
      </c>
      <c r="AL39" s="18" t="s">
        <v>2918</v>
      </c>
      <c r="AM39" s="40" t="s">
        <v>2919</v>
      </c>
      <c r="AN39" s="40" t="s">
        <v>2920</v>
      </c>
      <c r="AO39" s="40" t="s">
        <v>2923</v>
      </c>
      <c r="AP39" s="40"/>
      <c r="AQ39" s="37" t="s">
        <v>2924</v>
      </c>
      <c r="AR39" s="18" t="s">
        <v>2909</v>
      </c>
      <c r="AS39" s="94" t="s">
        <v>2908</v>
      </c>
    </row>
    <row r="40" spans="1:45" s="18" customFormat="1" x14ac:dyDescent="0.2">
      <c r="B40" s="125"/>
      <c r="C40" s="33"/>
      <c r="D40" s="33" t="s">
        <v>529</v>
      </c>
      <c r="E40" s="34"/>
      <c r="H40" s="77"/>
      <c r="I40" s="77"/>
      <c r="J40" s="77"/>
      <c r="K40" s="77"/>
      <c r="L40" s="28"/>
      <c r="M40" s="36"/>
      <c r="N40" s="5"/>
      <c r="O40" s="5"/>
      <c r="P40" s="35"/>
      <c r="Q40" s="187"/>
      <c r="R40" s="33"/>
      <c r="S40" s="33"/>
      <c r="T40" s="33"/>
      <c r="U40" s="70"/>
      <c r="V40" s="44"/>
      <c r="W40" s="33"/>
      <c r="X40" s="33"/>
      <c r="Y40" s="70"/>
      <c r="Z40" s="44"/>
      <c r="AA40" s="33"/>
      <c r="AB40" s="33"/>
      <c r="AC40" s="70"/>
      <c r="AD40" s="44"/>
      <c r="AE40" s="33"/>
      <c r="AF40" s="33"/>
      <c r="AG40" s="70"/>
      <c r="AH40" s="44"/>
      <c r="AI40" s="37"/>
      <c r="AJ40" s="37"/>
      <c r="AK40" s="37"/>
      <c r="AL40" s="37"/>
      <c r="AM40" s="37"/>
      <c r="AN40" s="37"/>
      <c r="AO40" s="37"/>
      <c r="AP40" s="37"/>
      <c r="AQ40" s="37"/>
      <c r="AR40" s="94"/>
    </row>
    <row r="41" spans="1:45" s="105" customFormat="1" ht="15.75" x14ac:dyDescent="0.25">
      <c r="A41" s="308" t="s">
        <v>412</v>
      </c>
      <c r="B41" s="308"/>
      <c r="C41" s="308"/>
      <c r="D41" s="33" t="s">
        <v>529</v>
      </c>
      <c r="E41" s="192"/>
      <c r="H41" s="162"/>
      <c r="I41" s="162"/>
      <c r="J41" s="162"/>
      <c r="K41" s="162"/>
      <c r="L41" s="162"/>
      <c r="M41" s="162"/>
      <c r="N41" s="164"/>
      <c r="O41" s="164"/>
      <c r="P41" s="165"/>
      <c r="Q41" s="234"/>
      <c r="R41" s="33"/>
      <c r="S41" s="155"/>
      <c r="T41" s="155"/>
      <c r="U41" s="156"/>
      <c r="V41" s="44"/>
      <c r="W41" s="33"/>
      <c r="X41" s="33"/>
      <c r="Y41" s="70"/>
      <c r="Z41" s="154"/>
      <c r="AA41" s="155"/>
      <c r="AB41" s="155"/>
      <c r="AC41" s="156"/>
      <c r="AD41" s="44"/>
      <c r="AE41" s="33"/>
      <c r="AF41" s="33"/>
      <c r="AG41" s="70"/>
      <c r="AH41" s="154"/>
    </row>
    <row r="42" spans="1:45" s="14" customFormat="1" x14ac:dyDescent="0.2">
      <c r="A42" s="14" t="s">
        <v>510</v>
      </c>
      <c r="B42" s="319"/>
      <c r="C42" s="33" t="s">
        <v>539</v>
      </c>
      <c r="D42" s="15" t="s">
        <v>529</v>
      </c>
      <c r="E42" s="16" t="s">
        <v>2428</v>
      </c>
      <c r="F42" s="14" t="s">
        <v>849</v>
      </c>
      <c r="G42" s="14" t="s">
        <v>2865</v>
      </c>
      <c r="H42" s="32">
        <v>7331423002979</v>
      </c>
      <c r="I42" s="47" t="s">
        <v>259</v>
      </c>
      <c r="J42" s="48">
        <v>7331423200566</v>
      </c>
      <c r="K42" s="48">
        <v>17331423200563</v>
      </c>
      <c r="L42" s="27" t="s">
        <v>1042</v>
      </c>
      <c r="M42" s="27" t="s">
        <v>982</v>
      </c>
      <c r="N42" s="514"/>
      <c r="O42" s="514">
        <f>IF($C42="","",VLOOKUP($C42,'2017 Pricelist'!$C:$I,7,FALSE))</f>
        <v>6.99</v>
      </c>
      <c r="P42" s="35">
        <v>1</v>
      </c>
      <c r="Q42" s="187">
        <v>60</v>
      </c>
      <c r="R42" s="228" t="s">
        <v>2508</v>
      </c>
      <c r="S42" s="129" t="s">
        <v>2671</v>
      </c>
      <c r="T42" s="129" t="s">
        <v>2672</v>
      </c>
      <c r="U42" s="130" t="s">
        <v>2672</v>
      </c>
      <c r="V42" s="228" t="s">
        <v>2508</v>
      </c>
      <c r="W42" s="129" t="s">
        <v>2509</v>
      </c>
      <c r="X42" s="129" t="s">
        <v>2510</v>
      </c>
      <c r="Y42" s="130" t="s">
        <v>2511</v>
      </c>
      <c r="Z42" s="44" t="s">
        <v>259</v>
      </c>
      <c r="AA42" s="33" t="s">
        <v>259</v>
      </c>
      <c r="AB42" s="33" t="s">
        <v>259</v>
      </c>
      <c r="AC42" s="70" t="s">
        <v>259</v>
      </c>
      <c r="AD42" s="228" t="s">
        <v>2512</v>
      </c>
      <c r="AE42" s="33">
        <v>11.625</v>
      </c>
      <c r="AF42" s="33">
        <v>8.75</v>
      </c>
      <c r="AG42" s="70">
        <v>19.5</v>
      </c>
      <c r="AH42" s="42">
        <f>AE42*AF42*AG42/(12^3)</f>
        <v>1.1478678385416667</v>
      </c>
      <c r="AI42" s="37" t="s">
        <v>2935</v>
      </c>
      <c r="AJ42" s="37" t="s">
        <v>2936</v>
      </c>
      <c r="AK42" s="37" t="s">
        <v>2937</v>
      </c>
      <c r="AL42" s="37" t="s">
        <v>397</v>
      </c>
      <c r="AM42" s="18" t="s">
        <v>2939</v>
      </c>
      <c r="AN42" s="37"/>
      <c r="AO42" s="37"/>
      <c r="AP42" s="37"/>
      <c r="AQ42" s="37" t="s">
        <v>2938</v>
      </c>
      <c r="AR42" s="94" t="s">
        <v>2908</v>
      </c>
      <c r="AS42" s="18"/>
    </row>
    <row r="43" spans="1:45" s="14" customFormat="1" x14ac:dyDescent="0.2">
      <c r="A43" s="14" t="s">
        <v>510</v>
      </c>
      <c r="B43" s="319"/>
      <c r="C43" s="33" t="s">
        <v>842</v>
      </c>
      <c r="D43" s="15" t="s">
        <v>529</v>
      </c>
      <c r="E43" s="16" t="s">
        <v>2778</v>
      </c>
      <c r="F43" s="14" t="s">
        <v>849</v>
      </c>
      <c r="G43" s="15" t="s">
        <v>2864</v>
      </c>
      <c r="H43" s="32">
        <v>7331423005802</v>
      </c>
      <c r="I43" s="48">
        <v>7331423100347</v>
      </c>
      <c r="J43" s="48">
        <v>7331423200573</v>
      </c>
      <c r="K43" s="48">
        <v>17331423200570</v>
      </c>
      <c r="L43" s="27" t="s">
        <v>1042</v>
      </c>
      <c r="M43" s="27" t="s">
        <v>982</v>
      </c>
      <c r="N43" s="514"/>
      <c r="O43" s="514">
        <f>IF($C43="","",VLOOKUP($C43,'2017 Pricelist'!$C:$I,7,FALSE))</f>
        <v>4.99</v>
      </c>
      <c r="P43" s="35">
        <v>12</v>
      </c>
      <c r="Q43" s="187">
        <v>144</v>
      </c>
      <c r="R43" s="203">
        <v>0.1</v>
      </c>
      <c r="S43" s="132">
        <v>1.625</v>
      </c>
      <c r="T43" s="132">
        <v>0.625</v>
      </c>
      <c r="U43" s="133">
        <v>9</v>
      </c>
      <c r="V43" s="44">
        <f>CONVERT(0.056,"kg","lbm")</f>
        <v>0.12345886682353145</v>
      </c>
      <c r="W43" s="132">
        <v>1.625</v>
      </c>
      <c r="X43" s="132">
        <v>0.625</v>
      </c>
      <c r="Y43" s="133">
        <v>9</v>
      </c>
      <c r="Z43" s="44">
        <f>CONVERT(0.764,"kg","lbm")</f>
        <v>1.6843316830924646</v>
      </c>
      <c r="AA43" s="33">
        <f>CONVERT(145,"mm","in")</f>
        <v>5.7086614173228343</v>
      </c>
      <c r="AB43" s="33">
        <f>CONVERT(62,"mm","in")</f>
        <v>2.4409448818897634</v>
      </c>
      <c r="AC43" s="70">
        <f>CONVERT(205,"mm","in")</f>
        <v>8.0708661417322833</v>
      </c>
      <c r="AD43" s="44">
        <f>CONVERT(9.6,"kg","lbm")</f>
        <v>21.164377169748246</v>
      </c>
      <c r="AE43" s="33">
        <f>CONVERT(400,"mm","in")</f>
        <v>15.748031496062993</v>
      </c>
      <c r="AF43" s="33">
        <f>CONVERT(350,"mm","in")</f>
        <v>13.779527559055117</v>
      </c>
      <c r="AG43" s="70">
        <f>CONVERT(225,"mm","in")</f>
        <v>8.8582677165354333</v>
      </c>
      <c r="AH43" s="42">
        <f>AE43*AF43*AG43/(12^3)</f>
        <v>1.1124120017268906</v>
      </c>
      <c r="AI43" s="37" t="s">
        <v>2935</v>
      </c>
      <c r="AJ43" s="37" t="s">
        <v>2936</v>
      </c>
      <c r="AK43" s="37" t="s">
        <v>2937</v>
      </c>
      <c r="AL43" t="s">
        <v>2940</v>
      </c>
      <c r="AM43" s="18" t="s">
        <v>2941</v>
      </c>
      <c r="AN43" s="40"/>
      <c r="AO43" s="40"/>
      <c r="AP43" s="40"/>
      <c r="AQ43" s="37" t="s">
        <v>2942</v>
      </c>
      <c r="AR43" s="94" t="s">
        <v>2908</v>
      </c>
      <c r="AS43" s="18"/>
    </row>
    <row r="44" spans="1:45" s="18" customFormat="1" x14ac:dyDescent="0.2">
      <c r="B44" s="320"/>
      <c r="C44" s="33"/>
      <c r="D44" s="33" t="s">
        <v>529</v>
      </c>
      <c r="E44" s="34"/>
      <c r="H44" s="48"/>
      <c r="I44" s="48"/>
      <c r="J44" s="48"/>
      <c r="K44" s="48"/>
      <c r="L44" s="36"/>
      <c r="M44" s="36"/>
      <c r="N44" s="5"/>
      <c r="O44" s="5"/>
      <c r="P44" s="35"/>
      <c r="Q44" s="187"/>
      <c r="R44" s="33"/>
      <c r="S44" s="33"/>
      <c r="T44" s="33"/>
      <c r="U44" s="70"/>
      <c r="V44" s="44"/>
      <c r="W44" s="33"/>
      <c r="X44" s="33"/>
      <c r="Y44" s="70"/>
      <c r="Z44" s="44"/>
      <c r="AA44" s="33"/>
      <c r="AB44" s="33"/>
      <c r="AC44" s="70"/>
      <c r="AD44" s="44"/>
      <c r="AE44" s="33"/>
      <c r="AF44" s="33"/>
      <c r="AG44" s="70"/>
      <c r="AH44" s="44"/>
      <c r="AI44" s="37"/>
      <c r="AJ44" s="37"/>
      <c r="AK44" s="37"/>
      <c r="AL44" s="37"/>
      <c r="AM44" s="40"/>
      <c r="AN44" s="40"/>
      <c r="AO44" s="40"/>
      <c r="AP44" s="40"/>
      <c r="AQ44" s="37"/>
      <c r="AR44" s="94"/>
    </row>
    <row r="45" spans="1:45" s="105" customFormat="1" ht="15.75" x14ac:dyDescent="0.25">
      <c r="A45" s="308" t="s">
        <v>2728</v>
      </c>
      <c r="B45" s="308"/>
      <c r="C45" s="308"/>
      <c r="D45" s="33" t="s">
        <v>529</v>
      </c>
      <c r="E45" s="192"/>
      <c r="H45" s="162"/>
      <c r="I45" s="162"/>
      <c r="J45" s="162"/>
      <c r="K45" s="162"/>
      <c r="L45" s="162"/>
      <c r="M45" s="162"/>
      <c r="N45" s="164"/>
      <c r="O45" s="164"/>
      <c r="P45" s="165"/>
      <c r="Q45" s="234"/>
      <c r="R45" s="155"/>
      <c r="S45" s="155"/>
      <c r="T45" s="155"/>
      <c r="U45" s="156"/>
      <c r="V45" s="154"/>
      <c r="W45" s="155"/>
      <c r="X45" s="155"/>
      <c r="Y45" s="156"/>
      <c r="Z45" s="154"/>
      <c r="AA45" s="155"/>
      <c r="AB45" s="155"/>
      <c r="AC45" s="156"/>
      <c r="AD45" s="154"/>
      <c r="AE45" s="155"/>
      <c r="AF45" s="155"/>
      <c r="AG45" s="156"/>
      <c r="AH45" s="154"/>
    </row>
    <row r="46" spans="1:45" s="14" customFormat="1" x14ac:dyDescent="0.2">
      <c r="A46" s="14" t="s">
        <v>510</v>
      </c>
      <c r="B46" s="127"/>
      <c r="C46" s="33" t="s">
        <v>1742</v>
      </c>
      <c r="D46" s="15" t="s">
        <v>1743</v>
      </c>
      <c r="E46" s="16" t="s">
        <v>2402</v>
      </c>
      <c r="F46" s="14" t="s">
        <v>2787</v>
      </c>
      <c r="G46" s="14" t="s">
        <v>2558</v>
      </c>
      <c r="H46" s="27" t="s">
        <v>1744</v>
      </c>
      <c r="I46" s="47" t="s">
        <v>259</v>
      </c>
      <c r="J46" s="36" t="s">
        <v>2783</v>
      </c>
      <c r="K46" s="36" t="s">
        <v>2784</v>
      </c>
      <c r="L46" s="27" t="s">
        <v>1044</v>
      </c>
      <c r="M46" s="27" t="s">
        <v>977</v>
      </c>
      <c r="N46" s="514"/>
      <c r="O46" s="514">
        <f>IF($C46="","",VLOOKUP($C46,'2017 Pricelist'!$C:$I,7,FALSE))</f>
        <v>24.990000000000002</v>
      </c>
      <c r="P46" s="35">
        <v>1</v>
      </c>
      <c r="Q46" s="187">
        <v>72</v>
      </c>
      <c r="R46" s="33">
        <f>CONVERT(95,"g","lbm")</f>
        <v>0.20943914907563368</v>
      </c>
      <c r="S46" s="363" t="s">
        <v>259</v>
      </c>
      <c r="T46" s="363" t="s">
        <v>259</v>
      </c>
      <c r="U46" s="377" t="s">
        <v>259</v>
      </c>
      <c r="V46" s="44">
        <f>CONVERT(0.1452,"kg","lbm")</f>
        <v>0.32011120469244225</v>
      </c>
      <c r="W46" s="33">
        <f>CONVERT(130,"mm","in")</f>
        <v>5.1181102362204731</v>
      </c>
      <c r="X46" s="33">
        <f>CONVERT(36,"mm","in")</f>
        <v>1.4173228346456692</v>
      </c>
      <c r="Y46" s="70">
        <f>CONVERT(161,"mm","in")</f>
        <v>6.3385826771653546</v>
      </c>
      <c r="Z46" s="44" t="s">
        <v>259</v>
      </c>
      <c r="AA46" s="33" t="s">
        <v>259</v>
      </c>
      <c r="AB46" s="33" t="s">
        <v>259</v>
      </c>
      <c r="AC46" s="70" t="s">
        <v>259</v>
      </c>
      <c r="AD46" s="44">
        <f>CONVERT(10.4,"kg","lbm")</f>
        <v>22.928075267227268</v>
      </c>
      <c r="AE46" s="33">
        <f>CONVERT(665,"mm","in")</f>
        <v>26.181102362204726</v>
      </c>
      <c r="AF46" s="33">
        <f>CONVERT(409,"mm","in")</f>
        <v>16.102362204724411</v>
      </c>
      <c r="AG46" s="70">
        <f>CONVERT(235,"mm","in")</f>
        <v>9.2519685039370074</v>
      </c>
      <c r="AH46" s="44">
        <f>AE46*AF46*AG46/(12^3)</f>
        <v>2.2571890126373577</v>
      </c>
      <c r="AI46" s="37" t="s">
        <v>2945</v>
      </c>
      <c r="AJ46" s="63" t="s">
        <v>2931</v>
      </c>
      <c r="AK46" s="37" t="s">
        <v>2932</v>
      </c>
      <c r="AL46" s="37" t="s">
        <v>2933</v>
      </c>
      <c r="AM46" s="63" t="s">
        <v>2934</v>
      </c>
      <c r="AN46" s="18"/>
      <c r="AO46" s="18"/>
      <c r="AP46" s="18"/>
      <c r="AQ46" s="20" t="s">
        <v>2930</v>
      </c>
      <c r="AR46" s="94" t="s">
        <v>2908</v>
      </c>
      <c r="AS46" s="18"/>
    </row>
    <row r="47" spans="1:45" s="14" customFormat="1" x14ac:dyDescent="0.2">
      <c r="A47" s="14" t="s">
        <v>510</v>
      </c>
      <c r="B47" s="127"/>
      <c r="C47" s="33" t="s">
        <v>1742</v>
      </c>
      <c r="D47" s="15" t="s">
        <v>1766</v>
      </c>
      <c r="E47" s="16" t="s">
        <v>2402</v>
      </c>
      <c r="F47" s="14" t="s">
        <v>1770</v>
      </c>
      <c r="G47" s="14" t="s">
        <v>2558</v>
      </c>
      <c r="H47" s="27" t="s">
        <v>1745</v>
      </c>
      <c r="I47" s="47" t="s">
        <v>259</v>
      </c>
      <c r="J47" s="36" t="s">
        <v>2781</v>
      </c>
      <c r="K47" s="36" t="s">
        <v>2782</v>
      </c>
      <c r="L47" s="27" t="s">
        <v>1044</v>
      </c>
      <c r="M47" s="27" t="s">
        <v>977</v>
      </c>
      <c r="N47" s="514"/>
      <c r="O47" s="514">
        <f>IF($C47="","",VLOOKUP($C47,'2017 Pricelist'!$C:$I,7,FALSE))</f>
        <v>24.990000000000002</v>
      </c>
      <c r="P47" s="35">
        <v>1</v>
      </c>
      <c r="Q47" s="187">
        <v>72</v>
      </c>
      <c r="R47" s="33">
        <f>CONVERT(95,"g","lbm")</f>
        <v>0.20943914907563368</v>
      </c>
      <c r="S47" s="363" t="s">
        <v>259</v>
      </c>
      <c r="T47" s="363" t="s">
        <v>259</v>
      </c>
      <c r="U47" s="377" t="s">
        <v>259</v>
      </c>
      <c r="V47" s="44">
        <f>CONVERT(0.1452,"kg","lbm")</f>
        <v>0.32011120469244225</v>
      </c>
      <c r="W47" s="33">
        <f>CONVERT(130,"mm","in")</f>
        <v>5.1181102362204731</v>
      </c>
      <c r="X47" s="33">
        <f>CONVERT(36,"mm","in")</f>
        <v>1.4173228346456692</v>
      </c>
      <c r="Y47" s="70">
        <f>CONVERT(161,"mm","in")</f>
        <v>6.3385826771653546</v>
      </c>
      <c r="Z47" s="44" t="s">
        <v>259</v>
      </c>
      <c r="AA47" s="33" t="s">
        <v>259</v>
      </c>
      <c r="AB47" s="33" t="s">
        <v>259</v>
      </c>
      <c r="AC47" s="70" t="s">
        <v>259</v>
      </c>
      <c r="AD47" s="44">
        <f>CONVERT(10.4,"kg","lbm")</f>
        <v>22.928075267227268</v>
      </c>
      <c r="AE47" s="33">
        <f>CONVERT(665,"mm","in")</f>
        <v>26.181102362204726</v>
      </c>
      <c r="AF47" s="33">
        <f>CONVERT(409,"mm","in")</f>
        <v>16.102362204724411</v>
      </c>
      <c r="AG47" s="70">
        <f>CONVERT(235,"mm","in")</f>
        <v>9.2519685039370074</v>
      </c>
      <c r="AH47" s="44">
        <f>AE47*AF47*AG47/(12^3)</f>
        <v>2.2571890126373577</v>
      </c>
      <c r="AI47" s="37" t="s">
        <v>2945</v>
      </c>
      <c r="AJ47" s="63" t="s">
        <v>2931</v>
      </c>
      <c r="AK47" s="37" t="s">
        <v>2932</v>
      </c>
      <c r="AL47" s="37" t="s">
        <v>2933</v>
      </c>
      <c r="AM47" s="63" t="s">
        <v>2934</v>
      </c>
      <c r="AN47" s="18"/>
      <c r="AO47" s="18"/>
      <c r="AP47" s="18"/>
      <c r="AQ47" s="20" t="s">
        <v>2930</v>
      </c>
      <c r="AR47" s="94" t="s">
        <v>2908</v>
      </c>
      <c r="AS47" s="18"/>
    </row>
    <row r="48" spans="1:45" s="14" customFormat="1" x14ac:dyDescent="0.2">
      <c r="A48" s="14" t="s">
        <v>510</v>
      </c>
      <c r="B48" s="127"/>
      <c r="C48" s="33" t="s">
        <v>1742</v>
      </c>
      <c r="D48" s="15" t="s">
        <v>1761</v>
      </c>
      <c r="E48" s="16" t="s">
        <v>2402</v>
      </c>
      <c r="F48" s="14" t="s">
        <v>1746</v>
      </c>
      <c r="G48" s="14" t="s">
        <v>2558</v>
      </c>
      <c r="H48" s="27" t="s">
        <v>1749</v>
      </c>
      <c r="I48" s="47" t="s">
        <v>259</v>
      </c>
      <c r="J48" s="36" t="s">
        <v>2779</v>
      </c>
      <c r="K48" s="36" t="s">
        <v>2780</v>
      </c>
      <c r="L48" s="27" t="s">
        <v>1044</v>
      </c>
      <c r="M48" s="27" t="s">
        <v>977</v>
      </c>
      <c r="N48" s="514"/>
      <c r="O48" s="514">
        <f>IF($C48="","",VLOOKUP($C48,'2017 Pricelist'!$C:$I,7,FALSE))</f>
        <v>24.990000000000002</v>
      </c>
      <c r="P48" s="35">
        <v>1</v>
      </c>
      <c r="Q48" s="187">
        <v>72</v>
      </c>
      <c r="R48" s="33">
        <f>CONVERT(95,"g","lbm")</f>
        <v>0.20943914907563368</v>
      </c>
      <c r="S48" s="363" t="s">
        <v>259</v>
      </c>
      <c r="T48" s="363" t="s">
        <v>259</v>
      </c>
      <c r="U48" s="377" t="s">
        <v>259</v>
      </c>
      <c r="V48" s="44">
        <f>CONVERT(0.1452,"kg","lbm")</f>
        <v>0.32011120469244225</v>
      </c>
      <c r="W48" s="33">
        <f>CONVERT(130,"mm","in")</f>
        <v>5.1181102362204731</v>
      </c>
      <c r="X48" s="33">
        <f>CONVERT(36,"mm","in")</f>
        <v>1.4173228346456692</v>
      </c>
      <c r="Y48" s="70">
        <f>CONVERT(161,"mm","in")</f>
        <v>6.3385826771653546</v>
      </c>
      <c r="Z48" s="44" t="s">
        <v>259</v>
      </c>
      <c r="AA48" s="33" t="s">
        <v>259</v>
      </c>
      <c r="AB48" s="33" t="s">
        <v>259</v>
      </c>
      <c r="AC48" s="70" t="s">
        <v>259</v>
      </c>
      <c r="AD48" s="44">
        <f>CONVERT(10.4,"kg","lbm")</f>
        <v>22.928075267227268</v>
      </c>
      <c r="AE48" s="33">
        <f>CONVERT(665,"mm","in")</f>
        <v>26.181102362204726</v>
      </c>
      <c r="AF48" s="33">
        <f>CONVERT(409,"mm","in")</f>
        <v>16.102362204724411</v>
      </c>
      <c r="AG48" s="70">
        <f>CONVERT(235,"mm","in")</f>
        <v>9.2519685039370074</v>
      </c>
      <c r="AH48" s="44">
        <f>AE48*AF48*AG48/(12^3)</f>
        <v>2.2571890126373577</v>
      </c>
      <c r="AI48" s="37" t="s">
        <v>2945</v>
      </c>
      <c r="AJ48" s="63" t="s">
        <v>2931</v>
      </c>
      <c r="AK48" s="37" t="s">
        <v>2932</v>
      </c>
      <c r="AL48" s="37" t="s">
        <v>2933</v>
      </c>
      <c r="AM48" s="63" t="s">
        <v>2934</v>
      </c>
      <c r="AN48" s="18"/>
      <c r="AO48" s="18"/>
      <c r="AP48" s="18"/>
      <c r="AQ48" s="20" t="s">
        <v>2930</v>
      </c>
      <c r="AR48" s="94" t="s">
        <v>2908</v>
      </c>
      <c r="AS48" s="18"/>
    </row>
    <row r="49" spans="1:45" s="14" customFormat="1" x14ac:dyDescent="0.2">
      <c r="A49" s="14" t="s">
        <v>510</v>
      </c>
      <c r="B49" s="127"/>
      <c r="C49" s="33" t="s">
        <v>1742</v>
      </c>
      <c r="D49" s="15" t="s">
        <v>1741</v>
      </c>
      <c r="E49" s="16" t="s">
        <v>2402</v>
      </c>
      <c r="F49" s="14" t="s">
        <v>2786</v>
      </c>
      <c r="G49" s="14" t="s">
        <v>2558</v>
      </c>
      <c r="H49" s="47">
        <v>7331423008629</v>
      </c>
      <c r="I49" s="47" t="s">
        <v>259</v>
      </c>
      <c r="J49" s="36" t="s">
        <v>1748</v>
      </c>
      <c r="K49" s="36" t="s">
        <v>2785</v>
      </c>
      <c r="L49" s="27" t="s">
        <v>1044</v>
      </c>
      <c r="M49" s="27" t="s">
        <v>977</v>
      </c>
      <c r="N49" s="514"/>
      <c r="O49" s="514">
        <f>IF($C49="","",VLOOKUP($C49,'2017 Pricelist'!$C:$I,7,FALSE))</f>
        <v>24.990000000000002</v>
      </c>
      <c r="P49" s="35">
        <v>1</v>
      </c>
      <c r="Q49" s="187">
        <v>72</v>
      </c>
      <c r="R49" s="33">
        <f>CONVERT(95,"g","lbm")</f>
        <v>0.20943914907563368</v>
      </c>
      <c r="S49" s="363" t="s">
        <v>259</v>
      </c>
      <c r="T49" s="363" t="s">
        <v>259</v>
      </c>
      <c r="U49" s="377" t="s">
        <v>259</v>
      </c>
      <c r="V49" s="44">
        <f>CONVERT(0.1452,"kg","lbm")</f>
        <v>0.32011120469244225</v>
      </c>
      <c r="W49" s="33">
        <f>CONVERT(130,"mm","in")</f>
        <v>5.1181102362204731</v>
      </c>
      <c r="X49" s="33">
        <f>CONVERT(36,"mm","in")</f>
        <v>1.4173228346456692</v>
      </c>
      <c r="Y49" s="70">
        <f>CONVERT(161,"mm","in")</f>
        <v>6.3385826771653546</v>
      </c>
      <c r="Z49" s="44" t="s">
        <v>259</v>
      </c>
      <c r="AA49" s="33" t="s">
        <v>259</v>
      </c>
      <c r="AB49" s="33" t="s">
        <v>259</v>
      </c>
      <c r="AC49" s="70" t="s">
        <v>259</v>
      </c>
      <c r="AD49" s="44">
        <f>CONVERT(10.4,"kg","lbm")</f>
        <v>22.928075267227268</v>
      </c>
      <c r="AE49" s="33">
        <f>CONVERT(665,"mm","in")</f>
        <v>26.181102362204726</v>
      </c>
      <c r="AF49" s="33">
        <f>CONVERT(409,"mm","in")</f>
        <v>16.102362204724411</v>
      </c>
      <c r="AG49" s="70">
        <f>CONVERT(235,"mm","in")</f>
        <v>9.2519685039370074</v>
      </c>
      <c r="AH49" s="44">
        <f>AE49*AF49*AG49/(12^3)</f>
        <v>2.2571890126373577</v>
      </c>
      <c r="AI49" s="37" t="s">
        <v>2945</v>
      </c>
      <c r="AJ49" s="63" t="s">
        <v>2931</v>
      </c>
      <c r="AK49" s="37" t="s">
        <v>2932</v>
      </c>
      <c r="AL49" s="37" t="s">
        <v>2933</v>
      </c>
      <c r="AM49" s="63" t="s">
        <v>2934</v>
      </c>
      <c r="AN49" s="18"/>
      <c r="AO49" s="18"/>
      <c r="AP49" s="18"/>
      <c r="AQ49" s="20" t="s">
        <v>2930</v>
      </c>
      <c r="AR49" s="94" t="s">
        <v>2908</v>
      </c>
      <c r="AS49" s="18"/>
    </row>
    <row r="50" spans="1:45" s="18" customFormat="1" x14ac:dyDescent="0.2">
      <c r="B50" s="125"/>
      <c r="C50" s="33"/>
      <c r="D50" s="33" t="s">
        <v>529</v>
      </c>
      <c r="E50" s="34"/>
      <c r="H50" s="36"/>
      <c r="I50" s="36"/>
      <c r="J50" s="36"/>
      <c r="K50" s="36"/>
      <c r="L50" s="36"/>
      <c r="M50" s="36"/>
      <c r="N50" s="5"/>
      <c r="O50" s="5"/>
      <c r="P50" s="35"/>
      <c r="Q50" s="187"/>
      <c r="R50" s="33"/>
      <c r="S50" s="33"/>
      <c r="T50" s="33"/>
      <c r="U50" s="70"/>
      <c r="V50" s="44"/>
      <c r="W50" s="33"/>
      <c r="X50" s="33"/>
      <c r="Y50" s="70"/>
      <c r="Z50" s="44"/>
      <c r="AA50" s="33"/>
      <c r="AB50" s="33"/>
      <c r="AC50" s="70"/>
      <c r="AD50" s="44"/>
      <c r="AE50" s="33"/>
      <c r="AF50" s="33"/>
      <c r="AG50" s="70"/>
      <c r="AH50" s="44"/>
      <c r="AI50" s="37"/>
      <c r="AJ50" s="37"/>
      <c r="AK50" s="37"/>
      <c r="AL50" s="37"/>
      <c r="AQ50" s="37"/>
    </row>
    <row r="51" spans="1:45" s="105" customFormat="1" ht="15.75" x14ac:dyDescent="0.25">
      <c r="A51" s="308" t="s">
        <v>279</v>
      </c>
      <c r="B51" s="308"/>
      <c r="C51" s="308"/>
      <c r="D51" s="33" t="s">
        <v>529</v>
      </c>
      <c r="E51" s="192"/>
      <c r="H51" s="162"/>
      <c r="I51" s="162"/>
      <c r="J51" s="162"/>
      <c r="K51" s="162"/>
      <c r="L51" s="162"/>
      <c r="M51" s="162"/>
      <c r="N51" s="164"/>
      <c r="O51" s="164"/>
      <c r="P51" s="165"/>
      <c r="Q51" s="234"/>
      <c r="R51" s="155"/>
      <c r="S51" s="155"/>
      <c r="T51" s="155"/>
      <c r="U51" s="156"/>
      <c r="V51" s="154"/>
      <c r="W51" s="155"/>
      <c r="X51" s="155"/>
      <c r="Y51" s="156"/>
      <c r="Z51" s="154"/>
      <c r="AA51" s="155"/>
      <c r="AB51" s="155"/>
      <c r="AC51" s="156"/>
      <c r="AD51" s="154"/>
      <c r="AE51" s="155"/>
      <c r="AF51" s="155"/>
      <c r="AG51" s="156"/>
      <c r="AH51" s="154"/>
    </row>
    <row r="52" spans="1:45" s="18" customFormat="1" x14ac:dyDescent="0.2">
      <c r="A52" s="18" t="s">
        <v>510</v>
      </c>
      <c r="B52" s="125"/>
      <c r="C52" s="33" t="s">
        <v>1853</v>
      </c>
      <c r="D52" s="15" t="s">
        <v>1779</v>
      </c>
      <c r="E52" s="16" t="s">
        <v>2427</v>
      </c>
      <c r="F52" s="18" t="s">
        <v>1778</v>
      </c>
      <c r="G52" s="18" t="s">
        <v>2547</v>
      </c>
      <c r="H52" s="48">
        <v>7331423007981</v>
      </c>
      <c r="I52" s="48">
        <v>7331423100378</v>
      </c>
      <c r="J52" s="48">
        <v>7331423200603</v>
      </c>
      <c r="K52" s="48">
        <v>17331423200600</v>
      </c>
      <c r="L52" s="27" t="s">
        <v>1044</v>
      </c>
      <c r="M52" s="27" t="s">
        <v>977</v>
      </c>
      <c r="N52" s="514"/>
      <c r="O52" s="514">
        <f>IF($C52="","",VLOOKUP($C52,'2017 Pricelist'!$C:$I,7,FALSE))</f>
        <v>9.99</v>
      </c>
      <c r="P52" s="35">
        <v>6</v>
      </c>
      <c r="Q52" s="187">
        <v>72</v>
      </c>
      <c r="R52" s="44">
        <f>CONVERT(18,"g","lbm")</f>
        <v>3.9683207193277961E-2</v>
      </c>
      <c r="S52" s="33">
        <v>1.9</v>
      </c>
      <c r="T52" s="33">
        <v>0.8</v>
      </c>
      <c r="U52" s="70">
        <v>3.9</v>
      </c>
      <c r="V52" s="44">
        <f>CONVERT(0.0529,"kg","lbm")</f>
        <v>0.11662453669580024</v>
      </c>
      <c r="W52" s="33">
        <f>CONVERT(102,"mm","in")</f>
        <v>4.015748031496063</v>
      </c>
      <c r="X52" s="33">
        <f>CONVERT(27,"mm","in")</f>
        <v>1.0629921259842521</v>
      </c>
      <c r="Y52" s="70">
        <f>CONVERT(200,"mm","in")</f>
        <v>7.8740157480314963</v>
      </c>
      <c r="Z52" s="44">
        <f>CONVERT(0.368,"kg","lbm")</f>
        <v>0.81130112484034944</v>
      </c>
      <c r="AA52" s="33">
        <f>CONVERT(104,"mm","in")</f>
        <v>4.0944881889763778</v>
      </c>
      <c r="AB52" s="33">
        <f>CONVERT(117,"mm","in")</f>
        <v>4.6062992125984259</v>
      </c>
      <c r="AC52" s="70">
        <f>CONVERT(215,"mm","in")</f>
        <v>8.4645669291338574</v>
      </c>
      <c r="AD52" s="44">
        <f>CONVERT(4.774,"kg","lbm")</f>
        <v>10.524868396706054</v>
      </c>
      <c r="AE52" s="33">
        <f>CONVERT(355,"mm","in")</f>
        <v>13.976377952755906</v>
      </c>
      <c r="AF52" s="33">
        <f>CONVERT(222,"mm","in")</f>
        <v>8.7401574803149611</v>
      </c>
      <c r="AG52" s="70">
        <f>CONVERT(440,"mm","in")</f>
        <v>17.322834645669293</v>
      </c>
      <c r="AH52" s="42">
        <f>AE52*AF52*AG52/(12^3)</f>
        <v>1.2245855091010271</v>
      </c>
      <c r="AI52" s="37" t="s">
        <v>2760</v>
      </c>
      <c r="AJ52" s="37" t="s">
        <v>1854</v>
      </c>
      <c r="AK52" s="37" t="s">
        <v>1753</v>
      </c>
      <c r="AL52" s="37" t="s">
        <v>1855</v>
      </c>
      <c r="AM52" s="37" t="s">
        <v>1856</v>
      </c>
      <c r="AN52" s="37" t="s">
        <v>1857</v>
      </c>
      <c r="AO52" s="37" t="s">
        <v>2944</v>
      </c>
      <c r="AP52" s="37"/>
      <c r="AQ52" s="37" t="s">
        <v>2943</v>
      </c>
      <c r="AR52" s="18" t="s">
        <v>2909</v>
      </c>
      <c r="AS52" s="94" t="s">
        <v>2908</v>
      </c>
    </row>
    <row r="53" spans="1:45" s="18" customFormat="1" x14ac:dyDescent="0.2">
      <c r="A53" s="18" t="s">
        <v>510</v>
      </c>
      <c r="B53" s="125"/>
      <c r="C53" s="33" t="s">
        <v>1853</v>
      </c>
      <c r="D53" s="15" t="s">
        <v>1776</v>
      </c>
      <c r="E53" s="16" t="s">
        <v>2427</v>
      </c>
      <c r="F53" s="18" t="s">
        <v>1774</v>
      </c>
      <c r="G53" s="18" t="s">
        <v>2547</v>
      </c>
      <c r="H53" s="48">
        <v>7331423007974</v>
      </c>
      <c r="I53" s="48">
        <v>7331423100361</v>
      </c>
      <c r="J53" s="48">
        <v>7331423200597</v>
      </c>
      <c r="K53" s="48">
        <v>17331423200594</v>
      </c>
      <c r="L53" s="27" t="s">
        <v>1044</v>
      </c>
      <c r="M53" s="27" t="s">
        <v>977</v>
      </c>
      <c r="N53" s="514"/>
      <c r="O53" s="514">
        <f>IF($C53="","",VLOOKUP($C53,'2017 Pricelist'!$C:$I,7,FALSE))</f>
        <v>9.99</v>
      </c>
      <c r="P53" s="35">
        <v>6</v>
      </c>
      <c r="Q53" s="187">
        <v>72</v>
      </c>
      <c r="R53" s="44">
        <f>CONVERT(18,"g","lbm")</f>
        <v>3.9683207193277961E-2</v>
      </c>
      <c r="S53" s="33">
        <v>1.9</v>
      </c>
      <c r="T53" s="33">
        <v>0.8</v>
      </c>
      <c r="U53" s="70">
        <v>3.9</v>
      </c>
      <c r="V53" s="44">
        <f>CONVERT(0.0529,"kg","lbm")</f>
        <v>0.11662453669580024</v>
      </c>
      <c r="W53" s="33">
        <f>CONVERT(102,"mm","in")</f>
        <v>4.015748031496063</v>
      </c>
      <c r="X53" s="33">
        <f>CONVERT(27,"mm","in")</f>
        <v>1.0629921259842521</v>
      </c>
      <c r="Y53" s="70">
        <f>CONVERT(200,"mm","in")</f>
        <v>7.8740157480314963</v>
      </c>
      <c r="Z53" s="44">
        <f>CONVERT(0.368,"kg","lbm")</f>
        <v>0.81130112484034944</v>
      </c>
      <c r="AA53" s="33">
        <f>CONVERT(104,"mm","in")</f>
        <v>4.0944881889763778</v>
      </c>
      <c r="AB53" s="33">
        <f>CONVERT(117,"mm","in")</f>
        <v>4.6062992125984259</v>
      </c>
      <c r="AC53" s="70">
        <f>CONVERT(215,"mm","in")</f>
        <v>8.4645669291338574</v>
      </c>
      <c r="AD53" s="44">
        <f>CONVERT(4.774,"kg","lbm")</f>
        <v>10.524868396706054</v>
      </c>
      <c r="AE53" s="33">
        <f>CONVERT(355,"mm","in")</f>
        <v>13.976377952755906</v>
      </c>
      <c r="AF53" s="33">
        <f>CONVERT(222,"mm","in")</f>
        <v>8.7401574803149611</v>
      </c>
      <c r="AG53" s="70">
        <f>CONVERT(440,"mm","in")</f>
        <v>17.322834645669293</v>
      </c>
      <c r="AH53" s="42">
        <f>AE53*AF53*AG53/(12^3)</f>
        <v>1.2245855091010271</v>
      </c>
      <c r="AI53" s="37" t="s">
        <v>2760</v>
      </c>
      <c r="AJ53" s="37" t="s">
        <v>1854</v>
      </c>
      <c r="AK53" s="37" t="s">
        <v>1753</v>
      </c>
      <c r="AL53" s="37" t="s">
        <v>1855</v>
      </c>
      <c r="AM53" s="37" t="s">
        <v>1856</v>
      </c>
      <c r="AN53" s="37" t="s">
        <v>1857</v>
      </c>
      <c r="AO53" s="37" t="s">
        <v>2944</v>
      </c>
      <c r="AP53" s="37"/>
      <c r="AQ53" s="37" t="s">
        <v>2943</v>
      </c>
      <c r="AR53" s="18" t="s">
        <v>2909</v>
      </c>
      <c r="AS53" s="94" t="s">
        <v>2908</v>
      </c>
    </row>
    <row r="54" spans="1:45" s="18" customFormat="1" x14ac:dyDescent="0.2">
      <c r="A54" s="18" t="s">
        <v>510</v>
      </c>
      <c r="B54" s="125"/>
      <c r="C54" s="33" t="s">
        <v>1853</v>
      </c>
      <c r="D54" s="15" t="s">
        <v>1775</v>
      </c>
      <c r="E54" s="16" t="s">
        <v>2427</v>
      </c>
      <c r="F54" s="18" t="s">
        <v>1780</v>
      </c>
      <c r="G54" s="18" t="s">
        <v>2547</v>
      </c>
      <c r="H54" s="48">
        <v>7331423007998</v>
      </c>
      <c r="I54" s="48">
        <v>7331423100354</v>
      </c>
      <c r="J54" s="48">
        <v>7331423200580</v>
      </c>
      <c r="K54" s="48">
        <v>17331423200587</v>
      </c>
      <c r="L54" s="27" t="s">
        <v>1044</v>
      </c>
      <c r="M54" s="27" t="s">
        <v>977</v>
      </c>
      <c r="N54" s="514"/>
      <c r="O54" s="514">
        <f>IF($C54="","",VLOOKUP($C54,'2017 Pricelist'!$C:$I,7,FALSE))</f>
        <v>9.99</v>
      </c>
      <c r="P54" s="35">
        <v>6</v>
      </c>
      <c r="Q54" s="187">
        <v>72</v>
      </c>
      <c r="R54" s="44">
        <f>CONVERT(18,"g","lbm")</f>
        <v>3.9683207193277961E-2</v>
      </c>
      <c r="S54" s="33">
        <v>1.9</v>
      </c>
      <c r="T54" s="33">
        <v>0.8</v>
      </c>
      <c r="U54" s="70">
        <v>3.9</v>
      </c>
      <c r="V54" s="44">
        <f>CONVERT(0.0529,"kg","lbm")</f>
        <v>0.11662453669580024</v>
      </c>
      <c r="W54" s="33">
        <f>CONVERT(102,"mm","in")</f>
        <v>4.015748031496063</v>
      </c>
      <c r="X54" s="33">
        <f>CONVERT(27,"mm","in")</f>
        <v>1.0629921259842521</v>
      </c>
      <c r="Y54" s="70">
        <f>CONVERT(200,"mm","in")</f>
        <v>7.8740157480314963</v>
      </c>
      <c r="Z54" s="44">
        <f>CONVERT(0.368,"kg","lbm")</f>
        <v>0.81130112484034944</v>
      </c>
      <c r="AA54" s="33">
        <f>CONVERT(104,"mm","in")</f>
        <v>4.0944881889763778</v>
      </c>
      <c r="AB54" s="33">
        <f>CONVERT(117,"mm","in")</f>
        <v>4.6062992125984259</v>
      </c>
      <c r="AC54" s="70">
        <f>CONVERT(215,"mm","in")</f>
        <v>8.4645669291338574</v>
      </c>
      <c r="AD54" s="44">
        <f>CONVERT(4.774,"kg","lbm")</f>
        <v>10.524868396706054</v>
      </c>
      <c r="AE54" s="33">
        <f>CONVERT(355,"mm","in")</f>
        <v>13.976377952755906</v>
      </c>
      <c r="AF54" s="33">
        <f>CONVERT(222,"mm","in")</f>
        <v>8.7401574803149611</v>
      </c>
      <c r="AG54" s="70">
        <f>CONVERT(440,"mm","in")</f>
        <v>17.322834645669293</v>
      </c>
      <c r="AH54" s="42">
        <f>AE54*AF54*AG54/(12^3)</f>
        <v>1.2245855091010271</v>
      </c>
      <c r="AI54" s="37" t="s">
        <v>2760</v>
      </c>
      <c r="AJ54" s="37" t="s">
        <v>1854</v>
      </c>
      <c r="AK54" s="37" t="s">
        <v>1753</v>
      </c>
      <c r="AL54" s="37" t="s">
        <v>1855</v>
      </c>
      <c r="AM54" s="37" t="s">
        <v>1856</v>
      </c>
      <c r="AN54" s="37" t="s">
        <v>1857</v>
      </c>
      <c r="AO54" s="37" t="s">
        <v>2944</v>
      </c>
      <c r="AP54" s="37"/>
      <c r="AQ54" s="37" t="s">
        <v>2943</v>
      </c>
      <c r="AR54" s="18" t="s">
        <v>2909</v>
      </c>
      <c r="AS54" s="94" t="s">
        <v>2908</v>
      </c>
    </row>
    <row r="55" spans="1:45" s="18" customFormat="1" x14ac:dyDescent="0.2">
      <c r="A55" s="18" t="s">
        <v>510</v>
      </c>
      <c r="B55" s="125"/>
      <c r="C55" s="33" t="s">
        <v>1853</v>
      </c>
      <c r="D55" s="15" t="s">
        <v>1741</v>
      </c>
      <c r="E55" s="16" t="s">
        <v>2427</v>
      </c>
      <c r="F55" s="18" t="s">
        <v>2788</v>
      </c>
      <c r="G55" s="18" t="s">
        <v>2547</v>
      </c>
      <c r="H55" s="358">
        <v>7331423008001</v>
      </c>
      <c r="I55" s="48">
        <v>7331423008001</v>
      </c>
      <c r="J55" s="48">
        <v>7331423200627</v>
      </c>
      <c r="K55" s="48">
        <v>17331423200624</v>
      </c>
      <c r="L55" s="27" t="s">
        <v>1044</v>
      </c>
      <c r="M55" s="27" t="s">
        <v>977</v>
      </c>
      <c r="N55" s="514"/>
      <c r="O55" s="514">
        <f>IF($C55="","",VLOOKUP($C55,'2017 Pricelist'!$C:$I,7,FALSE))</f>
        <v>9.99</v>
      </c>
      <c r="P55" s="35">
        <v>6</v>
      </c>
      <c r="Q55" s="187">
        <v>72</v>
      </c>
      <c r="R55" s="44">
        <f>CONVERT(18,"g","lbm")</f>
        <v>3.9683207193277961E-2</v>
      </c>
      <c r="S55" s="33">
        <v>1.9</v>
      </c>
      <c r="T55" s="33">
        <v>0.8</v>
      </c>
      <c r="U55" s="70">
        <v>3.9</v>
      </c>
      <c r="V55" s="44">
        <f>CONVERT(0.0529,"kg","lbm")</f>
        <v>0.11662453669580024</v>
      </c>
      <c r="W55" s="33">
        <f>CONVERT(102,"mm","in")</f>
        <v>4.015748031496063</v>
      </c>
      <c r="X55" s="33">
        <f>CONVERT(27,"mm","in")</f>
        <v>1.0629921259842521</v>
      </c>
      <c r="Y55" s="70">
        <f>CONVERT(200,"mm","in")</f>
        <v>7.8740157480314963</v>
      </c>
      <c r="Z55" s="44">
        <f>CONVERT(0.368,"kg","lbm")</f>
        <v>0.81130112484034944</v>
      </c>
      <c r="AA55" s="33">
        <f>CONVERT(104,"mm","in")</f>
        <v>4.0944881889763778</v>
      </c>
      <c r="AB55" s="33">
        <f>CONVERT(117,"mm","in")</f>
        <v>4.6062992125984259</v>
      </c>
      <c r="AC55" s="70">
        <f>CONVERT(215,"mm","in")</f>
        <v>8.4645669291338574</v>
      </c>
      <c r="AD55" s="44">
        <f>CONVERT(4.774,"kg","lbm")</f>
        <v>10.524868396706054</v>
      </c>
      <c r="AE55" s="33">
        <f>CONVERT(355,"mm","in")</f>
        <v>13.976377952755906</v>
      </c>
      <c r="AF55" s="33">
        <f>CONVERT(222,"mm","in")</f>
        <v>8.7401574803149611</v>
      </c>
      <c r="AG55" s="70">
        <f>CONVERT(440,"mm","in")</f>
        <v>17.322834645669293</v>
      </c>
      <c r="AH55" s="42">
        <f>AE55*AF55*AG55/(12^3)</f>
        <v>1.2245855091010271</v>
      </c>
      <c r="AI55" s="37" t="s">
        <v>2760</v>
      </c>
      <c r="AJ55" s="37" t="s">
        <v>1854</v>
      </c>
      <c r="AK55" s="37" t="s">
        <v>1753</v>
      </c>
      <c r="AL55" s="37" t="s">
        <v>1855</v>
      </c>
      <c r="AM55" s="37" t="s">
        <v>1856</v>
      </c>
      <c r="AN55" s="37" t="s">
        <v>1857</v>
      </c>
      <c r="AO55" s="37" t="s">
        <v>2944</v>
      </c>
      <c r="AP55" s="37"/>
      <c r="AQ55" s="37" t="s">
        <v>2943</v>
      </c>
      <c r="AR55" s="18" t="s">
        <v>2909</v>
      </c>
      <c r="AS55" s="94" t="s">
        <v>2908</v>
      </c>
    </row>
    <row r="56" spans="1:45" s="18" customFormat="1" x14ac:dyDescent="0.2">
      <c r="B56" s="125"/>
      <c r="C56" s="33"/>
      <c r="D56" s="33" t="s">
        <v>529</v>
      </c>
      <c r="E56" s="34"/>
      <c r="H56" s="48"/>
      <c r="I56" s="48"/>
      <c r="J56" s="48"/>
      <c r="K56" s="48"/>
      <c r="L56" s="36"/>
      <c r="M56" s="36"/>
      <c r="N56" s="5"/>
      <c r="O56" s="5"/>
      <c r="P56" s="35"/>
      <c r="Q56" s="187"/>
      <c r="R56" s="33"/>
      <c r="S56" s="33"/>
      <c r="T56" s="33"/>
      <c r="U56" s="70"/>
      <c r="V56" s="44"/>
      <c r="W56" s="33"/>
      <c r="X56" s="33"/>
      <c r="Y56" s="70"/>
      <c r="Z56" s="44"/>
      <c r="AA56" s="100"/>
      <c r="AB56" s="100"/>
      <c r="AC56" s="101"/>
      <c r="AD56" s="44"/>
      <c r="AE56" s="33"/>
      <c r="AF56" s="33"/>
      <c r="AG56" s="70"/>
      <c r="AH56" s="44"/>
      <c r="AJ56" s="37"/>
      <c r="AK56" s="37"/>
      <c r="AL56" s="37"/>
      <c r="AM56" s="37"/>
      <c r="AN56" s="37"/>
      <c r="AO56" s="37"/>
      <c r="AP56" s="37"/>
      <c r="AQ56" s="37"/>
      <c r="AR56" s="94"/>
    </row>
    <row r="57" spans="1:45" s="105" customFormat="1" ht="15.75" x14ac:dyDescent="0.25">
      <c r="A57" s="351" t="s">
        <v>1504</v>
      </c>
      <c r="B57" s="351"/>
      <c r="C57" s="351"/>
      <c r="D57" s="33" t="s">
        <v>529</v>
      </c>
      <c r="E57" s="192"/>
      <c r="H57" s="202"/>
      <c r="I57" s="202"/>
      <c r="J57" s="202"/>
      <c r="K57" s="202"/>
      <c r="L57" s="162"/>
      <c r="M57" s="162"/>
      <c r="N57" s="164"/>
      <c r="O57" s="164"/>
      <c r="P57" s="165"/>
      <c r="Q57" s="234"/>
      <c r="R57" s="155"/>
      <c r="S57" s="155"/>
      <c r="T57" s="155"/>
      <c r="U57" s="156"/>
      <c r="V57" s="44"/>
      <c r="W57" s="33"/>
      <c r="X57" s="33"/>
      <c r="Y57" s="70"/>
      <c r="Z57" s="154"/>
      <c r="AA57" s="155"/>
      <c r="AB57" s="155"/>
      <c r="AC57" s="156"/>
      <c r="AD57" s="154"/>
      <c r="AE57" s="155"/>
      <c r="AF57" s="155"/>
      <c r="AG57" s="156"/>
      <c r="AH57" s="154"/>
    </row>
    <row r="58" spans="1:45" s="14" customFormat="1" x14ac:dyDescent="0.2">
      <c r="A58" s="14" t="s">
        <v>510</v>
      </c>
      <c r="B58" s="127"/>
      <c r="C58" s="33" t="s">
        <v>1079</v>
      </c>
      <c r="D58" s="15" t="s">
        <v>529</v>
      </c>
      <c r="E58" s="16" t="s">
        <v>1750</v>
      </c>
      <c r="F58" s="15"/>
      <c r="G58" s="14" t="s">
        <v>2558</v>
      </c>
      <c r="H58" s="32">
        <v>7331423007967</v>
      </c>
      <c r="I58" s="48">
        <v>7331423100408</v>
      </c>
      <c r="J58" s="48">
        <v>7331423200634</v>
      </c>
      <c r="K58" s="48">
        <v>17331423200631</v>
      </c>
      <c r="L58" s="27" t="s">
        <v>1044</v>
      </c>
      <c r="M58" s="27" t="s">
        <v>975</v>
      </c>
      <c r="N58" s="514"/>
      <c r="O58" s="514">
        <f>IF($C58="","",VLOOKUP($C58,'2017 Pricelist'!$C:$I,7,FALSE))</f>
        <v>22.99</v>
      </c>
      <c r="P58" s="35">
        <v>6</v>
      </c>
      <c r="Q58" s="187">
        <v>36</v>
      </c>
      <c r="R58" s="44">
        <f>CONVERT(106,"g","lbm")</f>
        <v>0.23368999791597023</v>
      </c>
      <c r="S58" s="33">
        <v>10.25</v>
      </c>
      <c r="T58" s="33">
        <v>6.25</v>
      </c>
      <c r="U58" s="70">
        <v>0.75</v>
      </c>
      <c r="V58" s="44">
        <f>CONVERT(0.1342,"kg","lbm")</f>
        <v>0.29586035585210568</v>
      </c>
      <c r="W58" s="33">
        <f>CONVERT(156,"mm","in")</f>
        <v>6.1417322834645667</v>
      </c>
      <c r="X58" s="33">
        <f>CONVERT(25,"mm","in")</f>
        <v>0.98425196850393704</v>
      </c>
      <c r="Y58" s="70">
        <f>CONVERT(165,"mm","in")</f>
        <v>6.4960629921259843</v>
      </c>
      <c r="Z58" s="44">
        <f>CONVERT(0.9191,"kg","lbm")</f>
        <v>2.0262686517412098</v>
      </c>
      <c r="AA58" s="33">
        <f>CONVERT(330,"mm","in")</f>
        <v>12.992125984251969</v>
      </c>
      <c r="AB58" s="33">
        <f>CONVERT(85,"mm","in")</f>
        <v>3.3464566929133857</v>
      </c>
      <c r="AC58" s="70">
        <f>CONVERT(185,"mm","in")</f>
        <v>7.2834645669291342</v>
      </c>
      <c r="AD58" s="44">
        <f>CONVERT(6.124,"kg","lbm")</f>
        <v>13.501108936201902</v>
      </c>
      <c r="AE58" s="33">
        <f>CONVERT(355,"mm","in")</f>
        <v>13.976377952755906</v>
      </c>
      <c r="AF58" s="33">
        <f>CONVERT(390,"mm","in")</f>
        <v>15.354330708661417</v>
      </c>
      <c r="AG58" s="70">
        <f>CONVERT(277,"mm","in")</f>
        <v>10.905511811023622</v>
      </c>
      <c r="AH58" s="42">
        <f>AE58*AF58*AG58/(12^3)</f>
        <v>1.3543404233024563</v>
      </c>
      <c r="AI58" s="37" t="s">
        <v>1751</v>
      </c>
      <c r="AJ58" s="37" t="s">
        <v>2946</v>
      </c>
      <c r="AK58" s="37" t="s">
        <v>1752</v>
      </c>
      <c r="AL58" s="37" t="s">
        <v>1753</v>
      </c>
      <c r="AM58" s="18" t="s">
        <v>2947</v>
      </c>
      <c r="AN58" s="37"/>
      <c r="AO58" s="37"/>
      <c r="AP58" s="37"/>
      <c r="AQ58" s="37" t="s">
        <v>2948</v>
      </c>
      <c r="AR58" s="94" t="s">
        <v>2908</v>
      </c>
      <c r="AS58" s="18"/>
    </row>
    <row r="59" spans="1:45" s="18" customFormat="1" x14ac:dyDescent="0.2">
      <c r="B59" s="125"/>
      <c r="C59" s="33"/>
      <c r="D59" s="33" t="s">
        <v>529</v>
      </c>
      <c r="E59" s="34"/>
      <c r="F59" s="33"/>
      <c r="G59" s="33"/>
      <c r="H59" s="48"/>
      <c r="I59" s="48"/>
      <c r="J59" s="48"/>
      <c r="K59" s="48"/>
      <c r="L59" s="36"/>
      <c r="M59" s="36"/>
      <c r="N59" s="5"/>
      <c r="O59" s="5"/>
      <c r="P59" s="35"/>
      <c r="Q59" s="187"/>
      <c r="R59" s="33"/>
      <c r="S59" s="33"/>
      <c r="T59" s="33"/>
      <c r="U59" s="70"/>
      <c r="V59" s="44"/>
      <c r="W59" s="33"/>
      <c r="X59" s="33"/>
      <c r="Y59" s="70"/>
      <c r="Z59" s="44"/>
      <c r="AA59" s="33"/>
      <c r="AB59" s="33"/>
      <c r="AC59" s="70"/>
      <c r="AD59" s="44"/>
      <c r="AE59" s="33"/>
      <c r="AF59" s="33"/>
      <c r="AG59" s="70"/>
      <c r="AH59" s="44"/>
      <c r="AI59" s="37"/>
      <c r="AJ59" s="37"/>
      <c r="AK59" s="37"/>
      <c r="AL59" s="37"/>
      <c r="AM59" s="37"/>
      <c r="AN59" s="37"/>
      <c r="AO59" s="37"/>
      <c r="AP59" s="37"/>
      <c r="AQ59" s="37"/>
      <c r="AR59" s="63"/>
    </row>
    <row r="60" spans="1:45" s="105" customFormat="1" ht="15.75" x14ac:dyDescent="0.25">
      <c r="A60" s="105" t="s">
        <v>503</v>
      </c>
      <c r="B60" s="318"/>
      <c r="C60" s="153" t="s">
        <v>529</v>
      </c>
      <c r="D60" s="33" t="s">
        <v>529</v>
      </c>
      <c r="E60" s="153"/>
      <c r="H60" s="162"/>
      <c r="I60" s="162"/>
      <c r="J60" s="162"/>
      <c r="K60" s="162"/>
      <c r="L60" s="163"/>
      <c r="M60" s="163"/>
      <c r="N60" s="164"/>
      <c r="O60" s="164"/>
      <c r="P60" s="165"/>
      <c r="Q60" s="234"/>
      <c r="R60" s="155"/>
      <c r="S60" s="155"/>
      <c r="T60" s="155"/>
      <c r="U60" s="156"/>
      <c r="V60" s="166"/>
      <c r="W60" s="167"/>
      <c r="X60" s="167"/>
      <c r="Y60" s="168"/>
      <c r="Z60" s="166"/>
      <c r="AA60" s="167"/>
      <c r="AB60" s="167"/>
      <c r="AC60" s="168"/>
      <c r="AD60" s="154"/>
      <c r="AE60" s="155"/>
      <c r="AF60" s="155"/>
      <c r="AG60" s="156"/>
      <c r="AH60" s="154"/>
      <c r="AI60" s="157"/>
      <c r="AJ60" s="157"/>
      <c r="AK60" s="157"/>
      <c r="AL60" s="157"/>
      <c r="AQ60" s="197"/>
      <c r="AS60" s="169"/>
    </row>
    <row r="61" spans="1:45" s="172" customFormat="1" x14ac:dyDescent="0.2">
      <c r="A61" s="172" t="s">
        <v>2097</v>
      </c>
      <c r="B61" s="317"/>
      <c r="C61" s="149"/>
      <c r="D61" s="33" t="s">
        <v>529</v>
      </c>
      <c r="E61" s="149"/>
      <c r="H61" s="170"/>
      <c r="I61" s="170"/>
      <c r="J61" s="170"/>
      <c r="K61" s="170"/>
      <c r="L61" s="173"/>
      <c r="M61" s="173"/>
      <c r="N61" s="174"/>
      <c r="O61" s="174"/>
      <c r="P61" s="175"/>
      <c r="Q61" s="233"/>
      <c r="R61" s="151"/>
      <c r="S61" s="151"/>
      <c r="T61" s="151"/>
      <c r="U61" s="152"/>
      <c r="V61" s="44"/>
      <c r="W61" s="33"/>
      <c r="X61" s="33"/>
      <c r="Y61" s="70"/>
      <c r="Z61" s="44"/>
      <c r="AA61" s="33"/>
      <c r="AB61" s="33"/>
      <c r="AC61" s="70"/>
      <c r="AD61" s="44"/>
      <c r="AE61" s="33"/>
      <c r="AF61" s="33"/>
      <c r="AG61" s="70"/>
      <c r="AH61" s="150"/>
      <c r="AI61" s="161"/>
      <c r="AJ61" s="161"/>
      <c r="AK61" s="161"/>
      <c r="AL61" s="161"/>
      <c r="AQ61" s="198"/>
      <c r="AS61" s="179"/>
    </row>
    <row r="62" spans="1:45" s="14" customFormat="1" x14ac:dyDescent="0.2">
      <c r="A62" s="18" t="s">
        <v>510</v>
      </c>
      <c r="B62" s="125"/>
      <c r="C62" s="33" t="s">
        <v>592</v>
      </c>
      <c r="D62" s="33"/>
      <c r="E62" s="34" t="s">
        <v>2410</v>
      </c>
      <c r="F62" s="18" t="s">
        <v>1114</v>
      </c>
      <c r="G62" s="18" t="s">
        <v>2558</v>
      </c>
      <c r="H62" s="77">
        <v>7331423001668</v>
      </c>
      <c r="I62" s="77">
        <v>7331423101061</v>
      </c>
      <c r="J62" s="77">
        <v>7331423201297</v>
      </c>
      <c r="K62" s="77">
        <v>17331423201294</v>
      </c>
      <c r="L62" s="36" t="s">
        <v>2789</v>
      </c>
      <c r="M62" s="36" t="s">
        <v>975</v>
      </c>
      <c r="N62" s="514"/>
      <c r="O62" s="514">
        <f>IF($C62="","",VLOOKUP($C62,'2017 Pricelist'!$C:$I,7,FALSE))</f>
        <v>16.989999999999998</v>
      </c>
      <c r="P62" s="35">
        <v>6</v>
      </c>
      <c r="Q62" s="187">
        <v>72</v>
      </c>
      <c r="R62" s="44">
        <v>7.0000000000000007E-2</v>
      </c>
      <c r="S62" s="33">
        <v>2.5</v>
      </c>
      <c r="T62" s="33">
        <v>1</v>
      </c>
      <c r="U62" s="70">
        <v>7.625</v>
      </c>
      <c r="V62" s="44">
        <f>CONVERT(40,"g","lbm")</f>
        <v>8.8184904873951031E-2</v>
      </c>
      <c r="W62" s="33">
        <v>3.125</v>
      </c>
      <c r="X62" s="33">
        <v>0.875</v>
      </c>
      <c r="Y62" s="70">
        <v>10</v>
      </c>
      <c r="Z62" s="44">
        <f>CONVERT(13.5,"ozm","lbm")</f>
        <v>0.84375</v>
      </c>
      <c r="AA62" s="33">
        <v>10.25</v>
      </c>
      <c r="AB62" s="33">
        <v>9.5</v>
      </c>
      <c r="AC62" s="70">
        <v>1.875</v>
      </c>
      <c r="AD62" s="44">
        <f>CONVERT(5.6,"kg","lbm")</f>
        <v>12.345886682353143</v>
      </c>
      <c r="AE62" s="33">
        <v>12.25</v>
      </c>
      <c r="AF62" s="33">
        <v>20</v>
      </c>
      <c r="AG62" s="70">
        <v>12</v>
      </c>
      <c r="AH62" s="44">
        <f t="shared" ref="AH62:AH102" si="43">AE62*AF62*AG62/(12^3)</f>
        <v>1.7013888888888888</v>
      </c>
      <c r="AI62" s="12" t="s">
        <v>62</v>
      </c>
      <c r="AJ62" s="241" t="s">
        <v>2949</v>
      </c>
      <c r="AK62" s="241" t="s">
        <v>2950</v>
      </c>
      <c r="AL62" s="12" t="s">
        <v>2951</v>
      </c>
      <c r="AM62" s="241" t="s">
        <v>2952</v>
      </c>
      <c r="AN62" s="241" t="s">
        <v>2953</v>
      </c>
      <c r="AO62" s="241" t="s">
        <v>1635</v>
      </c>
      <c r="AP62" s="12" t="s">
        <v>2954</v>
      </c>
      <c r="AQ62" s="12" t="s">
        <v>2955</v>
      </c>
      <c r="AR62" s="94" t="s">
        <v>2908</v>
      </c>
      <c r="AS62" s="18"/>
    </row>
    <row r="63" spans="1:45" s="18" customFormat="1" x14ac:dyDescent="0.2">
      <c r="A63" s="18" t="s">
        <v>510</v>
      </c>
      <c r="B63" s="125"/>
      <c r="C63" s="19" t="s">
        <v>368</v>
      </c>
      <c r="D63" s="33" t="s">
        <v>1054</v>
      </c>
      <c r="E63" s="38" t="s">
        <v>2790</v>
      </c>
      <c r="F63" s="18" t="s">
        <v>2791</v>
      </c>
      <c r="G63" s="18" t="s">
        <v>2547</v>
      </c>
      <c r="H63" s="47">
        <v>7331423005994</v>
      </c>
      <c r="I63" s="47">
        <v>7331423005994</v>
      </c>
      <c r="J63" s="47">
        <v>7331423201242</v>
      </c>
      <c r="K63" s="47">
        <v>17331423201898</v>
      </c>
      <c r="L63" s="36" t="s">
        <v>568</v>
      </c>
      <c r="M63" s="36" t="s">
        <v>977</v>
      </c>
      <c r="N63" s="514"/>
      <c r="O63" s="514">
        <f>IF($C63="","",VLOOKUP($C63,'2017 Pricelist'!$C:$I,7,FALSE))</f>
        <v>9.99</v>
      </c>
      <c r="P63" s="35">
        <v>12</v>
      </c>
      <c r="Q63" s="187">
        <v>72</v>
      </c>
      <c r="R63" s="99">
        <f t="shared" ref="R63:R68" si="44">CONVERT(36,"g","lbm")</f>
        <v>7.9366414386555922E-2</v>
      </c>
      <c r="S63" s="33">
        <f t="shared" ref="S63:S102" si="45">CONVERT(17,"cm","in")</f>
        <v>6.6929133858267722</v>
      </c>
      <c r="T63" s="100">
        <v>1.5</v>
      </c>
      <c r="U63" s="101">
        <v>1.25</v>
      </c>
      <c r="V63" s="44">
        <f t="shared" ref="V63:V68" si="46">CONVERT(0.054,"kg","lbm")</f>
        <v>0.11904962157983388</v>
      </c>
      <c r="W63" s="33">
        <f t="shared" ref="W63:W68" si="47">CONVERT(65,"mm","in")</f>
        <v>2.5590551181102366</v>
      </c>
      <c r="X63" s="33">
        <f t="shared" ref="X63:X68" si="48">CONVERT(29,"mm","in")</f>
        <v>1.1417322834645671</v>
      </c>
      <c r="Y63" s="70">
        <f t="shared" ref="Y63:Y68" si="49">CONVERT(240,"mm","in")</f>
        <v>9.4488188976377945</v>
      </c>
      <c r="Z63" s="44">
        <f t="shared" ref="Z63:Z68" si="50">CONVERT(0.7168,"kg","lbm")</f>
        <v>1.5802734953412023</v>
      </c>
      <c r="AA63" s="33">
        <f t="shared" ref="AA63:AA68" si="51">CONVERT(145,"mm","in")</f>
        <v>5.7086614173228343</v>
      </c>
      <c r="AB63" s="33">
        <f t="shared" ref="AB63:AB68" si="52">CONVERT(116,"mm","in")</f>
        <v>4.5669291338582685</v>
      </c>
      <c r="AC63" s="70">
        <f t="shared" ref="AC63:AC68" si="53">CONVERT(246,"mm","in")</f>
        <v>9.6850393700787407</v>
      </c>
      <c r="AD63" s="44">
        <f t="shared" ref="AD63:AD68" si="54">CONVERT(4.634,"kg","lbm")</f>
        <v>10.216221229647228</v>
      </c>
      <c r="AE63" s="33">
        <f t="shared" ref="AE63:AE68" si="55">CONVERT(360,"mm","in")</f>
        <v>14.173228346456694</v>
      </c>
      <c r="AF63" s="33">
        <f t="shared" ref="AF63:AF68" si="56">CONVERT(305,"mm","in")</f>
        <v>12.007874015748031</v>
      </c>
      <c r="AG63" s="70">
        <f t="shared" ref="AG63:AG68" si="57">CONVERT(260,"mm","in")</f>
        <v>10.236220472440946</v>
      </c>
      <c r="AH63" s="44">
        <f t="shared" si="43"/>
        <v>1.0081631055650564</v>
      </c>
      <c r="AI63" s="37" t="s">
        <v>2956</v>
      </c>
      <c r="AJ63" s="37" t="s">
        <v>2959</v>
      </c>
      <c r="AK63" s="37" t="s">
        <v>1849</v>
      </c>
      <c r="AL63" s="37" t="s">
        <v>2960</v>
      </c>
      <c r="AM63" s="37" t="s">
        <v>2961</v>
      </c>
      <c r="AN63" s="37" t="s">
        <v>1635</v>
      </c>
      <c r="AO63" s="37" t="s">
        <v>2962</v>
      </c>
      <c r="AP63" s="37" t="s">
        <v>2963</v>
      </c>
      <c r="AQ63" s="37" t="s">
        <v>481</v>
      </c>
      <c r="AR63" s="18" t="s">
        <v>2909</v>
      </c>
      <c r="AS63" s="94" t="s">
        <v>2908</v>
      </c>
    </row>
    <row r="64" spans="1:45" s="18" customFormat="1" x14ac:dyDescent="0.2">
      <c r="A64" s="18" t="s">
        <v>510</v>
      </c>
      <c r="B64" s="125"/>
      <c r="C64" s="19" t="s">
        <v>368</v>
      </c>
      <c r="D64" s="15" t="s">
        <v>1741</v>
      </c>
      <c r="E64" s="62" t="s">
        <v>2792</v>
      </c>
      <c r="F64" s="18" t="s">
        <v>2764</v>
      </c>
      <c r="G64" s="18" t="s">
        <v>2547</v>
      </c>
      <c r="H64" s="112" t="s">
        <v>1841</v>
      </c>
      <c r="I64" s="360">
        <v>7331423101290</v>
      </c>
      <c r="J64" s="360">
        <v>7331423201525</v>
      </c>
      <c r="K64" s="360">
        <v>17331423201522</v>
      </c>
      <c r="L64" s="36" t="s">
        <v>568</v>
      </c>
      <c r="M64" s="27" t="s">
        <v>977</v>
      </c>
      <c r="N64" s="514"/>
      <c r="O64" s="514">
        <f>IF($C64="","",VLOOKUP($C64,'2017 Pricelist'!$C:$I,7,FALSE))</f>
        <v>9.99</v>
      </c>
      <c r="P64" s="35">
        <v>12</v>
      </c>
      <c r="Q64" s="187">
        <v>72</v>
      </c>
      <c r="R64" s="99">
        <f t="shared" si="44"/>
        <v>7.9366414386555922E-2</v>
      </c>
      <c r="S64" s="33">
        <f t="shared" si="45"/>
        <v>6.6929133858267722</v>
      </c>
      <c r="T64" s="100">
        <v>1.5</v>
      </c>
      <c r="U64" s="101">
        <v>1.25</v>
      </c>
      <c r="V64" s="44">
        <f t="shared" si="46"/>
        <v>0.11904962157983388</v>
      </c>
      <c r="W64" s="33">
        <f t="shared" si="47"/>
        <v>2.5590551181102366</v>
      </c>
      <c r="X64" s="33">
        <f t="shared" si="48"/>
        <v>1.1417322834645671</v>
      </c>
      <c r="Y64" s="70">
        <f t="shared" si="49"/>
        <v>9.4488188976377945</v>
      </c>
      <c r="Z64" s="44">
        <f t="shared" si="50"/>
        <v>1.5802734953412023</v>
      </c>
      <c r="AA64" s="33">
        <f t="shared" si="51"/>
        <v>5.7086614173228343</v>
      </c>
      <c r="AB64" s="33">
        <f t="shared" si="52"/>
        <v>4.5669291338582685</v>
      </c>
      <c r="AC64" s="70">
        <f t="shared" si="53"/>
        <v>9.6850393700787407</v>
      </c>
      <c r="AD64" s="44">
        <f t="shared" si="54"/>
        <v>10.216221229647228</v>
      </c>
      <c r="AE64" s="33">
        <f t="shared" si="55"/>
        <v>14.173228346456694</v>
      </c>
      <c r="AF64" s="33">
        <f t="shared" si="56"/>
        <v>12.007874015748031</v>
      </c>
      <c r="AG64" s="70">
        <f t="shared" si="57"/>
        <v>10.236220472440946</v>
      </c>
      <c r="AH64" s="42">
        <f t="shared" si="43"/>
        <v>1.0081631055650564</v>
      </c>
      <c r="AI64" s="37" t="s">
        <v>2956</v>
      </c>
      <c r="AJ64" s="37" t="s">
        <v>2959</v>
      </c>
      <c r="AK64" s="37" t="s">
        <v>1849</v>
      </c>
      <c r="AL64" s="37" t="s">
        <v>2960</v>
      </c>
      <c r="AM64" s="37" t="s">
        <v>2961</v>
      </c>
      <c r="AN64" s="37" t="s">
        <v>1635</v>
      </c>
      <c r="AO64" s="37" t="s">
        <v>2962</v>
      </c>
      <c r="AP64" s="37" t="s">
        <v>2963</v>
      </c>
      <c r="AQ64" s="37" t="s">
        <v>481</v>
      </c>
      <c r="AR64" s="18" t="s">
        <v>2909</v>
      </c>
      <c r="AS64" s="94" t="s">
        <v>2908</v>
      </c>
    </row>
    <row r="65" spans="1:45" s="18" customFormat="1" x14ac:dyDescent="0.2">
      <c r="A65" s="18" t="s">
        <v>510</v>
      </c>
      <c r="B65" s="125"/>
      <c r="C65" s="19" t="s">
        <v>368</v>
      </c>
      <c r="D65" s="15" t="s">
        <v>2793</v>
      </c>
      <c r="E65" s="62" t="s">
        <v>2792</v>
      </c>
      <c r="F65" s="18" t="s">
        <v>2800</v>
      </c>
      <c r="G65" s="18" t="s">
        <v>2547</v>
      </c>
      <c r="H65" s="112" t="s">
        <v>1842</v>
      </c>
      <c r="I65" s="360">
        <v>7331423101306</v>
      </c>
      <c r="J65" s="360">
        <v>7331423201532</v>
      </c>
      <c r="K65" s="360">
        <v>17331423201539</v>
      </c>
      <c r="L65" s="36" t="s">
        <v>568</v>
      </c>
      <c r="M65" s="27" t="s">
        <v>977</v>
      </c>
      <c r="N65" s="514"/>
      <c r="O65" s="514">
        <f>IF($C65="","",VLOOKUP($C65,'2017 Pricelist'!$C:$I,7,FALSE))</f>
        <v>9.99</v>
      </c>
      <c r="P65" s="35">
        <v>12</v>
      </c>
      <c r="Q65" s="187">
        <v>72</v>
      </c>
      <c r="R65" s="99">
        <f t="shared" si="44"/>
        <v>7.9366414386555922E-2</v>
      </c>
      <c r="S65" s="33">
        <f t="shared" si="45"/>
        <v>6.6929133858267722</v>
      </c>
      <c r="T65" s="100">
        <v>1.5</v>
      </c>
      <c r="U65" s="101">
        <v>1.25</v>
      </c>
      <c r="V65" s="44">
        <f t="shared" si="46"/>
        <v>0.11904962157983388</v>
      </c>
      <c r="W65" s="33">
        <f t="shared" si="47"/>
        <v>2.5590551181102366</v>
      </c>
      <c r="X65" s="33">
        <f t="shared" si="48"/>
        <v>1.1417322834645671</v>
      </c>
      <c r="Y65" s="70">
        <f t="shared" si="49"/>
        <v>9.4488188976377945</v>
      </c>
      <c r="Z65" s="44">
        <f t="shared" si="50"/>
        <v>1.5802734953412023</v>
      </c>
      <c r="AA65" s="33">
        <f t="shared" si="51"/>
        <v>5.7086614173228343</v>
      </c>
      <c r="AB65" s="33">
        <f t="shared" si="52"/>
        <v>4.5669291338582685</v>
      </c>
      <c r="AC65" s="70">
        <f t="shared" si="53"/>
        <v>9.6850393700787407</v>
      </c>
      <c r="AD65" s="44">
        <f t="shared" si="54"/>
        <v>10.216221229647228</v>
      </c>
      <c r="AE65" s="33">
        <f t="shared" si="55"/>
        <v>14.173228346456694</v>
      </c>
      <c r="AF65" s="33">
        <f t="shared" si="56"/>
        <v>12.007874015748031</v>
      </c>
      <c r="AG65" s="70">
        <f t="shared" si="57"/>
        <v>10.236220472440946</v>
      </c>
      <c r="AH65" s="42">
        <f t="shared" si="43"/>
        <v>1.0081631055650564</v>
      </c>
      <c r="AI65" s="37" t="s">
        <v>2956</v>
      </c>
      <c r="AJ65" s="37" t="s">
        <v>2959</v>
      </c>
      <c r="AK65" s="37" t="s">
        <v>1849</v>
      </c>
      <c r="AL65" s="37" t="s">
        <v>2960</v>
      </c>
      <c r="AM65" s="37" t="s">
        <v>2961</v>
      </c>
      <c r="AN65" s="37" t="s">
        <v>1635</v>
      </c>
      <c r="AO65" s="37" t="s">
        <v>2962</v>
      </c>
      <c r="AP65" s="37" t="s">
        <v>2963</v>
      </c>
      <c r="AQ65" s="37" t="s">
        <v>481</v>
      </c>
      <c r="AR65" s="18" t="s">
        <v>2909</v>
      </c>
      <c r="AS65" s="94" t="s">
        <v>2908</v>
      </c>
    </row>
    <row r="66" spans="1:45" s="18" customFormat="1" x14ac:dyDescent="0.2">
      <c r="A66" s="18" t="s">
        <v>510</v>
      </c>
      <c r="B66" s="125"/>
      <c r="C66" s="19" t="s">
        <v>368</v>
      </c>
      <c r="D66" s="15" t="s">
        <v>2798</v>
      </c>
      <c r="E66" s="62" t="s">
        <v>2792</v>
      </c>
      <c r="F66" s="18" t="s">
        <v>2799</v>
      </c>
      <c r="G66" s="18" t="s">
        <v>2547</v>
      </c>
      <c r="H66" s="112" t="s">
        <v>1843</v>
      </c>
      <c r="I66" s="360">
        <v>7331423101313</v>
      </c>
      <c r="J66" s="360">
        <v>7331423201549</v>
      </c>
      <c r="K66" s="359">
        <v>17331423201546</v>
      </c>
      <c r="L66" s="36" t="s">
        <v>568</v>
      </c>
      <c r="M66" s="27" t="s">
        <v>977</v>
      </c>
      <c r="N66" s="514"/>
      <c r="O66" s="514">
        <f>IF($C66="","",VLOOKUP($C66,'2017 Pricelist'!$C:$I,7,FALSE))</f>
        <v>9.99</v>
      </c>
      <c r="P66" s="35">
        <v>12</v>
      </c>
      <c r="Q66" s="187">
        <v>72</v>
      </c>
      <c r="R66" s="99">
        <f t="shared" si="44"/>
        <v>7.9366414386555922E-2</v>
      </c>
      <c r="S66" s="33">
        <f t="shared" si="45"/>
        <v>6.6929133858267722</v>
      </c>
      <c r="T66" s="100">
        <v>1.5</v>
      </c>
      <c r="U66" s="101">
        <v>1.25</v>
      </c>
      <c r="V66" s="44">
        <f t="shared" si="46"/>
        <v>0.11904962157983388</v>
      </c>
      <c r="W66" s="33">
        <f t="shared" si="47"/>
        <v>2.5590551181102366</v>
      </c>
      <c r="X66" s="33">
        <f t="shared" si="48"/>
        <v>1.1417322834645671</v>
      </c>
      <c r="Y66" s="70">
        <f t="shared" si="49"/>
        <v>9.4488188976377945</v>
      </c>
      <c r="Z66" s="44">
        <f t="shared" si="50"/>
        <v>1.5802734953412023</v>
      </c>
      <c r="AA66" s="33">
        <f t="shared" si="51"/>
        <v>5.7086614173228343</v>
      </c>
      <c r="AB66" s="33">
        <f t="shared" si="52"/>
        <v>4.5669291338582685</v>
      </c>
      <c r="AC66" s="70">
        <f t="shared" si="53"/>
        <v>9.6850393700787407</v>
      </c>
      <c r="AD66" s="44">
        <f t="shared" si="54"/>
        <v>10.216221229647228</v>
      </c>
      <c r="AE66" s="33">
        <f t="shared" si="55"/>
        <v>14.173228346456694</v>
      </c>
      <c r="AF66" s="33">
        <f t="shared" si="56"/>
        <v>12.007874015748031</v>
      </c>
      <c r="AG66" s="70">
        <f t="shared" si="57"/>
        <v>10.236220472440946</v>
      </c>
      <c r="AH66" s="42">
        <f t="shared" si="43"/>
        <v>1.0081631055650564</v>
      </c>
      <c r="AI66" s="37" t="s">
        <v>2956</v>
      </c>
      <c r="AJ66" s="37" t="s">
        <v>2959</v>
      </c>
      <c r="AK66" s="37" t="s">
        <v>1849</v>
      </c>
      <c r="AL66" s="37" t="s">
        <v>2960</v>
      </c>
      <c r="AM66" s="37" t="s">
        <v>2961</v>
      </c>
      <c r="AN66" s="37" t="s">
        <v>1635</v>
      </c>
      <c r="AO66" s="37" t="s">
        <v>2962</v>
      </c>
      <c r="AP66" s="37" t="s">
        <v>2963</v>
      </c>
      <c r="AQ66" s="37" t="s">
        <v>481</v>
      </c>
      <c r="AR66" s="18" t="s">
        <v>2909</v>
      </c>
      <c r="AS66" s="94" t="s">
        <v>2908</v>
      </c>
    </row>
    <row r="67" spans="1:45" s="18" customFormat="1" x14ac:dyDescent="0.2">
      <c r="A67" s="18" t="s">
        <v>510</v>
      </c>
      <c r="B67" s="125"/>
      <c r="C67" s="19" t="s">
        <v>368</v>
      </c>
      <c r="D67" s="15" t="s">
        <v>2801</v>
      </c>
      <c r="E67" s="62" t="s">
        <v>2792</v>
      </c>
      <c r="F67" s="18" t="s">
        <v>2802</v>
      </c>
      <c r="G67" s="18" t="s">
        <v>2547</v>
      </c>
      <c r="H67" s="112" t="s">
        <v>1844</v>
      </c>
      <c r="I67" s="360">
        <v>7331423101320</v>
      </c>
      <c r="J67" s="360">
        <v>7331423201556</v>
      </c>
      <c r="K67" s="360">
        <v>17331423201553</v>
      </c>
      <c r="L67" s="36" t="s">
        <v>568</v>
      </c>
      <c r="M67" s="27" t="s">
        <v>977</v>
      </c>
      <c r="N67" s="514"/>
      <c r="O67" s="514">
        <f>IF($C67="","",VLOOKUP($C67,'2017 Pricelist'!$C:$I,7,FALSE))</f>
        <v>9.99</v>
      </c>
      <c r="P67" s="35">
        <v>12</v>
      </c>
      <c r="Q67" s="187">
        <v>72</v>
      </c>
      <c r="R67" s="99">
        <f t="shared" si="44"/>
        <v>7.9366414386555922E-2</v>
      </c>
      <c r="S67" s="33">
        <f t="shared" si="45"/>
        <v>6.6929133858267722</v>
      </c>
      <c r="T67" s="100">
        <v>1.5</v>
      </c>
      <c r="U67" s="101">
        <v>1.25</v>
      </c>
      <c r="V67" s="44">
        <f t="shared" si="46"/>
        <v>0.11904962157983388</v>
      </c>
      <c r="W67" s="33">
        <f t="shared" si="47"/>
        <v>2.5590551181102366</v>
      </c>
      <c r="X67" s="33">
        <f t="shared" si="48"/>
        <v>1.1417322834645671</v>
      </c>
      <c r="Y67" s="70">
        <f t="shared" si="49"/>
        <v>9.4488188976377945</v>
      </c>
      <c r="Z67" s="44">
        <f t="shared" si="50"/>
        <v>1.5802734953412023</v>
      </c>
      <c r="AA67" s="33">
        <f t="shared" si="51"/>
        <v>5.7086614173228343</v>
      </c>
      <c r="AB67" s="33">
        <f t="shared" si="52"/>
        <v>4.5669291338582685</v>
      </c>
      <c r="AC67" s="70">
        <f t="shared" si="53"/>
        <v>9.6850393700787407</v>
      </c>
      <c r="AD67" s="44">
        <f t="shared" si="54"/>
        <v>10.216221229647228</v>
      </c>
      <c r="AE67" s="33">
        <f t="shared" si="55"/>
        <v>14.173228346456694</v>
      </c>
      <c r="AF67" s="33">
        <f t="shared" si="56"/>
        <v>12.007874015748031</v>
      </c>
      <c r="AG67" s="70">
        <f t="shared" si="57"/>
        <v>10.236220472440946</v>
      </c>
      <c r="AH67" s="42">
        <f t="shared" si="43"/>
        <v>1.0081631055650564</v>
      </c>
      <c r="AI67" s="37" t="s">
        <v>2956</v>
      </c>
      <c r="AJ67" s="37" t="s">
        <v>2959</v>
      </c>
      <c r="AK67" s="37" t="s">
        <v>1849</v>
      </c>
      <c r="AL67" s="37" t="s">
        <v>2960</v>
      </c>
      <c r="AM67" s="37" t="s">
        <v>2961</v>
      </c>
      <c r="AN67" s="37" t="s">
        <v>1635</v>
      </c>
      <c r="AO67" s="37" t="s">
        <v>2962</v>
      </c>
      <c r="AP67" s="37" t="s">
        <v>2963</v>
      </c>
      <c r="AQ67" s="37" t="s">
        <v>481</v>
      </c>
      <c r="AR67" s="18" t="s">
        <v>2909</v>
      </c>
      <c r="AS67" s="94" t="s">
        <v>2908</v>
      </c>
    </row>
    <row r="68" spans="1:45" s="18" customFormat="1" x14ac:dyDescent="0.2">
      <c r="A68" s="18" t="s">
        <v>510</v>
      </c>
      <c r="B68" s="37"/>
      <c r="C68" s="19" t="s">
        <v>368</v>
      </c>
      <c r="D68" s="33" t="s">
        <v>2889</v>
      </c>
      <c r="E68" s="62" t="s">
        <v>2792</v>
      </c>
      <c r="F68" s="33" t="s">
        <v>2881</v>
      </c>
      <c r="G68" s="18" t="s">
        <v>2547</v>
      </c>
      <c r="H68" s="109">
        <v>7331423010073</v>
      </c>
      <c r="I68" s="109">
        <v>7331423101672</v>
      </c>
      <c r="J68" s="109">
        <v>7331423202379</v>
      </c>
      <c r="K68" s="109">
        <v>17331423202451</v>
      </c>
      <c r="L68" s="36" t="s">
        <v>568</v>
      </c>
      <c r="M68" s="27" t="s">
        <v>977</v>
      </c>
      <c r="N68" s="514"/>
      <c r="O68" s="514">
        <f>IF($C68="","",VLOOKUP($C68,'2017 Pricelist'!$C:$I,7,FALSE))</f>
        <v>9.99</v>
      </c>
      <c r="P68" s="123">
        <v>12</v>
      </c>
      <c r="Q68" s="188">
        <v>72</v>
      </c>
      <c r="R68" s="99">
        <f t="shared" si="44"/>
        <v>7.9366414386555922E-2</v>
      </c>
      <c r="S68" s="33">
        <f t="shared" si="45"/>
        <v>6.6929133858267722</v>
      </c>
      <c r="T68" s="100">
        <v>1.5</v>
      </c>
      <c r="U68" s="101">
        <v>1.25</v>
      </c>
      <c r="V68" s="44">
        <f t="shared" si="46"/>
        <v>0.11904962157983388</v>
      </c>
      <c r="W68" s="33">
        <f t="shared" si="47"/>
        <v>2.5590551181102366</v>
      </c>
      <c r="X68" s="33">
        <f t="shared" si="48"/>
        <v>1.1417322834645671</v>
      </c>
      <c r="Y68" s="70">
        <f t="shared" si="49"/>
        <v>9.4488188976377945</v>
      </c>
      <c r="Z68" s="44">
        <f t="shared" si="50"/>
        <v>1.5802734953412023</v>
      </c>
      <c r="AA68" s="33">
        <f t="shared" si="51"/>
        <v>5.7086614173228343</v>
      </c>
      <c r="AB68" s="33">
        <f t="shared" si="52"/>
        <v>4.5669291338582685</v>
      </c>
      <c r="AC68" s="70">
        <f t="shared" si="53"/>
        <v>9.6850393700787407</v>
      </c>
      <c r="AD68" s="44">
        <f t="shared" si="54"/>
        <v>10.216221229647228</v>
      </c>
      <c r="AE68" s="33">
        <f t="shared" si="55"/>
        <v>14.173228346456694</v>
      </c>
      <c r="AF68" s="33">
        <f t="shared" si="56"/>
        <v>12.007874015748031</v>
      </c>
      <c r="AG68" s="70">
        <f t="shared" si="57"/>
        <v>10.236220472440946</v>
      </c>
      <c r="AH68" s="42">
        <f t="shared" si="43"/>
        <v>1.0081631055650564</v>
      </c>
      <c r="AI68" s="37" t="s">
        <v>2956</v>
      </c>
      <c r="AJ68" s="37" t="s">
        <v>2959</v>
      </c>
      <c r="AK68" s="37" t="s">
        <v>1849</v>
      </c>
      <c r="AL68" s="37" t="s">
        <v>2960</v>
      </c>
      <c r="AM68" s="37" t="s">
        <v>2961</v>
      </c>
      <c r="AN68" s="37" t="s">
        <v>1635</v>
      </c>
      <c r="AO68" s="37" t="s">
        <v>2962</v>
      </c>
      <c r="AP68" s="37" t="s">
        <v>2963</v>
      </c>
      <c r="AQ68" s="37" t="s">
        <v>481</v>
      </c>
      <c r="AR68" s="18" t="s">
        <v>2909</v>
      </c>
      <c r="AS68" s="94" t="s">
        <v>2908</v>
      </c>
    </row>
    <row r="69" spans="1:45" s="14" customFormat="1" x14ac:dyDescent="0.2">
      <c r="A69" s="14" t="s">
        <v>510</v>
      </c>
      <c r="B69" s="125"/>
      <c r="C69" s="33" t="s">
        <v>1867</v>
      </c>
      <c r="D69" s="15" t="s">
        <v>245</v>
      </c>
      <c r="E69" s="16" t="s">
        <v>2413</v>
      </c>
      <c r="F69" s="15" t="s">
        <v>486</v>
      </c>
      <c r="G69" s="18" t="s">
        <v>2547</v>
      </c>
      <c r="H69" s="66">
        <v>7331423009312</v>
      </c>
      <c r="I69" s="66">
        <v>7331423009312</v>
      </c>
      <c r="J69" s="66">
        <v>7331423200344</v>
      </c>
      <c r="K69" s="66">
        <v>17331423201614</v>
      </c>
      <c r="L69" s="36" t="s">
        <v>568</v>
      </c>
      <c r="M69" s="27" t="s">
        <v>977</v>
      </c>
      <c r="N69" s="514"/>
      <c r="O69" s="514">
        <f>IF($C69="","",VLOOKUP($C69,'2017 Pricelist'!$C:$I,7,FALSE))</f>
        <v>5.99</v>
      </c>
      <c r="P69" s="35">
        <v>12</v>
      </c>
      <c r="Q69" s="187">
        <v>72</v>
      </c>
      <c r="R69" s="99">
        <f t="shared" ref="R69:R76" si="58">CONVERT(18,"g","lbm")</f>
        <v>3.9683207193277961E-2</v>
      </c>
      <c r="S69" s="33">
        <f t="shared" si="45"/>
        <v>6.6929133858267722</v>
      </c>
      <c r="T69" s="100">
        <v>1.5</v>
      </c>
      <c r="U69" s="101">
        <v>1</v>
      </c>
      <c r="V69" s="99">
        <v>0.1</v>
      </c>
      <c r="W69" s="33">
        <v>2.5625</v>
      </c>
      <c r="X69" s="33">
        <v>1</v>
      </c>
      <c r="Y69" s="70">
        <v>9.5</v>
      </c>
      <c r="Z69" s="99">
        <v>1.05</v>
      </c>
      <c r="AA69" s="100">
        <v>5.8125</v>
      </c>
      <c r="AB69" s="100">
        <v>4.125</v>
      </c>
      <c r="AC69" s="101">
        <v>9.75</v>
      </c>
      <c r="AD69" s="44">
        <v>7</v>
      </c>
      <c r="AE69" s="33">
        <v>14.375</v>
      </c>
      <c r="AF69" s="33">
        <v>12</v>
      </c>
      <c r="AG69" s="70">
        <v>10.5</v>
      </c>
      <c r="AH69" s="42">
        <f t="shared" si="43"/>
        <v>1.0481770833333333</v>
      </c>
      <c r="AI69" s="37" t="s">
        <v>2957</v>
      </c>
      <c r="AJ69" s="37" t="s">
        <v>2959</v>
      </c>
      <c r="AK69" s="37" t="s">
        <v>1849</v>
      </c>
      <c r="AL69" s="37" t="s">
        <v>2960</v>
      </c>
      <c r="AM69" s="37" t="s">
        <v>2961</v>
      </c>
      <c r="AN69" s="37" t="s">
        <v>1635</v>
      </c>
      <c r="AO69" s="37" t="s">
        <v>2962</v>
      </c>
      <c r="AP69" s="37" t="s">
        <v>2963</v>
      </c>
      <c r="AQ69" s="37" t="s">
        <v>481</v>
      </c>
      <c r="AR69" s="18" t="s">
        <v>2909</v>
      </c>
      <c r="AS69" s="94" t="s">
        <v>2908</v>
      </c>
    </row>
    <row r="70" spans="1:45" s="14" customFormat="1" x14ac:dyDescent="0.2">
      <c r="A70" s="14" t="s">
        <v>510</v>
      </c>
      <c r="B70" s="125"/>
      <c r="C70" s="33" t="s">
        <v>1867</v>
      </c>
      <c r="D70" s="15" t="s">
        <v>2805</v>
      </c>
      <c r="E70" s="16" t="s">
        <v>2413</v>
      </c>
      <c r="F70" s="15" t="s">
        <v>1862</v>
      </c>
      <c r="G70" s="18" t="s">
        <v>2547</v>
      </c>
      <c r="H70" s="76">
        <v>7331423009244</v>
      </c>
      <c r="I70" s="77">
        <v>7331423101559</v>
      </c>
      <c r="J70" s="77">
        <v>7331423201839</v>
      </c>
      <c r="K70" s="77">
        <v>17331423201836</v>
      </c>
      <c r="L70" s="36" t="s">
        <v>568</v>
      </c>
      <c r="M70" s="27" t="s">
        <v>977</v>
      </c>
      <c r="N70" s="514"/>
      <c r="O70" s="514">
        <f>IF($C70="","",VLOOKUP($C70,'2017 Pricelist'!$C:$I,7,FALSE))</f>
        <v>5.99</v>
      </c>
      <c r="P70" s="35">
        <v>12</v>
      </c>
      <c r="Q70" s="187">
        <v>72</v>
      </c>
      <c r="R70" s="99">
        <f t="shared" si="58"/>
        <v>3.9683207193277961E-2</v>
      </c>
      <c r="S70" s="33">
        <f t="shared" si="45"/>
        <v>6.6929133858267722</v>
      </c>
      <c r="T70" s="100">
        <v>1.5</v>
      </c>
      <c r="U70" s="101">
        <v>1</v>
      </c>
      <c r="V70" s="99">
        <v>0.1</v>
      </c>
      <c r="W70" s="33">
        <v>2.5625</v>
      </c>
      <c r="X70" s="33">
        <v>1</v>
      </c>
      <c r="Y70" s="70">
        <v>9.5</v>
      </c>
      <c r="Z70" s="99">
        <v>1.05</v>
      </c>
      <c r="AA70" s="100">
        <v>5.8125</v>
      </c>
      <c r="AB70" s="100">
        <v>4.125</v>
      </c>
      <c r="AC70" s="101">
        <v>9.75</v>
      </c>
      <c r="AD70" s="44">
        <v>7</v>
      </c>
      <c r="AE70" s="33">
        <v>14.375</v>
      </c>
      <c r="AF70" s="33">
        <v>12</v>
      </c>
      <c r="AG70" s="70">
        <v>10.5</v>
      </c>
      <c r="AH70" s="42">
        <f t="shared" si="43"/>
        <v>1.0481770833333333</v>
      </c>
      <c r="AI70" s="37" t="s">
        <v>2957</v>
      </c>
      <c r="AJ70" s="37" t="s">
        <v>2959</v>
      </c>
      <c r="AK70" s="37" t="s">
        <v>1849</v>
      </c>
      <c r="AL70" s="37" t="s">
        <v>2960</v>
      </c>
      <c r="AM70" s="37" t="s">
        <v>2961</v>
      </c>
      <c r="AN70" s="37" t="s">
        <v>1635</v>
      </c>
      <c r="AO70" s="37" t="s">
        <v>2962</v>
      </c>
      <c r="AP70" s="37" t="s">
        <v>2963</v>
      </c>
      <c r="AQ70" s="37" t="s">
        <v>481</v>
      </c>
      <c r="AR70" s="18" t="s">
        <v>2909</v>
      </c>
      <c r="AS70" s="94" t="s">
        <v>2908</v>
      </c>
    </row>
    <row r="71" spans="1:45" s="14" customFormat="1" x14ac:dyDescent="0.2">
      <c r="A71" s="14" t="s">
        <v>510</v>
      </c>
      <c r="B71" s="125"/>
      <c r="C71" s="33" t="s">
        <v>1867</v>
      </c>
      <c r="D71" s="15" t="s">
        <v>2806</v>
      </c>
      <c r="E71" s="16" t="s">
        <v>2413</v>
      </c>
      <c r="F71" s="15" t="s">
        <v>1863</v>
      </c>
      <c r="G71" s="18" t="s">
        <v>2547</v>
      </c>
      <c r="H71" s="76">
        <v>7331423009275</v>
      </c>
      <c r="I71" s="77">
        <v>7331423101580</v>
      </c>
      <c r="J71" s="77">
        <v>7331423201860</v>
      </c>
      <c r="K71" s="77">
        <v>17331423201867</v>
      </c>
      <c r="L71" s="36" t="s">
        <v>568</v>
      </c>
      <c r="M71" s="27" t="s">
        <v>977</v>
      </c>
      <c r="N71" s="514"/>
      <c r="O71" s="514">
        <f>IF($C71="","",VLOOKUP($C71,'2017 Pricelist'!$C:$I,7,FALSE))</f>
        <v>5.99</v>
      </c>
      <c r="P71" s="35">
        <v>12</v>
      </c>
      <c r="Q71" s="187">
        <v>72</v>
      </c>
      <c r="R71" s="99">
        <f t="shared" si="58"/>
        <v>3.9683207193277961E-2</v>
      </c>
      <c r="S71" s="33">
        <f t="shared" si="45"/>
        <v>6.6929133858267722</v>
      </c>
      <c r="T71" s="100">
        <v>1.5</v>
      </c>
      <c r="U71" s="101">
        <v>1</v>
      </c>
      <c r="V71" s="99">
        <v>0.1</v>
      </c>
      <c r="W71" s="33">
        <v>2.5625</v>
      </c>
      <c r="X71" s="33">
        <v>1</v>
      </c>
      <c r="Y71" s="70">
        <v>9.5</v>
      </c>
      <c r="Z71" s="99">
        <v>1.05</v>
      </c>
      <c r="AA71" s="100">
        <v>5.8125</v>
      </c>
      <c r="AB71" s="100">
        <v>4.125</v>
      </c>
      <c r="AC71" s="101">
        <v>9.75</v>
      </c>
      <c r="AD71" s="44">
        <v>7</v>
      </c>
      <c r="AE71" s="33">
        <v>14.375</v>
      </c>
      <c r="AF71" s="33">
        <v>12</v>
      </c>
      <c r="AG71" s="70">
        <v>10.5</v>
      </c>
      <c r="AH71" s="42">
        <f t="shared" si="43"/>
        <v>1.0481770833333333</v>
      </c>
      <c r="AI71" s="37" t="s">
        <v>2957</v>
      </c>
      <c r="AJ71" s="37" t="s">
        <v>2959</v>
      </c>
      <c r="AK71" s="37" t="s">
        <v>1849</v>
      </c>
      <c r="AL71" s="37" t="s">
        <v>2960</v>
      </c>
      <c r="AM71" s="37" t="s">
        <v>2961</v>
      </c>
      <c r="AN71" s="37" t="s">
        <v>1635</v>
      </c>
      <c r="AO71" s="37" t="s">
        <v>2962</v>
      </c>
      <c r="AP71" s="37" t="s">
        <v>2963</v>
      </c>
      <c r="AQ71" s="37" t="s">
        <v>481</v>
      </c>
      <c r="AR71" s="18" t="s">
        <v>2909</v>
      </c>
      <c r="AS71" s="94" t="s">
        <v>2908</v>
      </c>
    </row>
    <row r="72" spans="1:45" s="14" customFormat="1" x14ac:dyDescent="0.2">
      <c r="A72" s="14" t="s">
        <v>510</v>
      </c>
      <c r="B72" s="125"/>
      <c r="C72" s="33" t="s">
        <v>1867</v>
      </c>
      <c r="D72" s="15" t="s">
        <v>1766</v>
      </c>
      <c r="E72" s="16" t="s">
        <v>2413</v>
      </c>
      <c r="F72" s="15" t="s">
        <v>1770</v>
      </c>
      <c r="G72" s="18" t="s">
        <v>2547</v>
      </c>
      <c r="H72" s="76">
        <v>7331423009299</v>
      </c>
      <c r="I72" s="77">
        <v>7331423101603</v>
      </c>
      <c r="J72" s="77">
        <v>7331423201884</v>
      </c>
      <c r="K72" s="77">
        <v>17331423201881</v>
      </c>
      <c r="L72" s="36" t="s">
        <v>568</v>
      </c>
      <c r="M72" s="27" t="s">
        <v>977</v>
      </c>
      <c r="N72" s="514"/>
      <c r="O72" s="514">
        <f>IF($C72="","",VLOOKUP($C72,'2017 Pricelist'!$C:$I,7,FALSE))</f>
        <v>5.99</v>
      </c>
      <c r="P72" s="35">
        <v>12</v>
      </c>
      <c r="Q72" s="187">
        <v>72</v>
      </c>
      <c r="R72" s="99">
        <f t="shared" si="58"/>
        <v>3.9683207193277961E-2</v>
      </c>
      <c r="S72" s="33">
        <f t="shared" si="45"/>
        <v>6.6929133858267722</v>
      </c>
      <c r="T72" s="100">
        <v>1.5</v>
      </c>
      <c r="U72" s="101">
        <v>1</v>
      </c>
      <c r="V72" s="99">
        <v>0.1</v>
      </c>
      <c r="W72" s="33">
        <v>2.5625</v>
      </c>
      <c r="X72" s="33">
        <v>1</v>
      </c>
      <c r="Y72" s="70">
        <v>9.5</v>
      </c>
      <c r="Z72" s="99">
        <v>1.05</v>
      </c>
      <c r="AA72" s="100">
        <v>5.8125</v>
      </c>
      <c r="AB72" s="100">
        <v>4.125</v>
      </c>
      <c r="AC72" s="101">
        <v>9.75</v>
      </c>
      <c r="AD72" s="44">
        <v>7</v>
      </c>
      <c r="AE72" s="33">
        <v>14.375</v>
      </c>
      <c r="AF72" s="33">
        <v>12</v>
      </c>
      <c r="AG72" s="70">
        <v>10.5</v>
      </c>
      <c r="AH72" s="42">
        <f t="shared" si="43"/>
        <v>1.0481770833333333</v>
      </c>
      <c r="AI72" s="37" t="s">
        <v>2957</v>
      </c>
      <c r="AJ72" s="37" t="s">
        <v>2959</v>
      </c>
      <c r="AK72" s="37" t="s">
        <v>1849</v>
      </c>
      <c r="AL72" s="37" t="s">
        <v>2960</v>
      </c>
      <c r="AM72" s="37" t="s">
        <v>2961</v>
      </c>
      <c r="AN72" s="37" t="s">
        <v>1635</v>
      </c>
      <c r="AO72" s="37" t="s">
        <v>2962</v>
      </c>
      <c r="AP72" s="37" t="s">
        <v>2963</v>
      </c>
      <c r="AQ72" s="37" t="s">
        <v>481</v>
      </c>
      <c r="AR72" s="18" t="s">
        <v>2909</v>
      </c>
      <c r="AS72" s="94" t="s">
        <v>2908</v>
      </c>
    </row>
    <row r="73" spans="1:45" s="14" customFormat="1" x14ac:dyDescent="0.2">
      <c r="A73" s="14" t="s">
        <v>510</v>
      </c>
      <c r="B73" s="125"/>
      <c r="C73" s="33" t="s">
        <v>1867</v>
      </c>
      <c r="D73" s="15" t="s">
        <v>2807</v>
      </c>
      <c r="E73" s="16" t="s">
        <v>2413</v>
      </c>
      <c r="F73" s="15" t="s">
        <v>1864</v>
      </c>
      <c r="G73" s="18" t="s">
        <v>2547</v>
      </c>
      <c r="H73" s="76">
        <v>7331423009268</v>
      </c>
      <c r="I73" s="77">
        <v>7331423101573</v>
      </c>
      <c r="J73" s="77">
        <v>7331423201853</v>
      </c>
      <c r="K73" s="77">
        <v>17331423201850</v>
      </c>
      <c r="L73" s="36" t="s">
        <v>568</v>
      </c>
      <c r="M73" s="27" t="s">
        <v>977</v>
      </c>
      <c r="N73" s="514"/>
      <c r="O73" s="514">
        <f>IF($C73="","",VLOOKUP($C73,'2017 Pricelist'!$C:$I,7,FALSE))</f>
        <v>5.99</v>
      </c>
      <c r="P73" s="35">
        <v>12</v>
      </c>
      <c r="Q73" s="187">
        <v>72</v>
      </c>
      <c r="R73" s="99">
        <f t="shared" si="58"/>
        <v>3.9683207193277961E-2</v>
      </c>
      <c r="S73" s="33">
        <f t="shared" si="45"/>
        <v>6.6929133858267722</v>
      </c>
      <c r="T73" s="100">
        <v>1.5</v>
      </c>
      <c r="U73" s="101">
        <v>1</v>
      </c>
      <c r="V73" s="99">
        <v>0.1</v>
      </c>
      <c r="W73" s="33">
        <v>2.5625</v>
      </c>
      <c r="X73" s="33">
        <v>1</v>
      </c>
      <c r="Y73" s="70">
        <v>9.5</v>
      </c>
      <c r="Z73" s="99">
        <v>1.05</v>
      </c>
      <c r="AA73" s="100">
        <v>5.8125</v>
      </c>
      <c r="AB73" s="100">
        <v>4.125</v>
      </c>
      <c r="AC73" s="101">
        <v>9.75</v>
      </c>
      <c r="AD73" s="44">
        <v>7</v>
      </c>
      <c r="AE73" s="33">
        <v>14.375</v>
      </c>
      <c r="AF73" s="33">
        <v>12</v>
      </c>
      <c r="AG73" s="70">
        <v>10.5</v>
      </c>
      <c r="AH73" s="42">
        <f t="shared" si="43"/>
        <v>1.0481770833333333</v>
      </c>
      <c r="AI73" s="37" t="s">
        <v>2957</v>
      </c>
      <c r="AJ73" s="37" t="s">
        <v>2959</v>
      </c>
      <c r="AK73" s="37" t="s">
        <v>1849</v>
      </c>
      <c r="AL73" s="37" t="s">
        <v>2960</v>
      </c>
      <c r="AM73" s="37" t="s">
        <v>2961</v>
      </c>
      <c r="AN73" s="37" t="s">
        <v>1635</v>
      </c>
      <c r="AO73" s="37" t="s">
        <v>2962</v>
      </c>
      <c r="AP73" s="37" t="s">
        <v>2963</v>
      </c>
      <c r="AQ73" s="37" t="s">
        <v>481</v>
      </c>
      <c r="AR73" s="18" t="s">
        <v>2909</v>
      </c>
      <c r="AS73" s="94" t="s">
        <v>2908</v>
      </c>
    </row>
    <row r="74" spans="1:45" s="14" customFormat="1" x14ac:dyDescent="0.2">
      <c r="A74" s="14" t="s">
        <v>510</v>
      </c>
      <c r="B74" s="125"/>
      <c r="C74" s="33" t="s">
        <v>1867</v>
      </c>
      <c r="D74" s="15" t="s">
        <v>2808</v>
      </c>
      <c r="E74" s="16" t="s">
        <v>2413</v>
      </c>
      <c r="F74" s="15" t="s">
        <v>1865</v>
      </c>
      <c r="G74" s="18" t="s">
        <v>2547</v>
      </c>
      <c r="H74" s="76">
        <v>7331423009282</v>
      </c>
      <c r="I74" s="77">
        <v>7331423101597</v>
      </c>
      <c r="J74" s="77">
        <v>7331423201877</v>
      </c>
      <c r="K74" s="77">
        <v>17331423201874</v>
      </c>
      <c r="L74" s="36" t="s">
        <v>568</v>
      </c>
      <c r="M74" s="27" t="s">
        <v>977</v>
      </c>
      <c r="N74" s="514"/>
      <c r="O74" s="514">
        <f>IF($C74="","",VLOOKUP($C74,'2017 Pricelist'!$C:$I,7,FALSE))</f>
        <v>5.99</v>
      </c>
      <c r="P74" s="35">
        <v>12</v>
      </c>
      <c r="Q74" s="187">
        <v>72</v>
      </c>
      <c r="R74" s="99">
        <f t="shared" si="58"/>
        <v>3.9683207193277961E-2</v>
      </c>
      <c r="S74" s="33">
        <f t="shared" si="45"/>
        <v>6.6929133858267722</v>
      </c>
      <c r="T74" s="100">
        <v>1.5</v>
      </c>
      <c r="U74" s="101">
        <v>1</v>
      </c>
      <c r="V74" s="99">
        <v>0.1</v>
      </c>
      <c r="W74" s="33">
        <v>2.5625</v>
      </c>
      <c r="X74" s="33">
        <v>1</v>
      </c>
      <c r="Y74" s="70">
        <v>9.5</v>
      </c>
      <c r="Z74" s="99">
        <v>1.05</v>
      </c>
      <c r="AA74" s="100">
        <v>5.8125</v>
      </c>
      <c r="AB74" s="100">
        <v>4.125</v>
      </c>
      <c r="AC74" s="101">
        <v>9.75</v>
      </c>
      <c r="AD74" s="44">
        <v>7</v>
      </c>
      <c r="AE74" s="33">
        <v>14.375</v>
      </c>
      <c r="AF74" s="33">
        <v>12</v>
      </c>
      <c r="AG74" s="70">
        <v>10.5</v>
      </c>
      <c r="AH74" s="42">
        <f t="shared" si="43"/>
        <v>1.0481770833333333</v>
      </c>
      <c r="AI74" s="37" t="s">
        <v>2957</v>
      </c>
      <c r="AJ74" s="37" t="s">
        <v>2959</v>
      </c>
      <c r="AK74" s="37" t="s">
        <v>1849</v>
      </c>
      <c r="AL74" s="37" t="s">
        <v>2960</v>
      </c>
      <c r="AM74" s="37" t="s">
        <v>2961</v>
      </c>
      <c r="AN74" s="37" t="s">
        <v>1635</v>
      </c>
      <c r="AO74" s="37" t="s">
        <v>2962</v>
      </c>
      <c r="AP74" s="37" t="s">
        <v>2963</v>
      </c>
      <c r="AQ74" s="37" t="s">
        <v>481</v>
      </c>
      <c r="AR74" s="18" t="s">
        <v>2909</v>
      </c>
      <c r="AS74" s="94" t="s">
        <v>2908</v>
      </c>
    </row>
    <row r="75" spans="1:45" s="18" customFormat="1" x14ac:dyDescent="0.2">
      <c r="A75" s="18" t="s">
        <v>510</v>
      </c>
      <c r="C75" s="33" t="s">
        <v>1867</v>
      </c>
      <c r="D75" s="33" t="s">
        <v>2809</v>
      </c>
      <c r="E75" s="34" t="s">
        <v>2413</v>
      </c>
      <c r="F75" s="33" t="s">
        <v>1866</v>
      </c>
      <c r="G75" s="18" t="s">
        <v>2547</v>
      </c>
      <c r="H75" s="77">
        <v>7331423009251</v>
      </c>
      <c r="I75" s="77">
        <v>7331423101566</v>
      </c>
      <c r="J75" s="77">
        <v>7331423201846</v>
      </c>
      <c r="K75" s="77">
        <v>17331423201843</v>
      </c>
      <c r="L75" s="36" t="s">
        <v>568</v>
      </c>
      <c r="M75" s="36" t="s">
        <v>977</v>
      </c>
      <c r="N75" s="514"/>
      <c r="O75" s="514">
        <f>IF($C75="","",VLOOKUP($C75,'2017 Pricelist'!$C:$I,7,FALSE))</f>
        <v>5.99</v>
      </c>
      <c r="P75" s="35">
        <v>12</v>
      </c>
      <c r="Q75" s="187">
        <v>72</v>
      </c>
      <c r="R75" s="99">
        <f t="shared" si="58"/>
        <v>3.9683207193277961E-2</v>
      </c>
      <c r="S75" s="33">
        <f t="shared" si="45"/>
        <v>6.6929133858267722</v>
      </c>
      <c r="T75" s="100">
        <v>1.5</v>
      </c>
      <c r="U75" s="101">
        <v>1</v>
      </c>
      <c r="V75" s="99">
        <v>0.1</v>
      </c>
      <c r="W75" s="33">
        <v>2.5625</v>
      </c>
      <c r="X75" s="33">
        <v>1</v>
      </c>
      <c r="Y75" s="70">
        <v>9.5</v>
      </c>
      <c r="Z75" s="99">
        <v>1.05</v>
      </c>
      <c r="AA75" s="100">
        <v>5.8125</v>
      </c>
      <c r="AB75" s="100">
        <v>4.125</v>
      </c>
      <c r="AC75" s="100">
        <v>9.75</v>
      </c>
      <c r="AD75" s="44">
        <v>7</v>
      </c>
      <c r="AE75" s="33">
        <v>14.375</v>
      </c>
      <c r="AF75" s="33">
        <v>12</v>
      </c>
      <c r="AG75" s="70">
        <v>10.5</v>
      </c>
      <c r="AH75" s="33">
        <f t="shared" si="43"/>
        <v>1.0481770833333333</v>
      </c>
      <c r="AI75" s="37" t="s">
        <v>2957</v>
      </c>
      <c r="AJ75" s="37" t="s">
        <v>2959</v>
      </c>
      <c r="AK75" s="37" t="s">
        <v>1849</v>
      </c>
      <c r="AL75" s="37" t="s">
        <v>2960</v>
      </c>
      <c r="AM75" s="37" t="s">
        <v>2961</v>
      </c>
      <c r="AN75" s="37" t="s">
        <v>1635</v>
      </c>
      <c r="AO75" s="37" t="s">
        <v>2962</v>
      </c>
      <c r="AP75" s="37" t="s">
        <v>2963</v>
      </c>
      <c r="AQ75" s="37" t="s">
        <v>481</v>
      </c>
      <c r="AR75" s="18" t="s">
        <v>2909</v>
      </c>
      <c r="AS75" s="94" t="s">
        <v>2908</v>
      </c>
    </row>
    <row r="76" spans="1:45" s="14" customFormat="1" x14ac:dyDescent="0.2">
      <c r="A76" s="14" t="s">
        <v>510</v>
      </c>
      <c r="B76" s="37"/>
      <c r="C76" s="33" t="s">
        <v>1867</v>
      </c>
      <c r="D76" s="33" t="s">
        <v>3799</v>
      </c>
      <c r="E76" s="16" t="s">
        <v>2413</v>
      </c>
      <c r="F76" s="15" t="s">
        <v>2888</v>
      </c>
      <c r="G76" s="18" t="s">
        <v>2547</v>
      </c>
      <c r="H76" s="109">
        <v>7331423010059</v>
      </c>
      <c r="I76" s="109">
        <v>7331423101658</v>
      </c>
      <c r="J76" s="109">
        <v>7331423202355</v>
      </c>
      <c r="K76" s="109">
        <v>17331423202437</v>
      </c>
      <c r="L76" s="36" t="s">
        <v>568</v>
      </c>
      <c r="M76" s="27" t="s">
        <v>977</v>
      </c>
      <c r="N76" s="514"/>
      <c r="O76" s="514">
        <f>IF($C76="","",VLOOKUP($C76,'2017 Pricelist'!$C:$I,7,FALSE))</f>
        <v>5.99</v>
      </c>
      <c r="P76" s="123">
        <v>12</v>
      </c>
      <c r="Q76" s="188">
        <v>72</v>
      </c>
      <c r="R76" s="99">
        <f t="shared" si="58"/>
        <v>3.9683207193277961E-2</v>
      </c>
      <c r="S76" s="33">
        <f t="shared" si="45"/>
        <v>6.6929133858267722</v>
      </c>
      <c r="T76" s="100">
        <v>1.5</v>
      </c>
      <c r="U76" s="101">
        <v>1</v>
      </c>
      <c r="V76" s="99">
        <v>0.1</v>
      </c>
      <c r="W76" s="33">
        <v>2.5625</v>
      </c>
      <c r="X76" s="33">
        <v>1</v>
      </c>
      <c r="Y76" s="70">
        <v>9.5</v>
      </c>
      <c r="Z76" s="99">
        <v>1.05</v>
      </c>
      <c r="AA76" s="100">
        <v>5.8125</v>
      </c>
      <c r="AB76" s="100">
        <v>4.125</v>
      </c>
      <c r="AC76" s="101">
        <v>9.75</v>
      </c>
      <c r="AD76" s="44">
        <v>7</v>
      </c>
      <c r="AE76" s="33">
        <v>14.375</v>
      </c>
      <c r="AF76" s="33">
        <v>12</v>
      </c>
      <c r="AG76" s="70">
        <v>10.5</v>
      </c>
      <c r="AH76" s="42">
        <f t="shared" si="43"/>
        <v>1.0481770833333333</v>
      </c>
      <c r="AI76" s="37" t="s">
        <v>2957</v>
      </c>
      <c r="AJ76" s="37" t="s">
        <v>2959</v>
      </c>
      <c r="AK76" s="37" t="s">
        <v>1849</v>
      </c>
      <c r="AL76" s="37" t="s">
        <v>2960</v>
      </c>
      <c r="AM76" s="37" t="s">
        <v>2961</v>
      </c>
      <c r="AN76" s="37" t="s">
        <v>1635</v>
      </c>
      <c r="AO76" s="37" t="s">
        <v>2962</v>
      </c>
      <c r="AP76" s="37" t="s">
        <v>2963</v>
      </c>
      <c r="AQ76" s="37" t="s">
        <v>481</v>
      </c>
      <c r="AR76" s="18" t="s">
        <v>2909</v>
      </c>
      <c r="AS76" s="94" t="s">
        <v>2908</v>
      </c>
    </row>
    <row r="77" spans="1:45" s="14" customFormat="1" x14ac:dyDescent="0.2">
      <c r="A77" s="14" t="s">
        <v>510</v>
      </c>
      <c r="B77" s="37"/>
      <c r="C77" s="33" t="s">
        <v>1867</v>
      </c>
      <c r="D77" s="33" t="s">
        <v>3798</v>
      </c>
      <c r="E77" s="16" t="s">
        <v>2413</v>
      </c>
      <c r="F77" s="15" t="s">
        <v>3797</v>
      </c>
      <c r="G77" s="18" t="s">
        <v>2547</v>
      </c>
      <c r="H77" s="109">
        <v>7331423010066</v>
      </c>
      <c r="I77" s="109">
        <v>7331423101665</v>
      </c>
      <c r="J77" s="109">
        <v>7331423202362</v>
      </c>
      <c r="K77" s="109">
        <v>17331423202444</v>
      </c>
      <c r="L77" s="36" t="s">
        <v>568</v>
      </c>
      <c r="M77" s="27" t="s">
        <v>977</v>
      </c>
      <c r="N77" s="514"/>
      <c r="O77" s="514">
        <f>IF($C77="","",VLOOKUP($C77,'2017 Pricelist'!$C:$I,7,FALSE))</f>
        <v>5.99</v>
      </c>
      <c r="P77" s="123">
        <v>12</v>
      </c>
      <c r="Q77" s="188">
        <v>72</v>
      </c>
      <c r="R77" s="99">
        <f>CONVERT(18,"g","lbm")</f>
        <v>3.9683207193277961E-2</v>
      </c>
      <c r="S77" s="33">
        <f t="shared" si="45"/>
        <v>6.6929133858267722</v>
      </c>
      <c r="T77" s="100">
        <v>1.5</v>
      </c>
      <c r="U77" s="101">
        <v>1</v>
      </c>
      <c r="V77" s="99">
        <v>0.1</v>
      </c>
      <c r="W77" s="33">
        <v>2.5625</v>
      </c>
      <c r="X77" s="33">
        <v>1</v>
      </c>
      <c r="Y77" s="70">
        <v>9.5</v>
      </c>
      <c r="Z77" s="99">
        <v>1.05</v>
      </c>
      <c r="AA77" s="100">
        <v>5.8125</v>
      </c>
      <c r="AB77" s="100">
        <v>4.125</v>
      </c>
      <c r="AC77" s="101">
        <v>9.75</v>
      </c>
      <c r="AD77" s="44">
        <v>7</v>
      </c>
      <c r="AE77" s="33">
        <v>14.375</v>
      </c>
      <c r="AF77" s="33">
        <v>12</v>
      </c>
      <c r="AG77" s="70">
        <v>10.5</v>
      </c>
      <c r="AH77" s="42">
        <f t="shared" si="43"/>
        <v>1.0481770833333333</v>
      </c>
      <c r="AI77" s="37" t="s">
        <v>2957</v>
      </c>
      <c r="AJ77" s="37" t="s">
        <v>2959</v>
      </c>
      <c r="AK77" s="37" t="s">
        <v>1849</v>
      </c>
      <c r="AL77" s="37" t="s">
        <v>2960</v>
      </c>
      <c r="AM77" s="37" t="s">
        <v>2961</v>
      </c>
      <c r="AN77" s="37" t="s">
        <v>1635</v>
      </c>
      <c r="AO77" s="37" t="s">
        <v>2962</v>
      </c>
      <c r="AP77" s="37" t="s">
        <v>2963</v>
      </c>
      <c r="AQ77" s="37" t="s">
        <v>481</v>
      </c>
      <c r="AR77" s="18" t="s">
        <v>2909</v>
      </c>
      <c r="AS77" s="94" t="s">
        <v>2908</v>
      </c>
    </row>
    <row r="78" spans="1:45" s="18" customFormat="1" x14ac:dyDescent="0.2">
      <c r="A78" s="18" t="s">
        <v>510</v>
      </c>
      <c r="B78" s="125"/>
      <c r="C78" s="33" t="s">
        <v>344</v>
      </c>
      <c r="D78" s="33" t="s">
        <v>1054</v>
      </c>
      <c r="E78" s="34" t="s">
        <v>2414</v>
      </c>
      <c r="F78" s="18" t="s">
        <v>2791</v>
      </c>
      <c r="G78" s="33" t="s">
        <v>2520</v>
      </c>
      <c r="H78" s="77">
        <v>7331423006441</v>
      </c>
      <c r="I78" s="77">
        <v>7331423006441</v>
      </c>
      <c r="J78" s="77">
        <v>7331423006441</v>
      </c>
      <c r="K78" s="77" t="s">
        <v>259</v>
      </c>
      <c r="L78" s="36" t="s">
        <v>568</v>
      </c>
      <c r="M78" s="36" t="s">
        <v>977</v>
      </c>
      <c r="N78" s="514"/>
      <c r="O78" s="514">
        <f>IF($C78="","",VLOOKUP($C78,'2017 Pricelist'!$C:$I,7,FALSE))</f>
        <v>2.99</v>
      </c>
      <c r="P78" s="35">
        <v>25</v>
      </c>
      <c r="Q78" s="187">
        <v>500</v>
      </c>
      <c r="R78" s="99">
        <f>CONVERT(10,"g","lbm")</f>
        <v>2.2046226218487758E-2</v>
      </c>
      <c r="S78" s="33">
        <f t="shared" si="45"/>
        <v>6.6929133858267722</v>
      </c>
      <c r="T78" s="100">
        <v>1.5</v>
      </c>
      <c r="U78" s="101">
        <v>0.875</v>
      </c>
      <c r="V78" s="44">
        <f t="shared" ref="V78:V102" si="59">CONVERT(0.0098,"kg","lbm")</f>
        <v>2.1605301694118003E-2</v>
      </c>
      <c r="W78" s="33">
        <f t="shared" ref="W78:W102" si="60">CONVERT(37,"mm","in")</f>
        <v>1.4566929133858268</v>
      </c>
      <c r="X78" s="33">
        <f t="shared" ref="X78:X102" si="61">CONVERT(15,"mm","in")</f>
        <v>0.59055118110236215</v>
      </c>
      <c r="Y78" s="70">
        <f t="shared" ref="Y78:Y102" si="62">CONVERT(170,"mm","in")</f>
        <v>6.6929133858267713</v>
      </c>
      <c r="Z78" s="44">
        <f t="shared" ref="Z78:Z102" si="63">CONVERT(0.2504,"kg","lbm")</f>
        <v>0.55203750451093347</v>
      </c>
      <c r="AA78" s="33">
        <f t="shared" ref="AA78:AA102" si="64">CONVERT(37,"mm","in")</f>
        <v>1.4566929133858268</v>
      </c>
      <c r="AB78" s="33">
        <f t="shared" ref="AB78:AB102" si="65">CONVERT(84,"mm","in")</f>
        <v>3.3070866141732287</v>
      </c>
      <c r="AC78" s="70">
        <f t="shared" ref="AC78:AC102" si="66">CONVERT(170,"mm","in")</f>
        <v>6.6929133858267713</v>
      </c>
      <c r="AD78" s="44">
        <f t="shared" ref="AD78:AD102" si="67">CONVERT(5.175,"kg","lbm")</f>
        <v>11.408922068067415</v>
      </c>
      <c r="AE78" s="33">
        <f t="shared" ref="AE78:AE102" si="68">CONVERT(305,"mm","in")</f>
        <v>12.007874015748031</v>
      </c>
      <c r="AF78" s="33">
        <f t="shared" ref="AF78:AF102" si="69">CONVERT(175,"mm","in")</f>
        <v>6.8897637795275584</v>
      </c>
      <c r="AG78" s="70">
        <f t="shared" ref="AG78:AG102" si="70">CONVERT(185,"mm","in")</f>
        <v>7.2834645669291342</v>
      </c>
      <c r="AH78" s="44">
        <f t="shared" si="43"/>
        <v>0.34871026220799889</v>
      </c>
      <c r="AI78" s="37" t="s">
        <v>2958</v>
      </c>
      <c r="AJ78" s="37" t="s">
        <v>2959</v>
      </c>
      <c r="AK78" s="37" t="s">
        <v>1849</v>
      </c>
      <c r="AL78" s="37" t="s">
        <v>2960</v>
      </c>
      <c r="AM78" s="37" t="s">
        <v>2961</v>
      </c>
      <c r="AN78" s="37" t="s">
        <v>1635</v>
      </c>
      <c r="AO78" s="37" t="s">
        <v>2962</v>
      </c>
      <c r="AP78" s="37" t="s">
        <v>2963</v>
      </c>
      <c r="AQ78" s="37" t="s">
        <v>481</v>
      </c>
      <c r="AR78" s="18" t="s">
        <v>2909</v>
      </c>
      <c r="AS78" s="94" t="s">
        <v>2908</v>
      </c>
    </row>
    <row r="79" spans="1:45" s="14" customFormat="1" x14ac:dyDescent="0.2">
      <c r="A79" s="14" t="s">
        <v>510</v>
      </c>
      <c r="B79" s="127"/>
      <c r="C79" s="33" t="s">
        <v>344</v>
      </c>
      <c r="D79" s="33" t="s">
        <v>2662</v>
      </c>
      <c r="E79" s="16" t="s">
        <v>2414</v>
      </c>
      <c r="F79" s="15" t="s">
        <v>2814</v>
      </c>
      <c r="G79" s="15" t="s">
        <v>2520</v>
      </c>
      <c r="H79" s="77">
        <v>7331423006281</v>
      </c>
      <c r="I79" s="77">
        <v>7331423006281</v>
      </c>
      <c r="J79" s="77">
        <v>7331423006281</v>
      </c>
      <c r="K79" s="77" t="s">
        <v>259</v>
      </c>
      <c r="L79" s="27" t="s">
        <v>568</v>
      </c>
      <c r="M79" s="27" t="s">
        <v>977</v>
      </c>
      <c r="N79" s="514"/>
      <c r="O79" s="514">
        <f>IF($C79="","",VLOOKUP($C79,'2017 Pricelist'!$C:$I,7,FALSE))</f>
        <v>2.99</v>
      </c>
      <c r="P79" s="35">
        <v>25</v>
      </c>
      <c r="Q79" s="187">
        <v>500</v>
      </c>
      <c r="R79" s="99">
        <f t="shared" ref="R79:R99" si="71">CONVERT(9,"g","lbm")</f>
        <v>1.9841603596638981E-2</v>
      </c>
      <c r="S79" s="33">
        <f t="shared" si="45"/>
        <v>6.6929133858267722</v>
      </c>
      <c r="T79" s="100">
        <v>1.5</v>
      </c>
      <c r="U79" s="101">
        <v>0.875</v>
      </c>
      <c r="V79" s="44">
        <f t="shared" si="59"/>
        <v>2.1605301694118003E-2</v>
      </c>
      <c r="W79" s="33">
        <f t="shared" si="60"/>
        <v>1.4566929133858268</v>
      </c>
      <c r="X79" s="33">
        <f t="shared" si="61"/>
        <v>0.59055118110236215</v>
      </c>
      <c r="Y79" s="70">
        <f t="shared" si="62"/>
        <v>6.6929133858267713</v>
      </c>
      <c r="Z79" s="44">
        <f t="shared" si="63"/>
        <v>0.55203750451093347</v>
      </c>
      <c r="AA79" s="33">
        <f t="shared" si="64"/>
        <v>1.4566929133858268</v>
      </c>
      <c r="AB79" s="33">
        <f t="shared" si="65"/>
        <v>3.3070866141732287</v>
      </c>
      <c r="AC79" s="70">
        <f t="shared" si="66"/>
        <v>6.6929133858267713</v>
      </c>
      <c r="AD79" s="44">
        <f t="shared" si="67"/>
        <v>11.408922068067415</v>
      </c>
      <c r="AE79" s="33">
        <f t="shared" si="68"/>
        <v>12.007874015748031</v>
      </c>
      <c r="AF79" s="33">
        <f t="shared" si="69"/>
        <v>6.8897637795275584</v>
      </c>
      <c r="AG79" s="70">
        <f t="shared" si="70"/>
        <v>7.2834645669291342</v>
      </c>
      <c r="AH79" s="42">
        <f t="shared" si="43"/>
        <v>0.34871026220799889</v>
      </c>
      <c r="AI79" s="37" t="s">
        <v>2958</v>
      </c>
      <c r="AJ79" s="37" t="s">
        <v>2959</v>
      </c>
      <c r="AK79" s="37" t="s">
        <v>1849</v>
      </c>
      <c r="AL79" s="37" t="s">
        <v>2960</v>
      </c>
      <c r="AM79" s="37" t="s">
        <v>2961</v>
      </c>
      <c r="AN79" s="37" t="s">
        <v>1635</v>
      </c>
      <c r="AO79" s="37" t="s">
        <v>2962</v>
      </c>
      <c r="AP79" s="37" t="s">
        <v>2963</v>
      </c>
      <c r="AQ79" s="37" t="s">
        <v>481</v>
      </c>
      <c r="AR79" s="18" t="s">
        <v>2909</v>
      </c>
      <c r="AS79" s="94" t="s">
        <v>2908</v>
      </c>
    </row>
    <row r="80" spans="1:45" s="14" customFormat="1" x14ac:dyDescent="0.2">
      <c r="A80" s="14" t="s">
        <v>510</v>
      </c>
      <c r="B80" s="127"/>
      <c r="C80" s="33" t="s">
        <v>344</v>
      </c>
      <c r="D80" s="33" t="s">
        <v>1741</v>
      </c>
      <c r="E80" s="16" t="s">
        <v>2414</v>
      </c>
      <c r="F80" s="18" t="s">
        <v>2804</v>
      </c>
      <c r="G80" s="15" t="s">
        <v>2520</v>
      </c>
      <c r="H80" s="109">
        <v>7331423008346</v>
      </c>
      <c r="I80" s="109">
        <v>7331423101283</v>
      </c>
      <c r="J80" s="109">
        <v>7331423201518</v>
      </c>
      <c r="K80" s="109">
        <v>17331423201515</v>
      </c>
      <c r="L80" s="27" t="s">
        <v>568</v>
      </c>
      <c r="M80" s="27" t="s">
        <v>977</v>
      </c>
      <c r="N80" s="514"/>
      <c r="O80" s="514">
        <f>IF($C80="","",VLOOKUP($C80,'2017 Pricelist'!$C:$I,7,FALSE))</f>
        <v>2.99</v>
      </c>
      <c r="P80" s="35">
        <v>25</v>
      </c>
      <c r="Q80" s="187">
        <v>500</v>
      </c>
      <c r="R80" s="99">
        <f t="shared" si="71"/>
        <v>1.9841603596638981E-2</v>
      </c>
      <c r="S80" s="33">
        <f t="shared" si="45"/>
        <v>6.6929133858267722</v>
      </c>
      <c r="T80" s="100">
        <v>1.5</v>
      </c>
      <c r="U80" s="101">
        <v>0.875</v>
      </c>
      <c r="V80" s="44">
        <f t="shared" si="59"/>
        <v>2.1605301694118003E-2</v>
      </c>
      <c r="W80" s="33">
        <f t="shared" si="60"/>
        <v>1.4566929133858268</v>
      </c>
      <c r="X80" s="33">
        <f t="shared" si="61"/>
        <v>0.59055118110236215</v>
      </c>
      <c r="Y80" s="70">
        <f t="shared" si="62"/>
        <v>6.6929133858267713</v>
      </c>
      <c r="Z80" s="44">
        <f t="shared" si="63"/>
        <v>0.55203750451093347</v>
      </c>
      <c r="AA80" s="33">
        <f t="shared" si="64"/>
        <v>1.4566929133858268</v>
      </c>
      <c r="AB80" s="33">
        <f t="shared" si="65"/>
        <v>3.3070866141732287</v>
      </c>
      <c r="AC80" s="70">
        <f t="shared" si="66"/>
        <v>6.6929133858267713</v>
      </c>
      <c r="AD80" s="44">
        <f t="shared" si="67"/>
        <v>11.408922068067415</v>
      </c>
      <c r="AE80" s="33">
        <f t="shared" si="68"/>
        <v>12.007874015748031</v>
      </c>
      <c r="AF80" s="33">
        <f t="shared" si="69"/>
        <v>6.8897637795275584</v>
      </c>
      <c r="AG80" s="70">
        <f t="shared" si="70"/>
        <v>7.2834645669291342</v>
      </c>
      <c r="AH80" s="42">
        <f t="shared" si="43"/>
        <v>0.34871026220799889</v>
      </c>
      <c r="AI80" s="37" t="s">
        <v>2958</v>
      </c>
      <c r="AJ80" s="37" t="s">
        <v>2959</v>
      </c>
      <c r="AK80" s="37" t="s">
        <v>1849</v>
      </c>
      <c r="AL80" s="37" t="s">
        <v>2960</v>
      </c>
      <c r="AM80" s="37" t="s">
        <v>2961</v>
      </c>
      <c r="AN80" s="37" t="s">
        <v>1635</v>
      </c>
      <c r="AO80" s="37" t="s">
        <v>2962</v>
      </c>
      <c r="AP80" s="37" t="s">
        <v>2963</v>
      </c>
      <c r="AQ80" s="37" t="s">
        <v>481</v>
      </c>
      <c r="AR80" s="18" t="s">
        <v>2909</v>
      </c>
      <c r="AS80" s="94" t="s">
        <v>2908</v>
      </c>
    </row>
    <row r="81" spans="1:45" s="14" customFormat="1" x14ac:dyDescent="0.2">
      <c r="A81" s="14" t="s">
        <v>510</v>
      </c>
      <c r="B81" s="127"/>
      <c r="C81" s="33" t="s">
        <v>344</v>
      </c>
      <c r="D81" s="33" t="s">
        <v>383</v>
      </c>
      <c r="E81" s="16" t="s">
        <v>2414</v>
      </c>
      <c r="F81" s="15" t="s">
        <v>484</v>
      </c>
      <c r="G81" s="15" t="s">
        <v>2520</v>
      </c>
      <c r="H81" s="77">
        <v>7331423002368</v>
      </c>
      <c r="I81" s="77">
        <v>7331423101153</v>
      </c>
      <c r="J81" s="77">
        <v>7331423201389</v>
      </c>
      <c r="K81" s="77">
        <v>17331423201386</v>
      </c>
      <c r="L81" s="27" t="s">
        <v>568</v>
      </c>
      <c r="M81" s="27" t="s">
        <v>977</v>
      </c>
      <c r="N81" s="514"/>
      <c r="O81" s="514">
        <f>IF($C81="","",VLOOKUP($C81,'2017 Pricelist'!$C:$I,7,FALSE))</f>
        <v>2.99</v>
      </c>
      <c r="P81" s="35">
        <v>25</v>
      </c>
      <c r="Q81" s="187">
        <v>500</v>
      </c>
      <c r="R81" s="99">
        <f t="shared" si="71"/>
        <v>1.9841603596638981E-2</v>
      </c>
      <c r="S81" s="33">
        <f t="shared" si="45"/>
        <v>6.6929133858267722</v>
      </c>
      <c r="T81" s="100">
        <v>1.5</v>
      </c>
      <c r="U81" s="101">
        <v>0.875</v>
      </c>
      <c r="V81" s="44">
        <f t="shared" si="59"/>
        <v>2.1605301694118003E-2</v>
      </c>
      <c r="W81" s="33">
        <f t="shared" si="60"/>
        <v>1.4566929133858268</v>
      </c>
      <c r="X81" s="33">
        <f t="shared" si="61"/>
        <v>0.59055118110236215</v>
      </c>
      <c r="Y81" s="70">
        <f t="shared" si="62"/>
        <v>6.6929133858267713</v>
      </c>
      <c r="Z81" s="44">
        <f t="shared" si="63"/>
        <v>0.55203750451093347</v>
      </c>
      <c r="AA81" s="33">
        <f t="shared" si="64"/>
        <v>1.4566929133858268</v>
      </c>
      <c r="AB81" s="33">
        <f t="shared" si="65"/>
        <v>3.3070866141732287</v>
      </c>
      <c r="AC81" s="70">
        <f t="shared" si="66"/>
        <v>6.6929133858267713</v>
      </c>
      <c r="AD81" s="44">
        <f t="shared" si="67"/>
        <v>11.408922068067415</v>
      </c>
      <c r="AE81" s="33">
        <f t="shared" si="68"/>
        <v>12.007874015748031</v>
      </c>
      <c r="AF81" s="33">
        <f t="shared" si="69"/>
        <v>6.8897637795275584</v>
      </c>
      <c r="AG81" s="70">
        <f t="shared" si="70"/>
        <v>7.2834645669291342</v>
      </c>
      <c r="AH81" s="42">
        <f t="shared" si="43"/>
        <v>0.34871026220799889</v>
      </c>
      <c r="AI81" s="37" t="s">
        <v>2958</v>
      </c>
      <c r="AJ81" s="37" t="s">
        <v>2959</v>
      </c>
      <c r="AK81" s="37" t="s">
        <v>1849</v>
      </c>
      <c r="AL81" s="37" t="s">
        <v>2960</v>
      </c>
      <c r="AM81" s="37" t="s">
        <v>2961</v>
      </c>
      <c r="AN81" s="37" t="s">
        <v>1635</v>
      </c>
      <c r="AO81" s="37" t="s">
        <v>2962</v>
      </c>
      <c r="AP81" s="37" t="s">
        <v>2963</v>
      </c>
      <c r="AQ81" s="37" t="s">
        <v>481</v>
      </c>
      <c r="AR81" s="18" t="s">
        <v>2909</v>
      </c>
      <c r="AS81" s="94" t="s">
        <v>2908</v>
      </c>
    </row>
    <row r="82" spans="1:45" s="14" customFormat="1" x14ac:dyDescent="0.2">
      <c r="A82" s="14" t="s">
        <v>510</v>
      </c>
      <c r="B82" s="127"/>
      <c r="C82" s="33" t="s">
        <v>344</v>
      </c>
      <c r="D82" s="33" t="s">
        <v>343</v>
      </c>
      <c r="E82" s="16" t="s">
        <v>2414</v>
      </c>
      <c r="F82" s="15" t="s">
        <v>485</v>
      </c>
      <c r="G82" s="15" t="s">
        <v>2520</v>
      </c>
      <c r="H82" s="77">
        <v>7331423002337</v>
      </c>
      <c r="I82" s="77">
        <v>7331423101160</v>
      </c>
      <c r="J82" s="77">
        <v>7331423201396</v>
      </c>
      <c r="K82" s="77">
        <v>17331423201393</v>
      </c>
      <c r="L82" s="27" t="s">
        <v>568</v>
      </c>
      <c r="M82" s="27" t="s">
        <v>977</v>
      </c>
      <c r="N82" s="514"/>
      <c r="O82" s="514">
        <f>IF($C82="","",VLOOKUP($C82,'2017 Pricelist'!$C:$I,7,FALSE))</f>
        <v>2.99</v>
      </c>
      <c r="P82" s="35">
        <v>25</v>
      </c>
      <c r="Q82" s="187">
        <v>500</v>
      </c>
      <c r="R82" s="99">
        <f t="shared" si="71"/>
        <v>1.9841603596638981E-2</v>
      </c>
      <c r="S82" s="33">
        <f t="shared" si="45"/>
        <v>6.6929133858267722</v>
      </c>
      <c r="T82" s="100">
        <v>1.5</v>
      </c>
      <c r="U82" s="101">
        <v>0.875</v>
      </c>
      <c r="V82" s="44">
        <f t="shared" si="59"/>
        <v>2.1605301694118003E-2</v>
      </c>
      <c r="W82" s="33">
        <f t="shared" si="60"/>
        <v>1.4566929133858268</v>
      </c>
      <c r="X82" s="33">
        <f t="shared" si="61"/>
        <v>0.59055118110236215</v>
      </c>
      <c r="Y82" s="70">
        <f t="shared" si="62"/>
        <v>6.6929133858267713</v>
      </c>
      <c r="Z82" s="44">
        <f t="shared" si="63"/>
        <v>0.55203750451093347</v>
      </c>
      <c r="AA82" s="33">
        <f t="shared" si="64"/>
        <v>1.4566929133858268</v>
      </c>
      <c r="AB82" s="33">
        <f t="shared" si="65"/>
        <v>3.3070866141732287</v>
      </c>
      <c r="AC82" s="70">
        <f t="shared" si="66"/>
        <v>6.6929133858267713</v>
      </c>
      <c r="AD82" s="44">
        <f t="shared" si="67"/>
        <v>11.408922068067415</v>
      </c>
      <c r="AE82" s="33">
        <f t="shared" si="68"/>
        <v>12.007874015748031</v>
      </c>
      <c r="AF82" s="33">
        <f t="shared" si="69"/>
        <v>6.8897637795275584</v>
      </c>
      <c r="AG82" s="70">
        <f t="shared" si="70"/>
        <v>7.2834645669291342</v>
      </c>
      <c r="AH82" s="42">
        <f t="shared" si="43"/>
        <v>0.34871026220799889</v>
      </c>
      <c r="AI82" s="37" t="s">
        <v>2958</v>
      </c>
      <c r="AJ82" s="37" t="s">
        <v>2959</v>
      </c>
      <c r="AK82" s="37" t="s">
        <v>1849</v>
      </c>
      <c r="AL82" s="37" t="s">
        <v>2960</v>
      </c>
      <c r="AM82" s="37" t="s">
        <v>2961</v>
      </c>
      <c r="AN82" s="37" t="s">
        <v>1635</v>
      </c>
      <c r="AO82" s="37" t="s">
        <v>2962</v>
      </c>
      <c r="AP82" s="37" t="s">
        <v>2963</v>
      </c>
      <c r="AQ82" s="37" t="s">
        <v>481</v>
      </c>
      <c r="AR82" s="18" t="s">
        <v>2909</v>
      </c>
      <c r="AS82" s="94" t="s">
        <v>2908</v>
      </c>
    </row>
    <row r="83" spans="1:45" s="14" customFormat="1" x14ac:dyDescent="0.2">
      <c r="A83" s="14" t="s">
        <v>510</v>
      </c>
      <c r="B83" s="127"/>
      <c r="C83" s="33" t="s">
        <v>344</v>
      </c>
      <c r="D83" s="33" t="s">
        <v>371</v>
      </c>
      <c r="E83" s="16" t="s">
        <v>2414</v>
      </c>
      <c r="F83" s="15" t="s">
        <v>218</v>
      </c>
      <c r="G83" s="15" t="s">
        <v>2520</v>
      </c>
      <c r="H83" s="77">
        <v>7331423002320</v>
      </c>
      <c r="I83" s="77">
        <v>7331423101221</v>
      </c>
      <c r="J83" s="77">
        <v>7331423201457</v>
      </c>
      <c r="K83" s="77">
        <v>17331423201454</v>
      </c>
      <c r="L83" s="36" t="s">
        <v>568</v>
      </c>
      <c r="M83" s="27" t="s">
        <v>977</v>
      </c>
      <c r="N83" s="514"/>
      <c r="O83" s="514">
        <f>IF($C83="","",VLOOKUP($C83,'2017 Pricelist'!$C:$I,7,FALSE))</f>
        <v>2.99</v>
      </c>
      <c r="P83" s="35">
        <v>25</v>
      </c>
      <c r="Q83" s="187">
        <v>500</v>
      </c>
      <c r="R83" s="99">
        <f t="shared" si="71"/>
        <v>1.9841603596638981E-2</v>
      </c>
      <c r="S83" s="33">
        <f t="shared" si="45"/>
        <v>6.6929133858267722</v>
      </c>
      <c r="T83" s="100">
        <v>1.5</v>
      </c>
      <c r="U83" s="101">
        <v>0.875</v>
      </c>
      <c r="V83" s="44">
        <f t="shared" si="59"/>
        <v>2.1605301694118003E-2</v>
      </c>
      <c r="W83" s="33">
        <f t="shared" si="60"/>
        <v>1.4566929133858268</v>
      </c>
      <c r="X83" s="33">
        <f t="shared" si="61"/>
        <v>0.59055118110236215</v>
      </c>
      <c r="Y83" s="70">
        <f t="shared" si="62"/>
        <v>6.6929133858267713</v>
      </c>
      <c r="Z83" s="44">
        <f t="shared" si="63"/>
        <v>0.55203750451093347</v>
      </c>
      <c r="AA83" s="33">
        <f t="shared" si="64"/>
        <v>1.4566929133858268</v>
      </c>
      <c r="AB83" s="33">
        <f t="shared" si="65"/>
        <v>3.3070866141732287</v>
      </c>
      <c r="AC83" s="70">
        <f t="shared" si="66"/>
        <v>6.6929133858267713</v>
      </c>
      <c r="AD83" s="44">
        <f t="shared" si="67"/>
        <v>11.408922068067415</v>
      </c>
      <c r="AE83" s="33">
        <f t="shared" si="68"/>
        <v>12.007874015748031</v>
      </c>
      <c r="AF83" s="33">
        <f t="shared" si="69"/>
        <v>6.8897637795275584</v>
      </c>
      <c r="AG83" s="70">
        <f t="shared" si="70"/>
        <v>7.2834645669291342</v>
      </c>
      <c r="AH83" s="42">
        <f t="shared" si="43"/>
        <v>0.34871026220799889</v>
      </c>
      <c r="AI83" s="37" t="s">
        <v>2958</v>
      </c>
      <c r="AJ83" s="37" t="s">
        <v>2959</v>
      </c>
      <c r="AK83" s="37" t="s">
        <v>1849</v>
      </c>
      <c r="AL83" s="37" t="s">
        <v>2960</v>
      </c>
      <c r="AM83" s="37" t="s">
        <v>2961</v>
      </c>
      <c r="AN83" s="37" t="s">
        <v>1635</v>
      </c>
      <c r="AO83" s="37" t="s">
        <v>2962</v>
      </c>
      <c r="AP83" s="37" t="s">
        <v>2963</v>
      </c>
      <c r="AQ83" s="37" t="s">
        <v>481</v>
      </c>
      <c r="AR83" s="18" t="s">
        <v>2909</v>
      </c>
      <c r="AS83" s="94" t="s">
        <v>2908</v>
      </c>
    </row>
    <row r="84" spans="1:45" s="14" customFormat="1" x14ac:dyDescent="0.2">
      <c r="A84" s="14" t="s">
        <v>510</v>
      </c>
      <c r="B84" s="127"/>
      <c r="C84" s="33" t="s">
        <v>344</v>
      </c>
      <c r="D84" s="33" t="s">
        <v>286</v>
      </c>
      <c r="E84" s="16" t="s">
        <v>2414</v>
      </c>
      <c r="F84" s="15" t="s">
        <v>648</v>
      </c>
      <c r="G84" s="15" t="s">
        <v>2520</v>
      </c>
      <c r="H84" s="77">
        <v>7331423003822</v>
      </c>
      <c r="I84" s="77">
        <v>7331423101269</v>
      </c>
      <c r="J84" s="77">
        <v>7331423201495</v>
      </c>
      <c r="K84" s="77">
        <v>17331423201492</v>
      </c>
      <c r="L84" s="36" t="s">
        <v>568</v>
      </c>
      <c r="M84" s="27" t="s">
        <v>977</v>
      </c>
      <c r="N84" s="514"/>
      <c r="O84" s="514">
        <f>IF($C84="","",VLOOKUP($C84,'2017 Pricelist'!$C:$I,7,FALSE))</f>
        <v>2.99</v>
      </c>
      <c r="P84" s="35">
        <v>25</v>
      </c>
      <c r="Q84" s="187">
        <v>500</v>
      </c>
      <c r="R84" s="99">
        <f t="shared" si="71"/>
        <v>1.9841603596638981E-2</v>
      </c>
      <c r="S84" s="33">
        <f t="shared" si="45"/>
        <v>6.6929133858267722</v>
      </c>
      <c r="T84" s="100">
        <v>1.5</v>
      </c>
      <c r="U84" s="101">
        <v>0.875</v>
      </c>
      <c r="V84" s="44">
        <f t="shared" si="59"/>
        <v>2.1605301694118003E-2</v>
      </c>
      <c r="W84" s="33">
        <f t="shared" si="60"/>
        <v>1.4566929133858268</v>
      </c>
      <c r="X84" s="33">
        <f t="shared" si="61"/>
        <v>0.59055118110236215</v>
      </c>
      <c r="Y84" s="70">
        <f t="shared" si="62"/>
        <v>6.6929133858267713</v>
      </c>
      <c r="Z84" s="44">
        <f t="shared" si="63"/>
        <v>0.55203750451093347</v>
      </c>
      <c r="AA84" s="33">
        <f t="shared" si="64"/>
        <v>1.4566929133858268</v>
      </c>
      <c r="AB84" s="33">
        <f t="shared" si="65"/>
        <v>3.3070866141732287</v>
      </c>
      <c r="AC84" s="70">
        <f t="shared" si="66"/>
        <v>6.6929133858267713</v>
      </c>
      <c r="AD84" s="44">
        <f t="shared" si="67"/>
        <v>11.408922068067415</v>
      </c>
      <c r="AE84" s="33">
        <f t="shared" si="68"/>
        <v>12.007874015748031</v>
      </c>
      <c r="AF84" s="33">
        <f t="shared" si="69"/>
        <v>6.8897637795275584</v>
      </c>
      <c r="AG84" s="70">
        <f t="shared" si="70"/>
        <v>7.2834645669291342</v>
      </c>
      <c r="AH84" s="42">
        <f t="shared" si="43"/>
        <v>0.34871026220799889</v>
      </c>
      <c r="AI84" s="37" t="s">
        <v>2958</v>
      </c>
      <c r="AJ84" s="37" t="s">
        <v>2959</v>
      </c>
      <c r="AK84" s="37" t="s">
        <v>1849</v>
      </c>
      <c r="AL84" s="37" t="s">
        <v>2960</v>
      </c>
      <c r="AM84" s="37" t="s">
        <v>2961</v>
      </c>
      <c r="AN84" s="37" t="s">
        <v>1635</v>
      </c>
      <c r="AO84" s="37" t="s">
        <v>2962</v>
      </c>
      <c r="AP84" s="37" t="s">
        <v>2963</v>
      </c>
      <c r="AQ84" s="37" t="s">
        <v>481</v>
      </c>
      <c r="AR84" s="18" t="s">
        <v>2909</v>
      </c>
      <c r="AS84" s="94" t="s">
        <v>2908</v>
      </c>
    </row>
    <row r="85" spans="1:45" s="14" customFormat="1" x14ac:dyDescent="0.2">
      <c r="A85" s="14" t="s">
        <v>510</v>
      </c>
      <c r="B85" s="127"/>
      <c r="C85" s="33" t="s">
        <v>344</v>
      </c>
      <c r="D85" s="33" t="s">
        <v>374</v>
      </c>
      <c r="E85" s="16" t="s">
        <v>2414</v>
      </c>
      <c r="F85" s="15" t="s">
        <v>219</v>
      </c>
      <c r="G85" s="15" t="s">
        <v>2520</v>
      </c>
      <c r="H85" s="77">
        <v>7331423002382</v>
      </c>
      <c r="I85" s="77">
        <v>7331423101252</v>
      </c>
      <c r="J85" s="77">
        <v>7331423201488</v>
      </c>
      <c r="K85" s="77">
        <v>17331423201485</v>
      </c>
      <c r="L85" s="36" t="s">
        <v>568</v>
      </c>
      <c r="M85" s="27" t="s">
        <v>977</v>
      </c>
      <c r="N85" s="514"/>
      <c r="O85" s="514">
        <f>IF($C85="","",VLOOKUP($C85,'2017 Pricelist'!$C:$I,7,FALSE))</f>
        <v>2.99</v>
      </c>
      <c r="P85" s="35">
        <v>25</v>
      </c>
      <c r="Q85" s="187">
        <v>500</v>
      </c>
      <c r="R85" s="99">
        <f t="shared" si="71"/>
        <v>1.9841603596638981E-2</v>
      </c>
      <c r="S85" s="33">
        <f t="shared" si="45"/>
        <v>6.6929133858267722</v>
      </c>
      <c r="T85" s="100">
        <v>1.5</v>
      </c>
      <c r="U85" s="101">
        <v>0.875</v>
      </c>
      <c r="V85" s="44">
        <f t="shared" si="59"/>
        <v>2.1605301694118003E-2</v>
      </c>
      <c r="W85" s="33">
        <f t="shared" si="60"/>
        <v>1.4566929133858268</v>
      </c>
      <c r="X85" s="33">
        <f t="shared" si="61"/>
        <v>0.59055118110236215</v>
      </c>
      <c r="Y85" s="70">
        <f t="shared" si="62"/>
        <v>6.6929133858267713</v>
      </c>
      <c r="Z85" s="44">
        <f t="shared" si="63"/>
        <v>0.55203750451093347</v>
      </c>
      <c r="AA85" s="33">
        <f t="shared" si="64"/>
        <v>1.4566929133858268</v>
      </c>
      <c r="AB85" s="33">
        <f t="shared" si="65"/>
        <v>3.3070866141732287</v>
      </c>
      <c r="AC85" s="70">
        <f t="shared" si="66"/>
        <v>6.6929133858267713</v>
      </c>
      <c r="AD85" s="44">
        <f t="shared" si="67"/>
        <v>11.408922068067415</v>
      </c>
      <c r="AE85" s="33">
        <f t="shared" si="68"/>
        <v>12.007874015748031</v>
      </c>
      <c r="AF85" s="33">
        <f t="shared" si="69"/>
        <v>6.8897637795275584</v>
      </c>
      <c r="AG85" s="70">
        <f t="shared" si="70"/>
        <v>7.2834645669291342</v>
      </c>
      <c r="AH85" s="42">
        <f t="shared" si="43"/>
        <v>0.34871026220799889</v>
      </c>
      <c r="AI85" s="37" t="s">
        <v>2958</v>
      </c>
      <c r="AJ85" s="37" t="s">
        <v>2959</v>
      </c>
      <c r="AK85" s="37" t="s">
        <v>1849</v>
      </c>
      <c r="AL85" s="37" t="s">
        <v>2960</v>
      </c>
      <c r="AM85" s="37" t="s">
        <v>2961</v>
      </c>
      <c r="AN85" s="37" t="s">
        <v>1635</v>
      </c>
      <c r="AO85" s="37" t="s">
        <v>2962</v>
      </c>
      <c r="AP85" s="37" t="s">
        <v>2963</v>
      </c>
      <c r="AQ85" s="37" t="s">
        <v>481</v>
      </c>
      <c r="AR85" s="18" t="s">
        <v>2909</v>
      </c>
      <c r="AS85" s="94" t="s">
        <v>2908</v>
      </c>
    </row>
    <row r="86" spans="1:45" s="14" customFormat="1" x14ac:dyDescent="0.2">
      <c r="A86" s="14" t="s">
        <v>510</v>
      </c>
      <c r="B86" s="127"/>
      <c r="C86" s="33" t="s">
        <v>344</v>
      </c>
      <c r="D86" s="33" t="s">
        <v>373</v>
      </c>
      <c r="E86" s="16" t="s">
        <v>2414</v>
      </c>
      <c r="F86" s="15" t="s">
        <v>220</v>
      </c>
      <c r="G86" s="15" t="s">
        <v>2520</v>
      </c>
      <c r="H86" s="77">
        <v>7331423002375</v>
      </c>
      <c r="I86" s="77">
        <v>7331423101245</v>
      </c>
      <c r="J86" s="77">
        <v>7331423201471</v>
      </c>
      <c r="K86" s="77">
        <v>17331423201478</v>
      </c>
      <c r="L86" s="36" t="s">
        <v>568</v>
      </c>
      <c r="M86" s="27" t="s">
        <v>977</v>
      </c>
      <c r="N86" s="514"/>
      <c r="O86" s="514">
        <f>IF($C86="","",VLOOKUP($C86,'2017 Pricelist'!$C:$I,7,FALSE))</f>
        <v>2.99</v>
      </c>
      <c r="P86" s="35">
        <v>25</v>
      </c>
      <c r="Q86" s="187">
        <v>500</v>
      </c>
      <c r="R86" s="99">
        <f t="shared" si="71"/>
        <v>1.9841603596638981E-2</v>
      </c>
      <c r="S86" s="33">
        <f t="shared" si="45"/>
        <v>6.6929133858267722</v>
      </c>
      <c r="T86" s="100">
        <v>1.5</v>
      </c>
      <c r="U86" s="101">
        <v>0.875</v>
      </c>
      <c r="V86" s="44">
        <f t="shared" si="59"/>
        <v>2.1605301694118003E-2</v>
      </c>
      <c r="W86" s="33">
        <f t="shared" si="60"/>
        <v>1.4566929133858268</v>
      </c>
      <c r="X86" s="33">
        <f t="shared" si="61"/>
        <v>0.59055118110236215</v>
      </c>
      <c r="Y86" s="70">
        <f t="shared" si="62"/>
        <v>6.6929133858267713</v>
      </c>
      <c r="Z86" s="44">
        <f t="shared" si="63"/>
        <v>0.55203750451093347</v>
      </c>
      <c r="AA86" s="33">
        <f t="shared" si="64"/>
        <v>1.4566929133858268</v>
      </c>
      <c r="AB86" s="33">
        <f t="shared" si="65"/>
        <v>3.3070866141732287</v>
      </c>
      <c r="AC86" s="70">
        <f t="shared" si="66"/>
        <v>6.6929133858267713</v>
      </c>
      <c r="AD86" s="44">
        <f t="shared" si="67"/>
        <v>11.408922068067415</v>
      </c>
      <c r="AE86" s="33">
        <f t="shared" si="68"/>
        <v>12.007874015748031</v>
      </c>
      <c r="AF86" s="33">
        <f t="shared" si="69"/>
        <v>6.8897637795275584</v>
      </c>
      <c r="AG86" s="70">
        <f t="shared" si="70"/>
        <v>7.2834645669291342</v>
      </c>
      <c r="AH86" s="42">
        <f t="shared" si="43"/>
        <v>0.34871026220799889</v>
      </c>
      <c r="AI86" s="37" t="s">
        <v>2958</v>
      </c>
      <c r="AJ86" s="37" t="s">
        <v>2959</v>
      </c>
      <c r="AK86" s="37" t="s">
        <v>1849</v>
      </c>
      <c r="AL86" s="37" t="s">
        <v>2960</v>
      </c>
      <c r="AM86" s="37" t="s">
        <v>2961</v>
      </c>
      <c r="AN86" s="37" t="s">
        <v>1635</v>
      </c>
      <c r="AO86" s="37" t="s">
        <v>2962</v>
      </c>
      <c r="AP86" s="37" t="s">
        <v>2963</v>
      </c>
      <c r="AQ86" s="37" t="s">
        <v>481</v>
      </c>
      <c r="AR86" s="18" t="s">
        <v>2909</v>
      </c>
      <c r="AS86" s="94" t="s">
        <v>2908</v>
      </c>
    </row>
    <row r="87" spans="1:45" s="14" customFormat="1" x14ac:dyDescent="0.2">
      <c r="A87" s="14" t="s">
        <v>510</v>
      </c>
      <c r="B87" s="127"/>
      <c r="C87" s="33" t="s">
        <v>344</v>
      </c>
      <c r="D87" s="33" t="s">
        <v>369</v>
      </c>
      <c r="E87" s="16" t="s">
        <v>2414</v>
      </c>
      <c r="F87" s="15" t="s">
        <v>222</v>
      </c>
      <c r="G87" s="15" t="s">
        <v>2520</v>
      </c>
      <c r="H87" s="77">
        <v>7331423002290</v>
      </c>
      <c r="I87" s="77">
        <v>7331423101207</v>
      </c>
      <c r="J87" s="77">
        <v>7331423201433</v>
      </c>
      <c r="K87" s="77">
        <v>17331423201430</v>
      </c>
      <c r="L87" s="27" t="s">
        <v>568</v>
      </c>
      <c r="M87" s="27" t="s">
        <v>977</v>
      </c>
      <c r="N87" s="514"/>
      <c r="O87" s="514">
        <f>IF($C87="","",VLOOKUP($C87,'2017 Pricelist'!$C:$I,7,FALSE))</f>
        <v>2.99</v>
      </c>
      <c r="P87" s="35">
        <v>25</v>
      </c>
      <c r="Q87" s="187">
        <v>500</v>
      </c>
      <c r="R87" s="99">
        <f t="shared" si="71"/>
        <v>1.9841603596638981E-2</v>
      </c>
      <c r="S87" s="33">
        <f t="shared" si="45"/>
        <v>6.6929133858267722</v>
      </c>
      <c r="T87" s="100">
        <v>1.5</v>
      </c>
      <c r="U87" s="101">
        <v>0.875</v>
      </c>
      <c r="V87" s="44">
        <f t="shared" si="59"/>
        <v>2.1605301694118003E-2</v>
      </c>
      <c r="W87" s="33">
        <f t="shared" si="60"/>
        <v>1.4566929133858268</v>
      </c>
      <c r="X87" s="33">
        <f t="shared" si="61"/>
        <v>0.59055118110236215</v>
      </c>
      <c r="Y87" s="70">
        <f t="shared" si="62"/>
        <v>6.6929133858267713</v>
      </c>
      <c r="Z87" s="44">
        <f t="shared" si="63"/>
        <v>0.55203750451093347</v>
      </c>
      <c r="AA87" s="33">
        <f t="shared" si="64"/>
        <v>1.4566929133858268</v>
      </c>
      <c r="AB87" s="33">
        <f t="shared" si="65"/>
        <v>3.3070866141732287</v>
      </c>
      <c r="AC87" s="70">
        <f t="shared" si="66"/>
        <v>6.6929133858267713</v>
      </c>
      <c r="AD87" s="44">
        <f t="shared" si="67"/>
        <v>11.408922068067415</v>
      </c>
      <c r="AE87" s="33">
        <f t="shared" si="68"/>
        <v>12.007874015748031</v>
      </c>
      <c r="AF87" s="33">
        <f t="shared" si="69"/>
        <v>6.8897637795275584</v>
      </c>
      <c r="AG87" s="70">
        <f t="shared" si="70"/>
        <v>7.2834645669291342</v>
      </c>
      <c r="AH87" s="42">
        <f t="shared" si="43"/>
        <v>0.34871026220799889</v>
      </c>
      <c r="AI87" s="37" t="s">
        <v>2958</v>
      </c>
      <c r="AJ87" s="37" t="s">
        <v>2959</v>
      </c>
      <c r="AK87" s="37" t="s">
        <v>1849</v>
      </c>
      <c r="AL87" s="37" t="s">
        <v>2960</v>
      </c>
      <c r="AM87" s="37" t="s">
        <v>2961</v>
      </c>
      <c r="AN87" s="37" t="s">
        <v>1635</v>
      </c>
      <c r="AO87" s="37" t="s">
        <v>2962</v>
      </c>
      <c r="AP87" s="37" t="s">
        <v>2963</v>
      </c>
      <c r="AQ87" s="37" t="s">
        <v>481</v>
      </c>
      <c r="AR87" s="18" t="s">
        <v>2909</v>
      </c>
      <c r="AS87" s="94" t="s">
        <v>2908</v>
      </c>
    </row>
    <row r="88" spans="1:45" s="14" customFormat="1" x14ac:dyDescent="0.2">
      <c r="A88" s="14" t="s">
        <v>510</v>
      </c>
      <c r="B88" s="127"/>
      <c r="C88" s="33" t="s">
        <v>344</v>
      </c>
      <c r="D88" s="33" t="s">
        <v>2811</v>
      </c>
      <c r="E88" s="16" t="s">
        <v>2414</v>
      </c>
      <c r="F88" s="22" t="s">
        <v>338</v>
      </c>
      <c r="G88" s="15" t="s">
        <v>2520</v>
      </c>
      <c r="H88" s="77">
        <v>7331423002566</v>
      </c>
      <c r="I88" s="77">
        <v>7331423101139</v>
      </c>
      <c r="J88" s="77">
        <v>7331423201365</v>
      </c>
      <c r="K88" s="77">
        <v>17331423201362</v>
      </c>
      <c r="L88" s="27" t="s">
        <v>568</v>
      </c>
      <c r="M88" s="27" t="s">
        <v>977</v>
      </c>
      <c r="N88" s="514"/>
      <c r="O88" s="514">
        <f>IF($C88="","",VLOOKUP($C88,'2017 Pricelist'!$C:$I,7,FALSE))</f>
        <v>2.99</v>
      </c>
      <c r="P88" s="35">
        <v>25</v>
      </c>
      <c r="Q88" s="187">
        <v>500</v>
      </c>
      <c r="R88" s="99">
        <f t="shared" si="71"/>
        <v>1.9841603596638981E-2</v>
      </c>
      <c r="S88" s="33">
        <f t="shared" si="45"/>
        <v>6.6929133858267722</v>
      </c>
      <c r="T88" s="100">
        <v>1.5</v>
      </c>
      <c r="U88" s="101">
        <v>0.875</v>
      </c>
      <c r="V88" s="44">
        <f t="shared" si="59"/>
        <v>2.1605301694118003E-2</v>
      </c>
      <c r="W88" s="33">
        <f t="shared" si="60"/>
        <v>1.4566929133858268</v>
      </c>
      <c r="X88" s="33">
        <f t="shared" si="61"/>
        <v>0.59055118110236215</v>
      </c>
      <c r="Y88" s="70">
        <f t="shared" si="62"/>
        <v>6.6929133858267713</v>
      </c>
      <c r="Z88" s="44">
        <f t="shared" si="63"/>
        <v>0.55203750451093347</v>
      </c>
      <c r="AA88" s="33">
        <f t="shared" si="64"/>
        <v>1.4566929133858268</v>
      </c>
      <c r="AB88" s="33">
        <f t="shared" si="65"/>
        <v>3.3070866141732287</v>
      </c>
      <c r="AC88" s="70">
        <f t="shared" si="66"/>
        <v>6.6929133858267713</v>
      </c>
      <c r="AD88" s="44">
        <f t="shared" si="67"/>
        <v>11.408922068067415</v>
      </c>
      <c r="AE88" s="33">
        <f t="shared" si="68"/>
        <v>12.007874015748031</v>
      </c>
      <c r="AF88" s="33">
        <f t="shared" si="69"/>
        <v>6.8897637795275584</v>
      </c>
      <c r="AG88" s="70">
        <f t="shared" si="70"/>
        <v>7.2834645669291342</v>
      </c>
      <c r="AH88" s="42">
        <f t="shared" si="43"/>
        <v>0.34871026220799889</v>
      </c>
      <c r="AI88" s="37" t="s">
        <v>2958</v>
      </c>
      <c r="AJ88" s="37" t="s">
        <v>2959</v>
      </c>
      <c r="AK88" s="37" t="s">
        <v>1849</v>
      </c>
      <c r="AL88" s="37" t="s">
        <v>2960</v>
      </c>
      <c r="AM88" s="37" t="s">
        <v>2961</v>
      </c>
      <c r="AN88" s="37" t="s">
        <v>1635</v>
      </c>
      <c r="AO88" s="37" t="s">
        <v>2962</v>
      </c>
      <c r="AP88" s="37" t="s">
        <v>2963</v>
      </c>
      <c r="AQ88" s="37" t="s">
        <v>481</v>
      </c>
      <c r="AR88" s="18" t="s">
        <v>2909</v>
      </c>
      <c r="AS88" s="94" t="s">
        <v>2908</v>
      </c>
    </row>
    <row r="89" spans="1:45" s="14" customFormat="1" x14ac:dyDescent="0.2">
      <c r="A89" s="14" t="s">
        <v>510</v>
      </c>
      <c r="B89" s="127"/>
      <c r="C89" s="33" t="s">
        <v>344</v>
      </c>
      <c r="D89" s="33" t="s">
        <v>2812</v>
      </c>
      <c r="E89" s="16" t="s">
        <v>2414</v>
      </c>
      <c r="F89" s="22" t="s">
        <v>339</v>
      </c>
      <c r="G89" s="15" t="s">
        <v>2520</v>
      </c>
      <c r="H89" s="77">
        <v>7331423002542</v>
      </c>
      <c r="I89" s="77">
        <v>7331423101115</v>
      </c>
      <c r="J89" s="77">
        <v>7331423201341</v>
      </c>
      <c r="K89" s="77">
        <v>17331423201348</v>
      </c>
      <c r="L89" s="27" t="s">
        <v>568</v>
      </c>
      <c r="M89" s="27" t="s">
        <v>977</v>
      </c>
      <c r="N89" s="514"/>
      <c r="O89" s="514">
        <f>IF($C89="","",VLOOKUP($C89,'2017 Pricelist'!$C:$I,7,FALSE))</f>
        <v>2.99</v>
      </c>
      <c r="P89" s="35">
        <v>25</v>
      </c>
      <c r="Q89" s="187">
        <v>500</v>
      </c>
      <c r="R89" s="99">
        <f t="shared" si="71"/>
        <v>1.9841603596638981E-2</v>
      </c>
      <c r="S89" s="33">
        <f t="shared" si="45"/>
        <v>6.6929133858267722</v>
      </c>
      <c r="T89" s="100">
        <v>1.5</v>
      </c>
      <c r="U89" s="101">
        <v>0.875</v>
      </c>
      <c r="V89" s="44">
        <f t="shared" si="59"/>
        <v>2.1605301694118003E-2</v>
      </c>
      <c r="W89" s="33">
        <f t="shared" si="60"/>
        <v>1.4566929133858268</v>
      </c>
      <c r="X89" s="33">
        <f t="shared" si="61"/>
        <v>0.59055118110236215</v>
      </c>
      <c r="Y89" s="70">
        <f t="shared" si="62"/>
        <v>6.6929133858267713</v>
      </c>
      <c r="Z89" s="44">
        <f t="shared" si="63"/>
        <v>0.55203750451093347</v>
      </c>
      <c r="AA89" s="33">
        <f t="shared" si="64"/>
        <v>1.4566929133858268</v>
      </c>
      <c r="AB89" s="33">
        <f t="shared" si="65"/>
        <v>3.3070866141732287</v>
      </c>
      <c r="AC89" s="70">
        <f t="shared" si="66"/>
        <v>6.6929133858267713</v>
      </c>
      <c r="AD89" s="44">
        <f t="shared" si="67"/>
        <v>11.408922068067415</v>
      </c>
      <c r="AE89" s="33">
        <f t="shared" si="68"/>
        <v>12.007874015748031</v>
      </c>
      <c r="AF89" s="33">
        <f t="shared" si="69"/>
        <v>6.8897637795275584</v>
      </c>
      <c r="AG89" s="70">
        <f t="shared" si="70"/>
        <v>7.2834645669291342</v>
      </c>
      <c r="AH89" s="42">
        <f t="shared" si="43"/>
        <v>0.34871026220799889</v>
      </c>
      <c r="AI89" s="37" t="s">
        <v>2958</v>
      </c>
      <c r="AJ89" s="37" t="s">
        <v>2959</v>
      </c>
      <c r="AK89" s="37" t="s">
        <v>1849</v>
      </c>
      <c r="AL89" s="37" t="s">
        <v>2960</v>
      </c>
      <c r="AM89" s="37" t="s">
        <v>2961</v>
      </c>
      <c r="AN89" s="37" t="s">
        <v>1635</v>
      </c>
      <c r="AO89" s="37" t="s">
        <v>2962</v>
      </c>
      <c r="AP89" s="37" t="s">
        <v>2963</v>
      </c>
      <c r="AQ89" s="37" t="s">
        <v>481</v>
      </c>
      <c r="AR89" s="18" t="s">
        <v>2909</v>
      </c>
      <c r="AS89" s="94" t="s">
        <v>2908</v>
      </c>
    </row>
    <row r="90" spans="1:45" s="14" customFormat="1" x14ac:dyDescent="0.2">
      <c r="A90" s="14" t="s">
        <v>510</v>
      </c>
      <c r="B90" s="127"/>
      <c r="C90" s="33" t="s">
        <v>344</v>
      </c>
      <c r="D90" s="33" t="s">
        <v>2813</v>
      </c>
      <c r="E90" s="16" t="s">
        <v>2414</v>
      </c>
      <c r="F90" s="22" t="s">
        <v>340</v>
      </c>
      <c r="G90" s="15" t="s">
        <v>2520</v>
      </c>
      <c r="H90" s="77">
        <v>7331423002559</v>
      </c>
      <c r="I90" s="77">
        <v>7331423101122</v>
      </c>
      <c r="J90" s="77">
        <v>7331423201358</v>
      </c>
      <c r="K90" s="77">
        <v>17331423201355</v>
      </c>
      <c r="L90" s="27" t="s">
        <v>568</v>
      </c>
      <c r="M90" s="27" t="s">
        <v>977</v>
      </c>
      <c r="N90" s="514"/>
      <c r="O90" s="514">
        <f>IF($C90="","",VLOOKUP($C90,'2017 Pricelist'!$C:$I,7,FALSE))</f>
        <v>2.99</v>
      </c>
      <c r="P90" s="35">
        <v>25</v>
      </c>
      <c r="Q90" s="187">
        <v>500</v>
      </c>
      <c r="R90" s="99">
        <f t="shared" si="71"/>
        <v>1.9841603596638981E-2</v>
      </c>
      <c r="S90" s="33">
        <f t="shared" si="45"/>
        <v>6.6929133858267722</v>
      </c>
      <c r="T90" s="100">
        <v>1.5</v>
      </c>
      <c r="U90" s="101">
        <v>0.875</v>
      </c>
      <c r="V90" s="44">
        <f t="shared" si="59"/>
        <v>2.1605301694118003E-2</v>
      </c>
      <c r="W90" s="33">
        <f t="shared" si="60"/>
        <v>1.4566929133858268</v>
      </c>
      <c r="X90" s="33">
        <f t="shared" si="61"/>
        <v>0.59055118110236215</v>
      </c>
      <c r="Y90" s="70">
        <f t="shared" si="62"/>
        <v>6.6929133858267713</v>
      </c>
      <c r="Z90" s="44">
        <f t="shared" si="63"/>
        <v>0.55203750451093347</v>
      </c>
      <c r="AA90" s="33">
        <f t="shared" si="64"/>
        <v>1.4566929133858268</v>
      </c>
      <c r="AB90" s="33">
        <f t="shared" si="65"/>
        <v>3.3070866141732287</v>
      </c>
      <c r="AC90" s="70">
        <f t="shared" si="66"/>
        <v>6.6929133858267713</v>
      </c>
      <c r="AD90" s="44">
        <f t="shared" si="67"/>
        <v>11.408922068067415</v>
      </c>
      <c r="AE90" s="33">
        <f t="shared" si="68"/>
        <v>12.007874015748031</v>
      </c>
      <c r="AF90" s="33">
        <f t="shared" si="69"/>
        <v>6.8897637795275584</v>
      </c>
      <c r="AG90" s="70">
        <f t="shared" si="70"/>
        <v>7.2834645669291342</v>
      </c>
      <c r="AH90" s="42">
        <f t="shared" si="43"/>
        <v>0.34871026220799889</v>
      </c>
      <c r="AI90" s="37" t="s">
        <v>2958</v>
      </c>
      <c r="AJ90" s="37" t="s">
        <v>2959</v>
      </c>
      <c r="AK90" s="37" t="s">
        <v>1849</v>
      </c>
      <c r="AL90" s="37" t="s">
        <v>2960</v>
      </c>
      <c r="AM90" s="37" t="s">
        <v>2961</v>
      </c>
      <c r="AN90" s="37" t="s">
        <v>1635</v>
      </c>
      <c r="AO90" s="37" t="s">
        <v>2962</v>
      </c>
      <c r="AP90" s="37" t="s">
        <v>2963</v>
      </c>
      <c r="AQ90" s="37" t="s">
        <v>481</v>
      </c>
      <c r="AR90" s="18" t="s">
        <v>2909</v>
      </c>
      <c r="AS90" s="94" t="s">
        <v>2908</v>
      </c>
    </row>
    <row r="91" spans="1:45" s="14" customFormat="1" x14ac:dyDescent="0.2">
      <c r="A91" s="14" t="s">
        <v>510</v>
      </c>
      <c r="B91" s="127"/>
      <c r="C91" s="33" t="s">
        <v>344</v>
      </c>
      <c r="D91" s="33" t="s">
        <v>305</v>
      </c>
      <c r="E91" s="16" t="s">
        <v>2414</v>
      </c>
      <c r="F91" s="22" t="s">
        <v>341</v>
      </c>
      <c r="G91" s="15" t="s">
        <v>2520</v>
      </c>
      <c r="H91" s="77">
        <v>7331423002573</v>
      </c>
      <c r="I91" s="77">
        <v>7331423101146</v>
      </c>
      <c r="J91" s="77">
        <v>7331423201372</v>
      </c>
      <c r="K91" s="77">
        <v>17331423201379</v>
      </c>
      <c r="L91" s="27" t="s">
        <v>568</v>
      </c>
      <c r="M91" s="27" t="s">
        <v>977</v>
      </c>
      <c r="N91" s="514"/>
      <c r="O91" s="514">
        <f>IF($C91="","",VLOOKUP($C91,'2017 Pricelist'!$C:$I,7,FALSE))</f>
        <v>2.99</v>
      </c>
      <c r="P91" s="35">
        <v>25</v>
      </c>
      <c r="Q91" s="187">
        <v>500</v>
      </c>
      <c r="R91" s="99">
        <f t="shared" si="71"/>
        <v>1.9841603596638981E-2</v>
      </c>
      <c r="S91" s="33">
        <f t="shared" si="45"/>
        <v>6.6929133858267722</v>
      </c>
      <c r="T91" s="100">
        <v>1.5</v>
      </c>
      <c r="U91" s="101">
        <v>0.875</v>
      </c>
      <c r="V91" s="44">
        <f t="shared" si="59"/>
        <v>2.1605301694118003E-2</v>
      </c>
      <c r="W91" s="33">
        <f t="shared" si="60"/>
        <v>1.4566929133858268</v>
      </c>
      <c r="X91" s="33">
        <f t="shared" si="61"/>
        <v>0.59055118110236215</v>
      </c>
      <c r="Y91" s="70">
        <f t="shared" si="62"/>
        <v>6.6929133858267713</v>
      </c>
      <c r="Z91" s="44">
        <f t="shared" si="63"/>
        <v>0.55203750451093347</v>
      </c>
      <c r="AA91" s="33">
        <f t="shared" si="64"/>
        <v>1.4566929133858268</v>
      </c>
      <c r="AB91" s="33">
        <f t="shared" si="65"/>
        <v>3.3070866141732287</v>
      </c>
      <c r="AC91" s="70">
        <f t="shared" si="66"/>
        <v>6.6929133858267713</v>
      </c>
      <c r="AD91" s="44">
        <f t="shared" si="67"/>
        <v>11.408922068067415</v>
      </c>
      <c r="AE91" s="33">
        <f t="shared" si="68"/>
        <v>12.007874015748031</v>
      </c>
      <c r="AF91" s="33">
        <f t="shared" si="69"/>
        <v>6.8897637795275584</v>
      </c>
      <c r="AG91" s="70">
        <f t="shared" si="70"/>
        <v>7.2834645669291342</v>
      </c>
      <c r="AH91" s="42">
        <f t="shared" si="43"/>
        <v>0.34871026220799889</v>
      </c>
      <c r="AI91" s="37" t="s">
        <v>2958</v>
      </c>
      <c r="AJ91" s="37" t="s">
        <v>2959</v>
      </c>
      <c r="AK91" s="37" t="s">
        <v>1849</v>
      </c>
      <c r="AL91" s="37" t="s">
        <v>2960</v>
      </c>
      <c r="AM91" s="37" t="s">
        <v>2961</v>
      </c>
      <c r="AN91" s="37" t="s">
        <v>1635</v>
      </c>
      <c r="AO91" s="37" t="s">
        <v>2962</v>
      </c>
      <c r="AP91" s="37" t="s">
        <v>2963</v>
      </c>
      <c r="AQ91" s="37" t="s">
        <v>481</v>
      </c>
      <c r="AR91" s="18" t="s">
        <v>2909</v>
      </c>
      <c r="AS91" s="94" t="s">
        <v>2908</v>
      </c>
    </row>
    <row r="92" spans="1:45" s="14" customFormat="1" x14ac:dyDescent="0.2">
      <c r="A92" s="14" t="s">
        <v>510</v>
      </c>
      <c r="B92" s="127"/>
      <c r="C92" s="33" t="s">
        <v>344</v>
      </c>
      <c r="D92" s="33" t="s">
        <v>306</v>
      </c>
      <c r="E92" s="16" t="s">
        <v>2414</v>
      </c>
      <c r="F92" s="15" t="s">
        <v>345</v>
      </c>
      <c r="G92" s="15" t="s">
        <v>2520</v>
      </c>
      <c r="H92" s="77">
        <v>7331423002344</v>
      </c>
      <c r="I92" s="77">
        <v>7331423101191</v>
      </c>
      <c r="J92" s="77">
        <v>7331423201426</v>
      </c>
      <c r="K92" s="77">
        <v>17331423201423</v>
      </c>
      <c r="L92" s="36" t="s">
        <v>568</v>
      </c>
      <c r="M92" s="27" t="s">
        <v>977</v>
      </c>
      <c r="N92" s="514"/>
      <c r="O92" s="514">
        <f>IF($C92="","",VLOOKUP($C92,'2017 Pricelist'!$C:$I,7,FALSE))</f>
        <v>2.99</v>
      </c>
      <c r="P92" s="35">
        <v>25</v>
      </c>
      <c r="Q92" s="187">
        <v>500</v>
      </c>
      <c r="R92" s="99">
        <f t="shared" si="71"/>
        <v>1.9841603596638981E-2</v>
      </c>
      <c r="S92" s="33">
        <f t="shared" si="45"/>
        <v>6.6929133858267722</v>
      </c>
      <c r="T92" s="100">
        <v>1.5</v>
      </c>
      <c r="U92" s="101">
        <v>0.875</v>
      </c>
      <c r="V92" s="44">
        <f t="shared" si="59"/>
        <v>2.1605301694118003E-2</v>
      </c>
      <c r="W92" s="33">
        <f t="shared" si="60"/>
        <v>1.4566929133858268</v>
      </c>
      <c r="X92" s="33">
        <f t="shared" si="61"/>
        <v>0.59055118110236215</v>
      </c>
      <c r="Y92" s="70">
        <f t="shared" si="62"/>
        <v>6.6929133858267713</v>
      </c>
      <c r="Z92" s="44">
        <f t="shared" si="63"/>
        <v>0.55203750451093347</v>
      </c>
      <c r="AA92" s="33">
        <f t="shared" si="64"/>
        <v>1.4566929133858268</v>
      </c>
      <c r="AB92" s="33">
        <f t="shared" si="65"/>
        <v>3.3070866141732287</v>
      </c>
      <c r="AC92" s="70">
        <f t="shared" si="66"/>
        <v>6.6929133858267713</v>
      </c>
      <c r="AD92" s="44">
        <f t="shared" si="67"/>
        <v>11.408922068067415</v>
      </c>
      <c r="AE92" s="33">
        <f t="shared" si="68"/>
        <v>12.007874015748031</v>
      </c>
      <c r="AF92" s="33">
        <f t="shared" si="69"/>
        <v>6.8897637795275584</v>
      </c>
      <c r="AG92" s="70">
        <f t="shared" si="70"/>
        <v>7.2834645669291342</v>
      </c>
      <c r="AH92" s="42">
        <f t="shared" si="43"/>
        <v>0.34871026220799889</v>
      </c>
      <c r="AI92" s="37" t="s">
        <v>2958</v>
      </c>
      <c r="AJ92" s="37" t="s">
        <v>2959</v>
      </c>
      <c r="AK92" s="37" t="s">
        <v>1849</v>
      </c>
      <c r="AL92" s="37" t="s">
        <v>2960</v>
      </c>
      <c r="AM92" s="37" t="s">
        <v>2961</v>
      </c>
      <c r="AN92" s="37" t="s">
        <v>1635</v>
      </c>
      <c r="AO92" s="37" t="s">
        <v>2962</v>
      </c>
      <c r="AP92" s="37" t="s">
        <v>2963</v>
      </c>
      <c r="AQ92" s="37" t="s">
        <v>481</v>
      </c>
      <c r="AR92" s="18" t="s">
        <v>2909</v>
      </c>
      <c r="AS92" s="94" t="s">
        <v>2908</v>
      </c>
    </row>
    <row r="93" spans="1:45" s="14" customFormat="1" x14ac:dyDescent="0.2">
      <c r="A93" s="14" t="s">
        <v>510</v>
      </c>
      <c r="B93" s="127"/>
      <c r="C93" s="33" t="s">
        <v>344</v>
      </c>
      <c r="D93" s="33" t="s">
        <v>1017</v>
      </c>
      <c r="E93" s="16" t="s">
        <v>2414</v>
      </c>
      <c r="F93" s="15" t="s">
        <v>1018</v>
      </c>
      <c r="G93" s="15" t="s">
        <v>2520</v>
      </c>
      <c r="H93" s="77">
        <v>7331423005963</v>
      </c>
      <c r="I93" s="77">
        <v>7331423101184</v>
      </c>
      <c r="J93" s="77">
        <v>7331423201419</v>
      </c>
      <c r="K93" s="77">
        <v>17331423201416</v>
      </c>
      <c r="L93" s="36" t="s">
        <v>568</v>
      </c>
      <c r="M93" s="27" t="s">
        <v>977</v>
      </c>
      <c r="N93" s="514"/>
      <c r="O93" s="514">
        <f>IF($C93="","",VLOOKUP($C93,'2017 Pricelist'!$C:$I,7,FALSE))</f>
        <v>2.99</v>
      </c>
      <c r="P93" s="35">
        <v>25</v>
      </c>
      <c r="Q93" s="187">
        <v>500</v>
      </c>
      <c r="R93" s="99">
        <f t="shared" si="71"/>
        <v>1.9841603596638981E-2</v>
      </c>
      <c r="S93" s="33">
        <f t="shared" si="45"/>
        <v>6.6929133858267722</v>
      </c>
      <c r="T93" s="100">
        <v>1.5</v>
      </c>
      <c r="U93" s="101">
        <v>0.875</v>
      </c>
      <c r="V93" s="44">
        <f t="shared" si="59"/>
        <v>2.1605301694118003E-2</v>
      </c>
      <c r="W93" s="33">
        <f t="shared" si="60"/>
        <v>1.4566929133858268</v>
      </c>
      <c r="X93" s="33">
        <f t="shared" si="61"/>
        <v>0.59055118110236215</v>
      </c>
      <c r="Y93" s="70">
        <f t="shared" si="62"/>
        <v>6.6929133858267713</v>
      </c>
      <c r="Z93" s="44">
        <f t="shared" si="63"/>
        <v>0.55203750451093347</v>
      </c>
      <c r="AA93" s="33">
        <f t="shared" si="64"/>
        <v>1.4566929133858268</v>
      </c>
      <c r="AB93" s="33">
        <f t="shared" si="65"/>
        <v>3.3070866141732287</v>
      </c>
      <c r="AC93" s="70">
        <f t="shared" si="66"/>
        <v>6.6929133858267713</v>
      </c>
      <c r="AD93" s="44">
        <f t="shared" si="67"/>
        <v>11.408922068067415</v>
      </c>
      <c r="AE93" s="33">
        <f t="shared" si="68"/>
        <v>12.007874015748031</v>
      </c>
      <c r="AF93" s="33">
        <f t="shared" si="69"/>
        <v>6.8897637795275584</v>
      </c>
      <c r="AG93" s="70">
        <f t="shared" si="70"/>
        <v>7.2834645669291342</v>
      </c>
      <c r="AH93" s="42">
        <f t="shared" si="43"/>
        <v>0.34871026220799889</v>
      </c>
      <c r="AI93" s="37" t="s">
        <v>2958</v>
      </c>
      <c r="AJ93" s="37" t="s">
        <v>2959</v>
      </c>
      <c r="AK93" s="37" t="s">
        <v>1849</v>
      </c>
      <c r="AL93" s="37" t="s">
        <v>2960</v>
      </c>
      <c r="AM93" s="37" t="s">
        <v>2961</v>
      </c>
      <c r="AN93" s="37" t="s">
        <v>1635</v>
      </c>
      <c r="AO93" s="37" t="s">
        <v>2962</v>
      </c>
      <c r="AP93" s="37" t="s">
        <v>2963</v>
      </c>
      <c r="AQ93" s="37" t="s">
        <v>481</v>
      </c>
      <c r="AR93" s="18" t="s">
        <v>2909</v>
      </c>
      <c r="AS93" s="94" t="s">
        <v>2908</v>
      </c>
    </row>
    <row r="94" spans="1:45" s="14" customFormat="1" x14ac:dyDescent="0.2">
      <c r="A94" s="14" t="s">
        <v>510</v>
      </c>
      <c r="B94" s="127"/>
      <c r="C94" s="33" t="s">
        <v>344</v>
      </c>
      <c r="D94" s="33" t="s">
        <v>372</v>
      </c>
      <c r="E94" s="16" t="s">
        <v>2414</v>
      </c>
      <c r="F94" s="15" t="s">
        <v>483</v>
      </c>
      <c r="G94" s="15" t="s">
        <v>2520</v>
      </c>
      <c r="H94" s="77">
        <v>7331423002313</v>
      </c>
      <c r="I94" s="77">
        <v>7331423101214</v>
      </c>
      <c r="J94" s="77">
        <v>7331423201440</v>
      </c>
      <c r="K94" s="77">
        <v>17331423201447</v>
      </c>
      <c r="L94" s="36" t="s">
        <v>568</v>
      </c>
      <c r="M94" s="27" t="s">
        <v>977</v>
      </c>
      <c r="N94" s="514"/>
      <c r="O94" s="514">
        <f>IF($C94="","",VLOOKUP($C94,'2017 Pricelist'!$C:$I,7,FALSE))</f>
        <v>2.99</v>
      </c>
      <c r="P94" s="35">
        <v>25</v>
      </c>
      <c r="Q94" s="187">
        <v>500</v>
      </c>
      <c r="R94" s="99">
        <f t="shared" si="71"/>
        <v>1.9841603596638981E-2</v>
      </c>
      <c r="S94" s="33">
        <f t="shared" si="45"/>
        <v>6.6929133858267722</v>
      </c>
      <c r="T94" s="100">
        <v>1.5</v>
      </c>
      <c r="U94" s="101">
        <v>0.875</v>
      </c>
      <c r="V94" s="44">
        <f t="shared" si="59"/>
        <v>2.1605301694118003E-2</v>
      </c>
      <c r="W94" s="33">
        <f t="shared" si="60"/>
        <v>1.4566929133858268</v>
      </c>
      <c r="X94" s="33">
        <f t="shared" si="61"/>
        <v>0.59055118110236215</v>
      </c>
      <c r="Y94" s="70">
        <f t="shared" si="62"/>
        <v>6.6929133858267713</v>
      </c>
      <c r="Z94" s="44">
        <f t="shared" si="63"/>
        <v>0.55203750451093347</v>
      </c>
      <c r="AA94" s="33">
        <f t="shared" si="64"/>
        <v>1.4566929133858268</v>
      </c>
      <c r="AB94" s="33">
        <f t="shared" si="65"/>
        <v>3.3070866141732287</v>
      </c>
      <c r="AC94" s="70">
        <f t="shared" si="66"/>
        <v>6.6929133858267713</v>
      </c>
      <c r="AD94" s="44">
        <f t="shared" si="67"/>
        <v>11.408922068067415</v>
      </c>
      <c r="AE94" s="33">
        <f t="shared" si="68"/>
        <v>12.007874015748031</v>
      </c>
      <c r="AF94" s="33">
        <f t="shared" si="69"/>
        <v>6.8897637795275584</v>
      </c>
      <c r="AG94" s="70">
        <f t="shared" si="70"/>
        <v>7.2834645669291342</v>
      </c>
      <c r="AH94" s="42">
        <f t="shared" si="43"/>
        <v>0.34871026220799889</v>
      </c>
      <c r="AI94" s="37" t="s">
        <v>2958</v>
      </c>
      <c r="AJ94" s="37" t="s">
        <v>2959</v>
      </c>
      <c r="AK94" s="37" t="s">
        <v>1849</v>
      </c>
      <c r="AL94" s="37" t="s">
        <v>2960</v>
      </c>
      <c r="AM94" s="37" t="s">
        <v>2961</v>
      </c>
      <c r="AN94" s="37" t="s">
        <v>1635</v>
      </c>
      <c r="AO94" s="37" t="s">
        <v>2962</v>
      </c>
      <c r="AP94" s="37" t="s">
        <v>2963</v>
      </c>
      <c r="AQ94" s="37" t="s">
        <v>481</v>
      </c>
      <c r="AR94" s="18" t="s">
        <v>2909</v>
      </c>
      <c r="AS94" s="94" t="s">
        <v>2908</v>
      </c>
    </row>
    <row r="95" spans="1:45" s="14" customFormat="1" x14ac:dyDescent="0.2">
      <c r="A95" s="14" t="s">
        <v>510</v>
      </c>
      <c r="B95" s="127"/>
      <c r="C95" s="33" t="s">
        <v>344</v>
      </c>
      <c r="D95" s="33" t="s">
        <v>960</v>
      </c>
      <c r="E95" s="16" t="s">
        <v>2414</v>
      </c>
      <c r="F95" s="15" t="s">
        <v>221</v>
      </c>
      <c r="G95" s="15" t="s">
        <v>2520</v>
      </c>
      <c r="H95" s="8">
        <v>7331423006243</v>
      </c>
      <c r="I95" s="8">
        <v>7331423101092</v>
      </c>
      <c r="J95" s="8">
        <v>7331423201327</v>
      </c>
      <c r="K95" s="8">
        <v>17331423201324</v>
      </c>
      <c r="L95" s="36" t="s">
        <v>568</v>
      </c>
      <c r="M95" s="27" t="s">
        <v>977</v>
      </c>
      <c r="N95" s="514"/>
      <c r="O95" s="514">
        <f>IF($C95="","",VLOOKUP($C95,'2017 Pricelist'!$C:$I,7,FALSE))</f>
        <v>2.99</v>
      </c>
      <c r="P95" s="35">
        <v>25</v>
      </c>
      <c r="Q95" s="187">
        <v>500</v>
      </c>
      <c r="R95" s="99">
        <f t="shared" si="71"/>
        <v>1.9841603596638981E-2</v>
      </c>
      <c r="S95" s="33">
        <f t="shared" si="45"/>
        <v>6.6929133858267722</v>
      </c>
      <c r="T95" s="100">
        <v>1.5</v>
      </c>
      <c r="U95" s="101">
        <v>0.875</v>
      </c>
      <c r="V95" s="44">
        <f t="shared" si="59"/>
        <v>2.1605301694118003E-2</v>
      </c>
      <c r="W95" s="33">
        <f t="shared" si="60"/>
        <v>1.4566929133858268</v>
      </c>
      <c r="X95" s="33">
        <f t="shared" si="61"/>
        <v>0.59055118110236215</v>
      </c>
      <c r="Y95" s="70">
        <f t="shared" si="62"/>
        <v>6.6929133858267713</v>
      </c>
      <c r="Z95" s="44">
        <f t="shared" si="63"/>
        <v>0.55203750451093347</v>
      </c>
      <c r="AA95" s="33">
        <f t="shared" si="64"/>
        <v>1.4566929133858268</v>
      </c>
      <c r="AB95" s="33">
        <f t="shared" si="65"/>
        <v>3.3070866141732287</v>
      </c>
      <c r="AC95" s="70">
        <f t="shared" si="66"/>
        <v>6.6929133858267713</v>
      </c>
      <c r="AD95" s="44">
        <f t="shared" si="67"/>
        <v>11.408922068067415</v>
      </c>
      <c r="AE95" s="33">
        <f t="shared" si="68"/>
        <v>12.007874015748031</v>
      </c>
      <c r="AF95" s="33">
        <f t="shared" si="69"/>
        <v>6.8897637795275584</v>
      </c>
      <c r="AG95" s="70">
        <f t="shared" si="70"/>
        <v>7.2834645669291342</v>
      </c>
      <c r="AH95" s="42">
        <f t="shared" si="43"/>
        <v>0.34871026220799889</v>
      </c>
      <c r="AI95" s="37" t="s">
        <v>2958</v>
      </c>
      <c r="AJ95" s="37" t="s">
        <v>2959</v>
      </c>
      <c r="AK95" s="37" t="s">
        <v>1849</v>
      </c>
      <c r="AL95" s="37" t="s">
        <v>2960</v>
      </c>
      <c r="AM95" s="37" t="s">
        <v>2961</v>
      </c>
      <c r="AN95" s="37" t="s">
        <v>1635</v>
      </c>
      <c r="AO95" s="37" t="s">
        <v>2962</v>
      </c>
      <c r="AP95" s="37" t="s">
        <v>2963</v>
      </c>
      <c r="AQ95" s="37" t="s">
        <v>481</v>
      </c>
      <c r="AR95" s="18" t="s">
        <v>2909</v>
      </c>
      <c r="AS95" s="94" t="s">
        <v>2908</v>
      </c>
    </row>
    <row r="96" spans="1:45" s="14" customFormat="1" x14ac:dyDescent="0.2">
      <c r="A96" s="14" t="s">
        <v>510</v>
      </c>
      <c r="B96" s="127"/>
      <c r="C96" s="33" t="s">
        <v>344</v>
      </c>
      <c r="D96" s="33" t="s">
        <v>1740</v>
      </c>
      <c r="E96" s="16" t="s">
        <v>2414</v>
      </c>
      <c r="F96" s="15" t="s">
        <v>1858</v>
      </c>
      <c r="G96" s="15" t="s">
        <v>2520</v>
      </c>
      <c r="H96" s="8">
        <v>7331423003815</v>
      </c>
      <c r="I96" s="8">
        <v>7331423101085</v>
      </c>
      <c r="J96" s="8">
        <v>7331423201310</v>
      </c>
      <c r="K96" s="8">
        <v>17331423201317</v>
      </c>
      <c r="L96" s="36" t="s">
        <v>568</v>
      </c>
      <c r="M96" s="27" t="s">
        <v>977</v>
      </c>
      <c r="N96" s="514"/>
      <c r="O96" s="514">
        <f>IF($C96="","",VLOOKUP($C96,'2017 Pricelist'!$C:$I,7,FALSE))</f>
        <v>2.99</v>
      </c>
      <c r="P96" s="35">
        <v>25</v>
      </c>
      <c r="Q96" s="187">
        <v>500</v>
      </c>
      <c r="R96" s="99">
        <f t="shared" si="71"/>
        <v>1.9841603596638981E-2</v>
      </c>
      <c r="S96" s="33">
        <f t="shared" si="45"/>
        <v>6.6929133858267722</v>
      </c>
      <c r="T96" s="100">
        <v>1.5</v>
      </c>
      <c r="U96" s="101">
        <v>0.875</v>
      </c>
      <c r="V96" s="44">
        <f t="shared" si="59"/>
        <v>2.1605301694118003E-2</v>
      </c>
      <c r="W96" s="33">
        <f t="shared" si="60"/>
        <v>1.4566929133858268</v>
      </c>
      <c r="X96" s="33">
        <f t="shared" si="61"/>
        <v>0.59055118110236215</v>
      </c>
      <c r="Y96" s="70">
        <f t="shared" si="62"/>
        <v>6.6929133858267713</v>
      </c>
      <c r="Z96" s="44">
        <f t="shared" si="63"/>
        <v>0.55203750451093347</v>
      </c>
      <c r="AA96" s="33">
        <f t="shared" si="64"/>
        <v>1.4566929133858268</v>
      </c>
      <c r="AB96" s="33">
        <f t="shared" si="65"/>
        <v>3.3070866141732287</v>
      </c>
      <c r="AC96" s="70">
        <f t="shared" si="66"/>
        <v>6.6929133858267713</v>
      </c>
      <c r="AD96" s="44">
        <f t="shared" si="67"/>
        <v>11.408922068067415</v>
      </c>
      <c r="AE96" s="33">
        <f t="shared" si="68"/>
        <v>12.007874015748031</v>
      </c>
      <c r="AF96" s="33">
        <f t="shared" si="69"/>
        <v>6.8897637795275584</v>
      </c>
      <c r="AG96" s="70">
        <f t="shared" si="70"/>
        <v>7.2834645669291342</v>
      </c>
      <c r="AH96" s="42">
        <f t="shared" si="43"/>
        <v>0.34871026220799889</v>
      </c>
      <c r="AI96" s="37" t="s">
        <v>2958</v>
      </c>
      <c r="AJ96" s="37" t="s">
        <v>2959</v>
      </c>
      <c r="AK96" s="37" t="s">
        <v>1849</v>
      </c>
      <c r="AL96" s="37" t="s">
        <v>2960</v>
      </c>
      <c r="AM96" s="37" t="s">
        <v>2961</v>
      </c>
      <c r="AN96" s="37" t="s">
        <v>1635</v>
      </c>
      <c r="AO96" s="37" t="s">
        <v>2962</v>
      </c>
      <c r="AP96" s="37" t="s">
        <v>2963</v>
      </c>
      <c r="AQ96" s="37" t="s">
        <v>481</v>
      </c>
      <c r="AR96" s="18" t="s">
        <v>2909</v>
      </c>
      <c r="AS96" s="94" t="s">
        <v>2908</v>
      </c>
    </row>
    <row r="97" spans="1:45" s="14" customFormat="1" x14ac:dyDescent="0.2">
      <c r="A97" s="14" t="s">
        <v>510</v>
      </c>
      <c r="B97" s="127"/>
      <c r="C97" s="33" t="s">
        <v>344</v>
      </c>
      <c r="D97" s="33" t="s">
        <v>1739</v>
      </c>
      <c r="E97" s="16" t="s">
        <v>2414</v>
      </c>
      <c r="F97" s="15" t="s">
        <v>1859</v>
      </c>
      <c r="G97" s="15" t="s">
        <v>2520</v>
      </c>
      <c r="H97" s="8">
        <v>7331423008339</v>
      </c>
      <c r="I97" s="8">
        <v>7331423101108</v>
      </c>
      <c r="J97" s="8">
        <v>7331423201334</v>
      </c>
      <c r="K97" s="8">
        <v>17331423201331</v>
      </c>
      <c r="L97" s="36" t="s">
        <v>568</v>
      </c>
      <c r="M97" s="27" t="s">
        <v>977</v>
      </c>
      <c r="N97" s="514"/>
      <c r="O97" s="514">
        <f>IF($C97="","",VLOOKUP($C97,'2017 Pricelist'!$C:$I,7,FALSE))</f>
        <v>2.99</v>
      </c>
      <c r="P97" s="35">
        <v>25</v>
      </c>
      <c r="Q97" s="187">
        <v>500</v>
      </c>
      <c r="R97" s="99">
        <f t="shared" si="71"/>
        <v>1.9841603596638981E-2</v>
      </c>
      <c r="S97" s="33">
        <f t="shared" si="45"/>
        <v>6.6929133858267722</v>
      </c>
      <c r="T97" s="100">
        <v>1.5</v>
      </c>
      <c r="U97" s="101">
        <v>0.875</v>
      </c>
      <c r="V97" s="44">
        <f t="shared" si="59"/>
        <v>2.1605301694118003E-2</v>
      </c>
      <c r="W97" s="33">
        <f t="shared" si="60"/>
        <v>1.4566929133858268</v>
      </c>
      <c r="X97" s="33">
        <f t="shared" si="61"/>
        <v>0.59055118110236215</v>
      </c>
      <c r="Y97" s="70">
        <f t="shared" si="62"/>
        <v>6.6929133858267713</v>
      </c>
      <c r="Z97" s="44">
        <f t="shared" si="63"/>
        <v>0.55203750451093347</v>
      </c>
      <c r="AA97" s="33">
        <f t="shared" si="64"/>
        <v>1.4566929133858268</v>
      </c>
      <c r="AB97" s="33">
        <f t="shared" si="65"/>
        <v>3.3070866141732287</v>
      </c>
      <c r="AC97" s="70">
        <f t="shared" si="66"/>
        <v>6.6929133858267713</v>
      </c>
      <c r="AD97" s="44">
        <f t="shared" si="67"/>
        <v>11.408922068067415</v>
      </c>
      <c r="AE97" s="33">
        <f t="shared" si="68"/>
        <v>12.007874015748031</v>
      </c>
      <c r="AF97" s="33">
        <f t="shared" si="69"/>
        <v>6.8897637795275584</v>
      </c>
      <c r="AG97" s="70">
        <f t="shared" si="70"/>
        <v>7.2834645669291342</v>
      </c>
      <c r="AH97" s="42">
        <f t="shared" si="43"/>
        <v>0.34871026220799889</v>
      </c>
      <c r="AI97" s="37" t="s">
        <v>2958</v>
      </c>
      <c r="AJ97" s="37" t="s">
        <v>2959</v>
      </c>
      <c r="AK97" s="37" t="s">
        <v>1849</v>
      </c>
      <c r="AL97" s="37" t="s">
        <v>2960</v>
      </c>
      <c r="AM97" s="37" t="s">
        <v>2961</v>
      </c>
      <c r="AN97" s="37" t="s">
        <v>1635</v>
      </c>
      <c r="AO97" s="37" t="s">
        <v>2962</v>
      </c>
      <c r="AP97" s="37" t="s">
        <v>2963</v>
      </c>
      <c r="AQ97" s="37" t="s">
        <v>481</v>
      </c>
      <c r="AR97" s="18" t="s">
        <v>2909</v>
      </c>
      <c r="AS97" s="94" t="s">
        <v>2908</v>
      </c>
    </row>
    <row r="98" spans="1:45" s="14" customFormat="1" x14ac:dyDescent="0.2">
      <c r="A98" s="14" t="s">
        <v>510</v>
      </c>
      <c r="B98" s="127"/>
      <c r="C98" s="33" t="s">
        <v>344</v>
      </c>
      <c r="D98" s="33" t="s">
        <v>293</v>
      </c>
      <c r="E98" s="16" t="s">
        <v>2414</v>
      </c>
      <c r="F98" s="15" t="s">
        <v>1332</v>
      </c>
      <c r="G98" s="15" t="s">
        <v>2520</v>
      </c>
      <c r="H98" s="8">
        <v>7331423004171</v>
      </c>
      <c r="I98" s="8">
        <v>7331423101238</v>
      </c>
      <c r="J98" s="8">
        <v>7331423201464</v>
      </c>
      <c r="K98" s="8">
        <v>17331423201461</v>
      </c>
      <c r="L98" s="36" t="s">
        <v>568</v>
      </c>
      <c r="M98" s="27" t="s">
        <v>977</v>
      </c>
      <c r="N98" s="514"/>
      <c r="O98" s="514">
        <f>IF($C98="","",VLOOKUP($C98,'2017 Pricelist'!$C:$I,7,FALSE))</f>
        <v>2.99</v>
      </c>
      <c r="P98" s="35">
        <v>25</v>
      </c>
      <c r="Q98" s="187">
        <v>500</v>
      </c>
      <c r="R98" s="99">
        <f t="shared" si="71"/>
        <v>1.9841603596638981E-2</v>
      </c>
      <c r="S98" s="33">
        <f t="shared" si="45"/>
        <v>6.6929133858267722</v>
      </c>
      <c r="T98" s="100">
        <v>1.5</v>
      </c>
      <c r="U98" s="101">
        <v>0.875</v>
      </c>
      <c r="V98" s="44">
        <f t="shared" si="59"/>
        <v>2.1605301694118003E-2</v>
      </c>
      <c r="W98" s="33">
        <f t="shared" si="60"/>
        <v>1.4566929133858268</v>
      </c>
      <c r="X98" s="33">
        <f t="shared" si="61"/>
        <v>0.59055118110236215</v>
      </c>
      <c r="Y98" s="70">
        <f t="shared" si="62"/>
        <v>6.6929133858267713</v>
      </c>
      <c r="Z98" s="44">
        <f t="shared" si="63"/>
        <v>0.55203750451093347</v>
      </c>
      <c r="AA98" s="33">
        <f t="shared" si="64"/>
        <v>1.4566929133858268</v>
      </c>
      <c r="AB98" s="33">
        <f t="shared" si="65"/>
        <v>3.3070866141732287</v>
      </c>
      <c r="AC98" s="70">
        <f t="shared" si="66"/>
        <v>6.6929133858267713</v>
      </c>
      <c r="AD98" s="44">
        <f t="shared" si="67"/>
        <v>11.408922068067415</v>
      </c>
      <c r="AE98" s="33">
        <f t="shared" si="68"/>
        <v>12.007874015748031</v>
      </c>
      <c r="AF98" s="33">
        <f t="shared" si="69"/>
        <v>6.8897637795275584</v>
      </c>
      <c r="AG98" s="70">
        <f t="shared" si="70"/>
        <v>7.2834645669291342</v>
      </c>
      <c r="AH98" s="42">
        <f t="shared" si="43"/>
        <v>0.34871026220799889</v>
      </c>
      <c r="AI98" s="37" t="s">
        <v>2958</v>
      </c>
      <c r="AJ98" s="37" t="s">
        <v>2959</v>
      </c>
      <c r="AK98" s="37" t="s">
        <v>1849</v>
      </c>
      <c r="AL98" s="37" t="s">
        <v>2960</v>
      </c>
      <c r="AM98" s="37" t="s">
        <v>2961</v>
      </c>
      <c r="AN98" s="37" t="s">
        <v>1635</v>
      </c>
      <c r="AO98" s="37" t="s">
        <v>2962</v>
      </c>
      <c r="AP98" s="37" t="s">
        <v>2963</v>
      </c>
      <c r="AQ98" s="37" t="s">
        <v>481</v>
      </c>
      <c r="AR98" s="18" t="s">
        <v>2909</v>
      </c>
      <c r="AS98" s="94" t="s">
        <v>2908</v>
      </c>
    </row>
    <row r="99" spans="1:45" s="14" customFormat="1" x14ac:dyDescent="0.2">
      <c r="A99" s="14" t="s">
        <v>510</v>
      </c>
      <c r="B99" s="127"/>
      <c r="C99" s="33" t="s">
        <v>344</v>
      </c>
      <c r="D99" s="33" t="s">
        <v>2810</v>
      </c>
      <c r="E99" s="16" t="s">
        <v>2414</v>
      </c>
      <c r="F99" s="15" t="s">
        <v>266</v>
      </c>
      <c r="G99" s="15" t="s">
        <v>2520</v>
      </c>
      <c r="H99" s="8">
        <v>7331423002719</v>
      </c>
      <c r="I99" s="8">
        <v>7331423101177</v>
      </c>
      <c r="J99" s="8">
        <v>7331423201402</v>
      </c>
      <c r="K99" s="8">
        <v>17331423201409</v>
      </c>
      <c r="L99" s="36" t="s">
        <v>568</v>
      </c>
      <c r="M99" s="27" t="s">
        <v>977</v>
      </c>
      <c r="N99" s="514"/>
      <c r="O99" s="514">
        <f>IF($C99="","",VLOOKUP($C99,'2017 Pricelist'!$C:$I,7,FALSE))</f>
        <v>2.99</v>
      </c>
      <c r="P99" s="35">
        <v>25</v>
      </c>
      <c r="Q99" s="187">
        <v>500</v>
      </c>
      <c r="R99" s="99">
        <f t="shared" si="71"/>
        <v>1.9841603596638981E-2</v>
      </c>
      <c r="S99" s="33">
        <f t="shared" si="45"/>
        <v>6.6929133858267722</v>
      </c>
      <c r="T99" s="100">
        <v>1.5</v>
      </c>
      <c r="U99" s="101">
        <v>0.875</v>
      </c>
      <c r="V99" s="44">
        <f t="shared" si="59"/>
        <v>2.1605301694118003E-2</v>
      </c>
      <c r="W99" s="33">
        <f t="shared" si="60"/>
        <v>1.4566929133858268</v>
      </c>
      <c r="X99" s="33">
        <f t="shared" si="61"/>
        <v>0.59055118110236215</v>
      </c>
      <c r="Y99" s="70">
        <f t="shared" si="62"/>
        <v>6.6929133858267713</v>
      </c>
      <c r="Z99" s="44">
        <f t="shared" si="63"/>
        <v>0.55203750451093347</v>
      </c>
      <c r="AA99" s="33">
        <f t="shared" si="64"/>
        <v>1.4566929133858268</v>
      </c>
      <c r="AB99" s="33">
        <f t="shared" si="65"/>
        <v>3.3070866141732287</v>
      </c>
      <c r="AC99" s="70">
        <f t="shared" si="66"/>
        <v>6.6929133858267713</v>
      </c>
      <c r="AD99" s="44">
        <f t="shared" si="67"/>
        <v>11.408922068067415</v>
      </c>
      <c r="AE99" s="33">
        <f t="shared" si="68"/>
        <v>12.007874015748031</v>
      </c>
      <c r="AF99" s="33">
        <f t="shared" si="69"/>
        <v>6.8897637795275584</v>
      </c>
      <c r="AG99" s="70">
        <f t="shared" si="70"/>
        <v>7.2834645669291342</v>
      </c>
      <c r="AH99" s="42">
        <f t="shared" si="43"/>
        <v>0.34871026220799889</v>
      </c>
      <c r="AI99" s="37" t="s">
        <v>2958</v>
      </c>
      <c r="AJ99" s="37" t="s">
        <v>2959</v>
      </c>
      <c r="AK99" s="37" t="s">
        <v>1849</v>
      </c>
      <c r="AL99" s="37" t="s">
        <v>2960</v>
      </c>
      <c r="AM99" s="37" t="s">
        <v>2961</v>
      </c>
      <c r="AN99" s="37" t="s">
        <v>1635</v>
      </c>
      <c r="AO99" s="37" t="s">
        <v>2962</v>
      </c>
      <c r="AP99" s="37" t="s">
        <v>2963</v>
      </c>
      <c r="AQ99" s="37" t="s">
        <v>481</v>
      </c>
      <c r="AR99" s="18" t="s">
        <v>2909</v>
      </c>
      <c r="AS99" s="94" t="s">
        <v>2908</v>
      </c>
    </row>
    <row r="100" spans="1:45" s="37" customFormat="1" x14ac:dyDescent="0.2">
      <c r="A100" s="18" t="s">
        <v>510</v>
      </c>
      <c r="C100" s="33" t="s">
        <v>344</v>
      </c>
      <c r="D100" s="33" t="s">
        <v>2882</v>
      </c>
      <c r="E100" s="16" t="s">
        <v>2414</v>
      </c>
      <c r="F100" s="15" t="s">
        <v>2883</v>
      </c>
      <c r="G100" s="15" t="s">
        <v>2520</v>
      </c>
      <c r="H100" s="109">
        <v>7331423010028</v>
      </c>
      <c r="I100" s="109">
        <v>7331423101627</v>
      </c>
      <c r="J100" s="109">
        <v>7331423202324</v>
      </c>
      <c r="K100" s="109">
        <v>17331423202406</v>
      </c>
      <c r="L100" s="36" t="s">
        <v>568</v>
      </c>
      <c r="M100" s="253" t="s">
        <v>977</v>
      </c>
      <c r="N100" s="514"/>
      <c r="O100" s="514">
        <f>IF($C100="","",VLOOKUP($C100,'2017 Pricelist'!$C:$I,7,FALSE))</f>
        <v>2.99</v>
      </c>
      <c r="P100" s="140">
        <v>25</v>
      </c>
      <c r="Q100" s="189">
        <v>500</v>
      </c>
      <c r="R100" s="99">
        <f>CONVERT(10,"g","lbm")</f>
        <v>2.2046226218487758E-2</v>
      </c>
      <c r="S100" s="33">
        <f t="shared" si="45"/>
        <v>6.6929133858267722</v>
      </c>
      <c r="T100" s="100">
        <v>1.5</v>
      </c>
      <c r="U100" s="101">
        <v>0.875</v>
      </c>
      <c r="V100" s="44">
        <f t="shared" si="59"/>
        <v>2.1605301694118003E-2</v>
      </c>
      <c r="W100" s="33">
        <f t="shared" si="60"/>
        <v>1.4566929133858268</v>
      </c>
      <c r="X100" s="33">
        <f t="shared" si="61"/>
        <v>0.59055118110236215</v>
      </c>
      <c r="Y100" s="70">
        <f t="shared" si="62"/>
        <v>6.6929133858267713</v>
      </c>
      <c r="Z100" s="44">
        <f t="shared" si="63"/>
        <v>0.55203750451093347</v>
      </c>
      <c r="AA100" s="33">
        <f t="shared" si="64"/>
        <v>1.4566929133858268</v>
      </c>
      <c r="AB100" s="33">
        <f t="shared" si="65"/>
        <v>3.3070866141732287</v>
      </c>
      <c r="AC100" s="70">
        <f t="shared" si="66"/>
        <v>6.6929133858267713</v>
      </c>
      <c r="AD100" s="44">
        <f t="shared" si="67"/>
        <v>11.408922068067415</v>
      </c>
      <c r="AE100" s="33">
        <f t="shared" si="68"/>
        <v>12.007874015748031</v>
      </c>
      <c r="AF100" s="33">
        <f t="shared" si="69"/>
        <v>6.8897637795275584</v>
      </c>
      <c r="AG100" s="70">
        <f t="shared" si="70"/>
        <v>7.2834645669291342</v>
      </c>
      <c r="AH100" s="44">
        <f t="shared" si="43"/>
        <v>0.34871026220799889</v>
      </c>
      <c r="AI100" s="37" t="s">
        <v>2958</v>
      </c>
      <c r="AJ100" s="37" t="s">
        <v>2959</v>
      </c>
      <c r="AK100" s="37" t="s">
        <v>1849</v>
      </c>
      <c r="AL100" s="37" t="s">
        <v>2960</v>
      </c>
      <c r="AM100" s="37" t="s">
        <v>2961</v>
      </c>
      <c r="AN100" s="37" t="s">
        <v>1635</v>
      </c>
      <c r="AO100" s="37" t="s">
        <v>2962</v>
      </c>
      <c r="AP100" s="37" t="s">
        <v>2963</v>
      </c>
      <c r="AQ100" s="37" t="s">
        <v>481</v>
      </c>
      <c r="AR100" s="18" t="s">
        <v>2909</v>
      </c>
      <c r="AS100" s="94" t="s">
        <v>2908</v>
      </c>
    </row>
    <row r="101" spans="1:45" s="37" customFormat="1" x14ac:dyDescent="0.2">
      <c r="A101" s="18" t="s">
        <v>510</v>
      </c>
      <c r="C101" s="33" t="s">
        <v>344</v>
      </c>
      <c r="D101" s="33" t="s">
        <v>2884</v>
      </c>
      <c r="E101" s="16" t="s">
        <v>2414</v>
      </c>
      <c r="F101" s="15" t="s">
        <v>2885</v>
      </c>
      <c r="G101" s="15" t="s">
        <v>2520</v>
      </c>
      <c r="H101" s="109">
        <v>7331423010035</v>
      </c>
      <c r="I101" s="109">
        <v>7331423101634</v>
      </c>
      <c r="J101" s="109">
        <v>7331423202331</v>
      </c>
      <c r="K101" s="109">
        <v>17331423202413</v>
      </c>
      <c r="L101" s="36" t="s">
        <v>568</v>
      </c>
      <c r="M101" s="253" t="s">
        <v>977</v>
      </c>
      <c r="N101" s="514"/>
      <c r="O101" s="514">
        <f>IF($C101="","",VLOOKUP($C101,'2017 Pricelist'!$C:$I,7,FALSE))</f>
        <v>2.99</v>
      </c>
      <c r="P101" s="140">
        <v>25</v>
      </c>
      <c r="Q101" s="189">
        <v>500</v>
      </c>
      <c r="R101" s="99">
        <f>CONVERT(10,"g","lbm")</f>
        <v>2.2046226218487758E-2</v>
      </c>
      <c r="S101" s="33">
        <f t="shared" si="45"/>
        <v>6.6929133858267722</v>
      </c>
      <c r="T101" s="100">
        <v>1.5</v>
      </c>
      <c r="U101" s="101">
        <v>0.875</v>
      </c>
      <c r="V101" s="44">
        <f t="shared" si="59"/>
        <v>2.1605301694118003E-2</v>
      </c>
      <c r="W101" s="33">
        <f t="shared" si="60"/>
        <v>1.4566929133858268</v>
      </c>
      <c r="X101" s="33">
        <f t="shared" si="61"/>
        <v>0.59055118110236215</v>
      </c>
      <c r="Y101" s="70">
        <f t="shared" si="62"/>
        <v>6.6929133858267713</v>
      </c>
      <c r="Z101" s="44">
        <f t="shared" si="63"/>
        <v>0.55203750451093347</v>
      </c>
      <c r="AA101" s="33">
        <f t="shared" si="64"/>
        <v>1.4566929133858268</v>
      </c>
      <c r="AB101" s="33">
        <f t="shared" si="65"/>
        <v>3.3070866141732287</v>
      </c>
      <c r="AC101" s="70">
        <f t="shared" si="66"/>
        <v>6.6929133858267713</v>
      </c>
      <c r="AD101" s="44">
        <f t="shared" si="67"/>
        <v>11.408922068067415</v>
      </c>
      <c r="AE101" s="33">
        <f t="shared" si="68"/>
        <v>12.007874015748031</v>
      </c>
      <c r="AF101" s="33">
        <f t="shared" si="69"/>
        <v>6.8897637795275584</v>
      </c>
      <c r="AG101" s="70">
        <f t="shared" si="70"/>
        <v>7.2834645669291342</v>
      </c>
      <c r="AH101" s="44">
        <f t="shared" si="43"/>
        <v>0.34871026220799889</v>
      </c>
      <c r="AI101" s="37" t="s">
        <v>2958</v>
      </c>
      <c r="AJ101" s="37" t="s">
        <v>2959</v>
      </c>
      <c r="AK101" s="37" t="s">
        <v>1849</v>
      </c>
      <c r="AL101" s="37" t="s">
        <v>2960</v>
      </c>
      <c r="AM101" s="37" t="s">
        <v>2961</v>
      </c>
      <c r="AN101" s="37" t="s">
        <v>1635</v>
      </c>
      <c r="AO101" s="37" t="s">
        <v>2962</v>
      </c>
      <c r="AP101" s="37" t="s">
        <v>2963</v>
      </c>
      <c r="AQ101" s="37" t="s">
        <v>481</v>
      </c>
      <c r="AR101" s="18" t="s">
        <v>2909</v>
      </c>
      <c r="AS101" s="94" t="s">
        <v>2908</v>
      </c>
    </row>
    <row r="102" spans="1:45" s="37" customFormat="1" x14ac:dyDescent="0.2">
      <c r="A102" s="18" t="s">
        <v>510</v>
      </c>
      <c r="C102" s="33" t="s">
        <v>344</v>
      </c>
      <c r="D102" s="33" t="s">
        <v>2886</v>
      </c>
      <c r="E102" s="16" t="s">
        <v>2414</v>
      </c>
      <c r="F102" s="15" t="s">
        <v>2887</v>
      </c>
      <c r="G102" s="15" t="s">
        <v>2520</v>
      </c>
      <c r="H102" s="109">
        <v>7331423010042</v>
      </c>
      <c r="I102" s="109">
        <v>7331423101641</v>
      </c>
      <c r="J102" s="109">
        <v>7331423202348</v>
      </c>
      <c r="K102" s="109">
        <v>17331423202420</v>
      </c>
      <c r="L102" s="36" t="s">
        <v>568</v>
      </c>
      <c r="M102" s="253" t="s">
        <v>977</v>
      </c>
      <c r="N102" s="514"/>
      <c r="O102" s="514">
        <f>IF($C102="","",VLOOKUP($C102,'2017 Pricelist'!$C:$I,7,FALSE))</f>
        <v>2.99</v>
      </c>
      <c r="P102" s="140">
        <v>25</v>
      </c>
      <c r="Q102" s="189">
        <v>500</v>
      </c>
      <c r="R102" s="99">
        <f>CONVERT(10,"g","lbm")</f>
        <v>2.2046226218487758E-2</v>
      </c>
      <c r="S102" s="33">
        <f t="shared" si="45"/>
        <v>6.6929133858267722</v>
      </c>
      <c r="T102" s="100">
        <v>1.5</v>
      </c>
      <c r="U102" s="101">
        <v>0.875</v>
      </c>
      <c r="V102" s="44">
        <f t="shared" si="59"/>
        <v>2.1605301694118003E-2</v>
      </c>
      <c r="W102" s="33">
        <f t="shared" si="60"/>
        <v>1.4566929133858268</v>
      </c>
      <c r="X102" s="33">
        <f t="shared" si="61"/>
        <v>0.59055118110236215</v>
      </c>
      <c r="Y102" s="70">
        <f t="shared" si="62"/>
        <v>6.6929133858267713</v>
      </c>
      <c r="Z102" s="44">
        <f t="shared" si="63"/>
        <v>0.55203750451093347</v>
      </c>
      <c r="AA102" s="33">
        <f t="shared" si="64"/>
        <v>1.4566929133858268</v>
      </c>
      <c r="AB102" s="33">
        <f t="shared" si="65"/>
        <v>3.3070866141732287</v>
      </c>
      <c r="AC102" s="70">
        <f t="shared" si="66"/>
        <v>6.6929133858267713</v>
      </c>
      <c r="AD102" s="44">
        <f t="shared" si="67"/>
        <v>11.408922068067415</v>
      </c>
      <c r="AE102" s="33">
        <f t="shared" si="68"/>
        <v>12.007874015748031</v>
      </c>
      <c r="AF102" s="33">
        <f t="shared" si="69"/>
        <v>6.8897637795275584</v>
      </c>
      <c r="AG102" s="70">
        <f t="shared" si="70"/>
        <v>7.2834645669291342</v>
      </c>
      <c r="AH102" s="44">
        <f t="shared" si="43"/>
        <v>0.34871026220799889</v>
      </c>
      <c r="AI102" s="37" t="s">
        <v>2958</v>
      </c>
      <c r="AJ102" s="37" t="s">
        <v>2959</v>
      </c>
      <c r="AK102" s="37" t="s">
        <v>1849</v>
      </c>
      <c r="AL102" s="37" t="s">
        <v>2960</v>
      </c>
      <c r="AM102" s="37" t="s">
        <v>2961</v>
      </c>
      <c r="AN102" s="37" t="s">
        <v>1635</v>
      </c>
      <c r="AO102" s="37" t="s">
        <v>2962</v>
      </c>
      <c r="AP102" s="37" t="s">
        <v>2963</v>
      </c>
      <c r="AQ102" s="37" t="s">
        <v>481</v>
      </c>
      <c r="AR102" s="18" t="s">
        <v>2909</v>
      </c>
      <c r="AS102" s="94" t="s">
        <v>2908</v>
      </c>
    </row>
    <row r="103" spans="1:45" s="172" customFormat="1" x14ac:dyDescent="0.2">
      <c r="A103" s="172" t="s">
        <v>2482</v>
      </c>
      <c r="B103" s="317"/>
      <c r="C103" s="151"/>
      <c r="D103" s="33" t="s">
        <v>529</v>
      </c>
      <c r="E103" s="199"/>
      <c r="F103" s="151"/>
      <c r="G103" s="151"/>
      <c r="H103" s="180"/>
      <c r="I103" s="180"/>
      <c r="J103" s="180"/>
      <c r="K103" s="180"/>
      <c r="L103" s="170"/>
      <c r="M103" s="170"/>
      <c r="N103" s="174"/>
      <c r="O103" s="174"/>
      <c r="P103" s="175"/>
      <c r="Q103" s="233"/>
      <c r="R103" s="151"/>
      <c r="S103" s="151"/>
      <c r="T103" s="151"/>
      <c r="U103" s="152"/>
      <c r="V103" s="150"/>
      <c r="W103" s="151"/>
      <c r="X103" s="151"/>
      <c r="Y103" s="152"/>
      <c r="Z103" s="150"/>
      <c r="AA103" s="151"/>
      <c r="AB103" s="151"/>
      <c r="AC103" s="152"/>
      <c r="AD103" s="150"/>
      <c r="AE103" s="182"/>
      <c r="AF103" s="182"/>
      <c r="AG103" s="152"/>
      <c r="AH103" s="150"/>
      <c r="AI103" s="161"/>
      <c r="AJ103" s="161"/>
      <c r="AK103" s="161"/>
      <c r="AL103" s="161"/>
      <c r="AM103" s="161"/>
      <c r="AN103" s="161"/>
      <c r="AO103" s="161"/>
      <c r="AP103" s="161"/>
      <c r="AQ103" s="161"/>
      <c r="AR103" s="183"/>
    </row>
    <row r="104" spans="1:45" s="18" customFormat="1" x14ac:dyDescent="0.2">
      <c r="A104" s="18" t="s">
        <v>510</v>
      </c>
      <c r="B104" s="125"/>
      <c r="C104" s="33" t="s">
        <v>588</v>
      </c>
      <c r="D104" s="33" t="s">
        <v>1054</v>
      </c>
      <c r="E104" s="34" t="s">
        <v>2817</v>
      </c>
      <c r="F104" s="33" t="s">
        <v>2791</v>
      </c>
      <c r="G104" s="33" t="s">
        <v>2521</v>
      </c>
      <c r="H104" s="77">
        <v>7331423006007</v>
      </c>
      <c r="I104" s="77" t="s">
        <v>259</v>
      </c>
      <c r="J104" s="77">
        <v>7331423006007</v>
      </c>
      <c r="K104" s="77">
        <v>17331423006007</v>
      </c>
      <c r="L104" s="36" t="s">
        <v>568</v>
      </c>
      <c r="M104" s="36" t="s">
        <v>977</v>
      </c>
      <c r="N104" s="504"/>
      <c r="O104" s="504">
        <f>IF($C104="","",VLOOKUP($C104,'2017 Pricelist'!$C:$I,7,FALSE))</f>
        <v>2.99</v>
      </c>
      <c r="P104" s="35">
        <v>1</v>
      </c>
      <c r="Q104" s="187">
        <v>1</v>
      </c>
      <c r="R104" s="99">
        <f>CONVERT(10,"g","lbm")</f>
        <v>2.2046226218487758E-2</v>
      </c>
      <c r="S104" s="33">
        <f>CONVERT(17,"cm","in")</f>
        <v>6.6929133858267722</v>
      </c>
      <c r="T104" s="100">
        <v>1.5</v>
      </c>
      <c r="U104" s="101">
        <v>0.875</v>
      </c>
      <c r="V104" s="99">
        <f>CONVERT(2650,"g","lbm")</f>
        <v>5.8422499478992558</v>
      </c>
      <c r="W104" s="100">
        <v>5.875</v>
      </c>
      <c r="X104" s="100">
        <v>5.875</v>
      </c>
      <c r="Y104" s="101">
        <v>12.875</v>
      </c>
      <c r="Z104" s="44" t="s">
        <v>259</v>
      </c>
      <c r="AA104" s="33" t="s">
        <v>259</v>
      </c>
      <c r="AB104" s="33" t="s">
        <v>259</v>
      </c>
      <c r="AC104" s="70" t="s">
        <v>259</v>
      </c>
      <c r="AD104" s="44">
        <f>CONVERT(3.2,"kg","lbm")</f>
        <v>7.0547923899160825</v>
      </c>
      <c r="AE104" s="33">
        <f t="shared" ref="AE104:AF106" si="72">CONVERT(160,"mm","in")</f>
        <v>6.2992125984251972</v>
      </c>
      <c r="AF104" s="33">
        <f t="shared" si="72"/>
        <v>6.2992125984251972</v>
      </c>
      <c r="AG104" s="70">
        <f>CONVERT(360,"mm","in")</f>
        <v>14.173228346456694</v>
      </c>
      <c r="AH104" s="44">
        <f>AE104*AF104*AG104/(12^3)</f>
        <v>0.32545996850523884</v>
      </c>
      <c r="AI104" s="37" t="s">
        <v>2965</v>
      </c>
      <c r="AJ104" s="37" t="s">
        <v>2959</v>
      </c>
      <c r="AK104" s="37" t="s">
        <v>1849</v>
      </c>
      <c r="AL104" s="37" t="s">
        <v>2960</v>
      </c>
      <c r="AM104" s="37" t="s">
        <v>2961</v>
      </c>
      <c r="AN104" s="37" t="s">
        <v>1635</v>
      </c>
      <c r="AO104" s="37" t="s">
        <v>2962</v>
      </c>
      <c r="AP104" s="37" t="s">
        <v>2963</v>
      </c>
      <c r="AQ104" s="37" t="s">
        <v>481</v>
      </c>
      <c r="AR104" s="18" t="s">
        <v>2909</v>
      </c>
      <c r="AS104" s="94" t="s">
        <v>2908</v>
      </c>
    </row>
    <row r="105" spans="1:45" s="18" customFormat="1" x14ac:dyDescent="0.2">
      <c r="A105" s="18" t="s">
        <v>510</v>
      </c>
      <c r="B105" s="125"/>
      <c r="C105" s="33" t="s">
        <v>588</v>
      </c>
      <c r="D105" s="33" t="s">
        <v>1741</v>
      </c>
      <c r="E105" s="34" t="s">
        <v>2817</v>
      </c>
      <c r="F105" s="33" t="s">
        <v>2776</v>
      </c>
      <c r="G105" s="33" t="s">
        <v>2521</v>
      </c>
      <c r="H105" s="77">
        <v>7331423008438</v>
      </c>
      <c r="I105" s="77" t="s">
        <v>259</v>
      </c>
      <c r="J105" s="77">
        <v>7331423008438</v>
      </c>
      <c r="K105" s="77">
        <v>17331423200143</v>
      </c>
      <c r="L105" s="36" t="s">
        <v>568</v>
      </c>
      <c r="M105" s="36" t="s">
        <v>977</v>
      </c>
      <c r="N105" s="504"/>
      <c r="O105" s="504">
        <f>IF($C105="","",VLOOKUP($C105,'2017 Pricelist'!$C:$I,7,FALSE))</f>
        <v>2.99</v>
      </c>
      <c r="P105" s="35">
        <v>1</v>
      </c>
      <c r="Q105" s="187">
        <v>1</v>
      </c>
      <c r="R105" s="99">
        <f>CONVERT(10,"g","lbm")</f>
        <v>2.2046226218487758E-2</v>
      </c>
      <c r="S105" s="33">
        <f>CONVERT(17,"cm","in")</f>
        <v>6.6929133858267722</v>
      </c>
      <c r="T105" s="100">
        <v>1.5</v>
      </c>
      <c r="U105" s="101">
        <v>0.875</v>
      </c>
      <c r="V105" s="99">
        <f>CONVERT(2650,"g","lbm")</f>
        <v>5.8422499478992558</v>
      </c>
      <c r="W105" s="100">
        <v>5.875</v>
      </c>
      <c r="X105" s="100">
        <v>5.875</v>
      </c>
      <c r="Y105" s="101">
        <v>12.875</v>
      </c>
      <c r="Z105" s="44" t="s">
        <v>259</v>
      </c>
      <c r="AA105" s="33" t="s">
        <v>259</v>
      </c>
      <c r="AB105" s="33" t="s">
        <v>259</v>
      </c>
      <c r="AC105" s="70" t="s">
        <v>259</v>
      </c>
      <c r="AD105" s="44">
        <f>CONVERT(3.2,"kg","lbm")</f>
        <v>7.0547923899160825</v>
      </c>
      <c r="AE105" s="33">
        <f t="shared" si="72"/>
        <v>6.2992125984251972</v>
      </c>
      <c r="AF105" s="33">
        <f t="shared" si="72"/>
        <v>6.2992125984251972</v>
      </c>
      <c r="AG105" s="70">
        <f>CONVERT(360,"mm","in")</f>
        <v>14.173228346456694</v>
      </c>
      <c r="AH105" s="44">
        <f>AE105*AF105*AG105/(12^3)</f>
        <v>0.32545996850523884</v>
      </c>
      <c r="AI105" s="37" t="s">
        <v>2965</v>
      </c>
      <c r="AJ105" s="37" t="s">
        <v>2959</v>
      </c>
      <c r="AK105" s="37" t="s">
        <v>1849</v>
      </c>
      <c r="AL105" s="37" t="s">
        <v>2960</v>
      </c>
      <c r="AM105" s="37" t="s">
        <v>2961</v>
      </c>
      <c r="AN105" s="37" t="s">
        <v>1635</v>
      </c>
      <c r="AO105" s="37" t="s">
        <v>2962</v>
      </c>
      <c r="AP105" s="37" t="s">
        <v>2963</v>
      </c>
      <c r="AQ105" s="37" t="s">
        <v>481</v>
      </c>
      <c r="AR105" s="18" t="s">
        <v>2909</v>
      </c>
      <c r="AS105" s="94" t="s">
        <v>2908</v>
      </c>
    </row>
    <row r="106" spans="1:45" s="18" customFormat="1" x14ac:dyDescent="0.2">
      <c r="A106" s="18" t="s">
        <v>510</v>
      </c>
      <c r="B106" s="37"/>
      <c r="C106" s="33" t="s">
        <v>588</v>
      </c>
      <c r="D106" s="33" t="s">
        <v>2889</v>
      </c>
      <c r="E106" s="34" t="s">
        <v>2817</v>
      </c>
      <c r="F106" s="33" t="s">
        <v>2881</v>
      </c>
      <c r="G106" s="33" t="s">
        <v>2521</v>
      </c>
      <c r="H106" s="77">
        <v>7331423010080</v>
      </c>
      <c r="I106" s="77">
        <v>7331423101689</v>
      </c>
      <c r="J106" s="77">
        <v>7331423202386</v>
      </c>
      <c r="K106" s="77">
        <v>17331423202468</v>
      </c>
      <c r="L106" s="36" t="s">
        <v>568</v>
      </c>
      <c r="M106" s="36" t="s">
        <v>977</v>
      </c>
      <c r="N106" s="504"/>
      <c r="O106" s="504">
        <f>IF($C106="","",VLOOKUP($C106,'2017 Pricelist'!$C:$I,7,FALSE))</f>
        <v>2.99</v>
      </c>
      <c r="P106" s="35">
        <v>1</v>
      </c>
      <c r="Q106" s="187">
        <v>1</v>
      </c>
      <c r="R106" s="99">
        <f>CONVERT(10,"g","lbm")</f>
        <v>2.2046226218487758E-2</v>
      </c>
      <c r="S106" s="33">
        <f>CONVERT(17,"cm","in")</f>
        <v>6.6929133858267722</v>
      </c>
      <c r="T106" s="100">
        <v>1.5</v>
      </c>
      <c r="U106" s="101">
        <v>0.875</v>
      </c>
      <c r="V106" s="99">
        <f>CONVERT(2650,"g","lbm")</f>
        <v>5.8422499478992558</v>
      </c>
      <c r="W106" s="100">
        <v>5.875</v>
      </c>
      <c r="X106" s="100">
        <v>5.875</v>
      </c>
      <c r="Y106" s="101">
        <v>12.875</v>
      </c>
      <c r="Z106" s="44" t="s">
        <v>259</v>
      </c>
      <c r="AA106" s="33" t="s">
        <v>259</v>
      </c>
      <c r="AB106" s="33" t="s">
        <v>259</v>
      </c>
      <c r="AC106" s="70" t="s">
        <v>259</v>
      </c>
      <c r="AD106" s="44">
        <f>CONVERT(3.2,"kg","lbm")</f>
        <v>7.0547923899160825</v>
      </c>
      <c r="AE106" s="33">
        <f t="shared" si="72"/>
        <v>6.2992125984251972</v>
      </c>
      <c r="AF106" s="33">
        <f t="shared" si="72"/>
        <v>6.2992125984251972</v>
      </c>
      <c r="AG106" s="70">
        <f>CONVERT(360,"mm","in")</f>
        <v>14.173228346456694</v>
      </c>
      <c r="AH106" s="44">
        <f>AE106*AF106*AG106/(12^3)</f>
        <v>0.32545996850523884</v>
      </c>
      <c r="AI106" s="37" t="s">
        <v>2965</v>
      </c>
      <c r="AJ106" s="37" t="s">
        <v>2959</v>
      </c>
      <c r="AK106" s="37" t="s">
        <v>1849</v>
      </c>
      <c r="AL106" s="37" t="s">
        <v>2960</v>
      </c>
      <c r="AM106" s="37" t="s">
        <v>2961</v>
      </c>
      <c r="AN106" s="37" t="s">
        <v>1635</v>
      </c>
      <c r="AO106" s="37" t="s">
        <v>2962</v>
      </c>
      <c r="AP106" s="37" t="s">
        <v>2963</v>
      </c>
      <c r="AQ106" s="37" t="s">
        <v>481</v>
      </c>
      <c r="AR106" s="18" t="s">
        <v>2909</v>
      </c>
      <c r="AS106" s="94" t="s">
        <v>2908</v>
      </c>
    </row>
    <row r="107" spans="1:45" s="172" customFormat="1" x14ac:dyDescent="0.2">
      <c r="A107" s="172" t="s">
        <v>2481</v>
      </c>
      <c r="B107" s="317"/>
      <c r="C107" s="151"/>
      <c r="D107" s="33" t="s">
        <v>529</v>
      </c>
      <c r="E107" s="199"/>
      <c r="F107" s="151"/>
      <c r="G107" s="151"/>
      <c r="H107" s="180"/>
      <c r="I107" s="180"/>
      <c r="J107" s="180"/>
      <c r="K107" s="180"/>
      <c r="L107" s="170"/>
      <c r="M107" s="170"/>
      <c r="N107" s="174"/>
      <c r="O107" s="174"/>
      <c r="P107" s="175"/>
      <c r="Q107" s="233"/>
      <c r="R107" s="151"/>
      <c r="S107" s="151"/>
      <c r="T107" s="151"/>
      <c r="U107" s="152"/>
      <c r="V107" s="44"/>
      <c r="W107" s="33"/>
      <c r="X107" s="33"/>
      <c r="Y107" s="70"/>
      <c r="Z107" s="44"/>
      <c r="AA107" s="33"/>
      <c r="AB107" s="33"/>
      <c r="AC107" s="70"/>
      <c r="AD107" s="44"/>
      <c r="AE107" s="33"/>
      <c r="AF107" s="33"/>
      <c r="AG107" s="70"/>
      <c r="AH107" s="150"/>
      <c r="AI107" s="161"/>
      <c r="AJ107" s="161"/>
      <c r="AK107" s="161"/>
      <c r="AL107" s="184"/>
      <c r="AM107" s="184"/>
      <c r="AN107" s="184"/>
      <c r="AO107" s="184"/>
      <c r="AP107" s="184"/>
      <c r="AR107" s="183"/>
    </row>
    <row r="108" spans="1:45" s="18" customFormat="1" x14ac:dyDescent="0.2">
      <c r="A108" s="18" t="s">
        <v>510</v>
      </c>
      <c r="B108" s="125"/>
      <c r="C108" s="19" t="s">
        <v>943</v>
      </c>
      <c r="D108" s="33" t="s">
        <v>1761</v>
      </c>
      <c r="E108" s="19" t="s">
        <v>2419</v>
      </c>
      <c r="F108" s="18" t="s">
        <v>1746</v>
      </c>
      <c r="G108" s="18" t="s">
        <v>2547</v>
      </c>
      <c r="H108" s="77">
        <v>7331423009077</v>
      </c>
      <c r="I108" s="77">
        <v>7331423101344</v>
      </c>
      <c r="J108" s="77">
        <v>7331423201624</v>
      </c>
      <c r="K108" s="77">
        <v>17331423201621</v>
      </c>
      <c r="L108" s="36" t="s">
        <v>568</v>
      </c>
      <c r="M108" s="36" t="s">
        <v>977</v>
      </c>
      <c r="N108" s="514"/>
      <c r="O108" s="514">
        <f>IF($C108="","",VLOOKUP($C108,'2017 Pricelist'!$C:$I,7,FALSE))</f>
        <v>7.99</v>
      </c>
      <c r="P108" s="35">
        <v>12</v>
      </c>
      <c r="Q108" s="187">
        <v>72</v>
      </c>
      <c r="R108" s="99">
        <f>CONVERT(18,"g","lbm")</f>
        <v>3.9683207193277961E-2</v>
      </c>
      <c r="S108" s="33">
        <f>CONVERT(17,"cm","in")</f>
        <v>6.6929133858267722</v>
      </c>
      <c r="T108" s="100">
        <v>1.5</v>
      </c>
      <c r="U108" s="101">
        <v>1</v>
      </c>
      <c r="V108" s="44">
        <f>CONVERT(0.034,"kg","lbm")</f>
        <v>7.4957169142858382E-2</v>
      </c>
      <c r="W108" s="33">
        <f>CONVERT(65,"mm","in")</f>
        <v>2.5590551181102366</v>
      </c>
      <c r="X108" s="33">
        <f>CONVERT(29,"mm","in")</f>
        <v>1.1417322834645671</v>
      </c>
      <c r="Y108" s="70">
        <f>CONVERT(242,"mm","in")</f>
        <v>9.5275590551181111</v>
      </c>
      <c r="Z108" s="44">
        <f>CONVERT(0.4762,"kg","lbm")</f>
        <v>1.049841292524387</v>
      </c>
      <c r="AA108" s="33">
        <f>CONVERT(146,"mm","in")</f>
        <v>5.7480314960629926</v>
      </c>
      <c r="AB108" s="33">
        <f>CONVERT(117,"mm","in")</f>
        <v>4.6062992125984259</v>
      </c>
      <c r="AC108" s="70">
        <f>CONVERT(247,"mm","in")</f>
        <v>9.7244094488188981</v>
      </c>
      <c r="AD108" s="44">
        <f>CONVERT(3.179,"kg","lbm")</f>
        <v>7.0084953148572575</v>
      </c>
      <c r="AE108" s="33">
        <f>CONVERT(350,"mm","in")</f>
        <v>13.779527559055117</v>
      </c>
      <c r="AF108" s="33">
        <f>CONVERT(305,"mm","in")</f>
        <v>12.007874015748031</v>
      </c>
      <c r="AG108" s="70">
        <f>CONVERT(261,"mm","in")</f>
        <v>10.275590551181102</v>
      </c>
      <c r="AH108" s="44">
        <f>AE108*AF108*AG108/(12^3)</f>
        <v>0.98392841552743471</v>
      </c>
      <c r="AI108" s="37" t="s">
        <v>2759</v>
      </c>
      <c r="AJ108" s="18" t="s">
        <v>2978</v>
      </c>
      <c r="AK108" s="37" t="s">
        <v>2959</v>
      </c>
      <c r="AL108" s="37" t="s">
        <v>1849</v>
      </c>
      <c r="AM108" s="37" t="s">
        <v>2960</v>
      </c>
      <c r="AN108" s="37" t="s">
        <v>2961</v>
      </c>
      <c r="AO108" s="37" t="s">
        <v>2979</v>
      </c>
      <c r="AP108" s="37" t="s">
        <v>2963</v>
      </c>
      <c r="AQ108" s="12" t="s">
        <v>2967</v>
      </c>
      <c r="AR108" s="18" t="s">
        <v>2909</v>
      </c>
      <c r="AS108" s="94" t="s">
        <v>2908</v>
      </c>
    </row>
    <row r="109" spans="1:45" s="18" customFormat="1" x14ac:dyDescent="0.2">
      <c r="A109" s="18" t="s">
        <v>510</v>
      </c>
      <c r="B109" s="125"/>
      <c r="C109" s="19" t="s">
        <v>943</v>
      </c>
      <c r="D109" s="33" t="s">
        <v>1743</v>
      </c>
      <c r="E109" s="19" t="s">
        <v>2419</v>
      </c>
      <c r="F109" s="18" t="s">
        <v>2822</v>
      </c>
      <c r="G109" s="18" t="s">
        <v>2547</v>
      </c>
      <c r="H109" s="77">
        <v>7331423009084</v>
      </c>
      <c r="I109" s="77">
        <v>7331423101351</v>
      </c>
      <c r="J109" s="77">
        <v>7331423201631</v>
      </c>
      <c r="K109" s="77">
        <v>17331423201638</v>
      </c>
      <c r="L109" s="36" t="s">
        <v>568</v>
      </c>
      <c r="M109" s="36" t="s">
        <v>977</v>
      </c>
      <c r="N109" s="514"/>
      <c r="O109" s="514">
        <f>IF($C109="","",VLOOKUP($C109,'2017 Pricelist'!$C:$I,7,FALSE))</f>
        <v>7.99</v>
      </c>
      <c r="P109" s="35">
        <v>12</v>
      </c>
      <c r="Q109" s="187">
        <v>72</v>
      </c>
      <c r="R109" s="99">
        <f>CONVERT(18,"g","lbm")</f>
        <v>3.9683207193277961E-2</v>
      </c>
      <c r="S109" s="33">
        <f>CONVERT(17,"cm","in")</f>
        <v>6.6929133858267722</v>
      </c>
      <c r="T109" s="100">
        <v>1.5</v>
      </c>
      <c r="U109" s="101">
        <v>1</v>
      </c>
      <c r="V109" s="44">
        <f>CONVERT(0.034,"kg","lbm")</f>
        <v>7.4957169142858382E-2</v>
      </c>
      <c r="W109" s="33">
        <f>CONVERT(65,"mm","in")</f>
        <v>2.5590551181102366</v>
      </c>
      <c r="X109" s="33">
        <f>CONVERT(29,"mm","in")</f>
        <v>1.1417322834645671</v>
      </c>
      <c r="Y109" s="70">
        <f>CONVERT(242,"mm","in")</f>
        <v>9.5275590551181111</v>
      </c>
      <c r="Z109" s="44">
        <f>CONVERT(0.4762,"kg","lbm")</f>
        <v>1.049841292524387</v>
      </c>
      <c r="AA109" s="33">
        <f>CONVERT(146,"mm","in")</f>
        <v>5.7480314960629926</v>
      </c>
      <c r="AB109" s="33">
        <f>CONVERT(117,"mm","in")</f>
        <v>4.6062992125984259</v>
      </c>
      <c r="AC109" s="70">
        <f>CONVERT(247,"mm","in")</f>
        <v>9.7244094488188981</v>
      </c>
      <c r="AD109" s="44">
        <f>CONVERT(3.179,"kg","lbm")</f>
        <v>7.0084953148572575</v>
      </c>
      <c r="AE109" s="33">
        <f>CONVERT(350,"mm","in")</f>
        <v>13.779527559055117</v>
      </c>
      <c r="AF109" s="33">
        <f>CONVERT(305,"mm","in")</f>
        <v>12.007874015748031</v>
      </c>
      <c r="AG109" s="70">
        <f>CONVERT(261,"mm","in")</f>
        <v>10.275590551181102</v>
      </c>
      <c r="AH109" s="44">
        <f>AE109*AF109*AG109/(12^3)</f>
        <v>0.98392841552743471</v>
      </c>
      <c r="AI109" s="37" t="s">
        <v>2759</v>
      </c>
      <c r="AJ109" s="18" t="s">
        <v>2978</v>
      </c>
      <c r="AK109" s="37" t="s">
        <v>2959</v>
      </c>
      <c r="AL109" s="37" t="s">
        <v>1849</v>
      </c>
      <c r="AM109" s="37" t="s">
        <v>2960</v>
      </c>
      <c r="AN109" s="37" t="s">
        <v>2961</v>
      </c>
      <c r="AO109" s="37" t="s">
        <v>2979</v>
      </c>
      <c r="AP109" s="37" t="s">
        <v>2963</v>
      </c>
      <c r="AQ109" s="12" t="s">
        <v>2967</v>
      </c>
      <c r="AR109" s="18" t="s">
        <v>2909</v>
      </c>
      <c r="AS109" s="94" t="s">
        <v>2908</v>
      </c>
    </row>
    <row r="110" spans="1:45" s="172" customFormat="1" x14ac:dyDescent="0.2">
      <c r="A110" s="172" t="s">
        <v>2479</v>
      </c>
      <c r="B110" s="317"/>
      <c r="C110" s="149"/>
      <c r="D110" s="33" t="s">
        <v>529</v>
      </c>
      <c r="E110" s="200"/>
      <c r="H110" s="201"/>
      <c r="I110" s="201"/>
      <c r="J110" s="201"/>
      <c r="K110" s="201"/>
      <c r="L110" s="170"/>
      <c r="M110" s="170"/>
      <c r="N110" s="174"/>
      <c r="O110" s="174"/>
      <c r="P110" s="175"/>
      <c r="Q110" s="233"/>
      <c r="R110" s="151"/>
      <c r="S110" s="151"/>
      <c r="T110" s="151"/>
      <c r="U110" s="152"/>
      <c r="V110" s="150"/>
      <c r="W110" s="151"/>
      <c r="X110" s="151"/>
      <c r="Y110" s="152"/>
      <c r="Z110" s="150"/>
      <c r="AA110" s="151"/>
      <c r="AB110" s="151"/>
      <c r="AC110" s="152"/>
      <c r="AD110" s="150"/>
      <c r="AE110" s="151"/>
      <c r="AF110" s="151"/>
      <c r="AG110" s="152"/>
      <c r="AH110" s="150"/>
      <c r="AI110" s="161"/>
      <c r="AK110" s="184"/>
      <c r="AL110" s="161"/>
      <c r="AM110" s="161"/>
      <c r="AN110" s="161"/>
      <c r="AO110" s="161"/>
      <c r="AP110" s="161"/>
      <c r="AQ110" s="185"/>
      <c r="AR110" s="183"/>
      <c r="AS110" s="179"/>
    </row>
    <row r="111" spans="1:45" s="18" customFormat="1" x14ac:dyDescent="0.2">
      <c r="A111" s="18" t="s">
        <v>510</v>
      </c>
      <c r="B111" s="125"/>
      <c r="C111" s="19" t="s">
        <v>1860</v>
      </c>
      <c r="D111" s="15" t="s">
        <v>1761</v>
      </c>
      <c r="E111" s="19" t="s">
        <v>1861</v>
      </c>
      <c r="F111" s="19" t="s">
        <v>1746</v>
      </c>
      <c r="G111" s="18" t="s">
        <v>2547</v>
      </c>
      <c r="H111" s="76">
        <v>7331423008551</v>
      </c>
      <c r="I111" s="77">
        <v>7331423101450</v>
      </c>
      <c r="J111" s="77">
        <v>7331423201730</v>
      </c>
      <c r="K111" s="77">
        <v>17331423201737</v>
      </c>
      <c r="L111" s="27" t="s">
        <v>568</v>
      </c>
      <c r="M111" s="27" t="s">
        <v>977</v>
      </c>
      <c r="N111" s="514"/>
      <c r="O111" s="514">
        <f>IF($C111="","",VLOOKUP($C111,'2017 Pricelist'!$C:$I,7,FALSE))</f>
        <v>7.99</v>
      </c>
      <c r="P111" s="35">
        <v>12</v>
      </c>
      <c r="Q111" s="187">
        <v>72</v>
      </c>
      <c r="R111" s="99">
        <f>CONVERT(39,"g","lbm")</f>
        <v>8.5980282252102247E-2</v>
      </c>
      <c r="S111" s="33">
        <v>7.5</v>
      </c>
      <c r="T111" s="33">
        <v>1.8</v>
      </c>
      <c r="U111" s="70">
        <v>1.1000000000000001</v>
      </c>
      <c r="V111" s="44">
        <f>CONVERT(55,"g","lbm")</f>
        <v>0.12125424420168267</v>
      </c>
      <c r="W111" s="33">
        <v>2.5625</v>
      </c>
      <c r="X111" s="33">
        <v>1.5</v>
      </c>
      <c r="Y111" s="70">
        <v>10.625</v>
      </c>
      <c r="Z111" s="99">
        <v>1.65</v>
      </c>
      <c r="AA111" s="100">
        <v>7.6875</v>
      </c>
      <c r="AB111" s="100">
        <v>4.75</v>
      </c>
      <c r="AC111" s="101">
        <v>10.875</v>
      </c>
      <c r="AD111" s="44">
        <v>10.95</v>
      </c>
      <c r="AE111" s="33">
        <v>15.25</v>
      </c>
      <c r="AF111" s="33">
        <v>14.5</v>
      </c>
      <c r="AG111" s="70">
        <v>11.5</v>
      </c>
      <c r="AH111" s="42">
        <f>AE111*AF111*AG111/(12^3)</f>
        <v>1.471607349537037</v>
      </c>
      <c r="AI111" s="18" t="s">
        <v>2970</v>
      </c>
      <c r="AJ111" s="37" t="s">
        <v>2969</v>
      </c>
      <c r="AK111" s="18" t="s">
        <v>2971</v>
      </c>
      <c r="AL111" s="37" t="s">
        <v>2972</v>
      </c>
      <c r="AM111" s="18" t="s">
        <v>1635</v>
      </c>
      <c r="AN111" s="18" t="s">
        <v>2973</v>
      </c>
      <c r="AQ111" s="12" t="s">
        <v>2968</v>
      </c>
      <c r="AR111" s="18" t="s">
        <v>2909</v>
      </c>
      <c r="AS111" s="94" t="s">
        <v>2908</v>
      </c>
    </row>
    <row r="112" spans="1:45" s="18" customFormat="1" x14ac:dyDescent="0.2">
      <c r="A112" s="18" t="s">
        <v>510</v>
      </c>
      <c r="B112" s="125"/>
      <c r="C112" s="19" t="s">
        <v>1860</v>
      </c>
      <c r="D112" s="15" t="s">
        <v>1766</v>
      </c>
      <c r="E112" s="19" t="s">
        <v>1861</v>
      </c>
      <c r="F112" s="19" t="s">
        <v>1770</v>
      </c>
      <c r="G112" s="18" t="s">
        <v>2547</v>
      </c>
      <c r="H112" s="77">
        <v>7331423008568</v>
      </c>
      <c r="I112" s="77">
        <v>7331423101467</v>
      </c>
      <c r="J112" s="77">
        <v>7331423201747</v>
      </c>
      <c r="K112" s="77">
        <v>17331423201744</v>
      </c>
      <c r="L112" s="27" t="s">
        <v>568</v>
      </c>
      <c r="M112" s="27" t="s">
        <v>977</v>
      </c>
      <c r="N112" s="514"/>
      <c r="O112" s="514">
        <f>IF($C112="","",VLOOKUP($C112,'2017 Pricelist'!$C:$I,7,FALSE))</f>
        <v>7.99</v>
      </c>
      <c r="P112" s="35">
        <v>12</v>
      </c>
      <c r="Q112" s="187">
        <v>72</v>
      </c>
      <c r="R112" s="99">
        <f>CONVERT(39,"g","lbm")</f>
        <v>8.5980282252102247E-2</v>
      </c>
      <c r="S112" s="33">
        <v>7.5</v>
      </c>
      <c r="T112" s="33">
        <v>1.8</v>
      </c>
      <c r="U112" s="70">
        <v>1.1000000000000001</v>
      </c>
      <c r="V112" s="44">
        <f>CONVERT(55,"g","lbm")</f>
        <v>0.12125424420168267</v>
      </c>
      <c r="W112" s="33">
        <v>2.5625</v>
      </c>
      <c r="X112" s="33">
        <v>1.5</v>
      </c>
      <c r="Y112" s="70">
        <v>10.625</v>
      </c>
      <c r="Z112" s="99">
        <v>1.65</v>
      </c>
      <c r="AA112" s="100">
        <v>7.6875</v>
      </c>
      <c r="AB112" s="100">
        <v>4.75</v>
      </c>
      <c r="AC112" s="101">
        <v>10.875</v>
      </c>
      <c r="AD112" s="44">
        <v>10.95</v>
      </c>
      <c r="AE112" s="33">
        <v>15.25</v>
      </c>
      <c r="AF112" s="33">
        <v>14.5</v>
      </c>
      <c r="AG112" s="70">
        <v>11.5</v>
      </c>
      <c r="AH112" s="42">
        <f>AE112*AF112*AG112/(12^3)</f>
        <v>1.471607349537037</v>
      </c>
      <c r="AI112" s="18" t="s">
        <v>2970</v>
      </c>
      <c r="AJ112" s="37" t="s">
        <v>2969</v>
      </c>
      <c r="AK112" s="18" t="s">
        <v>2971</v>
      </c>
      <c r="AL112" s="37" t="s">
        <v>2972</v>
      </c>
      <c r="AM112" s="18" t="s">
        <v>1635</v>
      </c>
      <c r="AN112" s="18" t="s">
        <v>2973</v>
      </c>
      <c r="AQ112" s="12" t="s">
        <v>2968</v>
      </c>
      <c r="AR112" s="18" t="s">
        <v>2909</v>
      </c>
      <c r="AS112" s="94" t="s">
        <v>2908</v>
      </c>
    </row>
    <row r="113" spans="1:45" s="18" customFormat="1" x14ac:dyDescent="0.2">
      <c r="A113" s="18" t="s">
        <v>510</v>
      </c>
      <c r="B113" s="125"/>
      <c r="C113" s="19" t="s">
        <v>1860</v>
      </c>
      <c r="D113" s="15" t="s">
        <v>1743</v>
      </c>
      <c r="E113" s="19" t="s">
        <v>1861</v>
      </c>
      <c r="F113" s="19" t="s">
        <v>2822</v>
      </c>
      <c r="G113" s="18" t="s">
        <v>2547</v>
      </c>
      <c r="H113" s="77">
        <v>7331423008575</v>
      </c>
      <c r="I113" s="77">
        <v>7331423101474</v>
      </c>
      <c r="J113" s="77">
        <v>7331423201754</v>
      </c>
      <c r="K113" s="77">
        <v>17331423201751</v>
      </c>
      <c r="L113" s="27" t="s">
        <v>568</v>
      </c>
      <c r="M113" s="27" t="s">
        <v>977</v>
      </c>
      <c r="N113" s="514"/>
      <c r="O113" s="514">
        <f>IF($C113="","",VLOOKUP($C113,'2017 Pricelist'!$C:$I,7,FALSE))</f>
        <v>7.99</v>
      </c>
      <c r="P113" s="35">
        <v>12</v>
      </c>
      <c r="Q113" s="187">
        <v>72</v>
      </c>
      <c r="R113" s="99">
        <f>CONVERT(39,"g","lbm")</f>
        <v>8.5980282252102247E-2</v>
      </c>
      <c r="S113" s="33">
        <v>7.5</v>
      </c>
      <c r="T113" s="33">
        <v>1.8</v>
      </c>
      <c r="U113" s="70">
        <v>1.1000000000000001</v>
      </c>
      <c r="V113" s="44">
        <f>CONVERT(55,"g","lbm")</f>
        <v>0.12125424420168267</v>
      </c>
      <c r="W113" s="33">
        <v>2.5625</v>
      </c>
      <c r="X113" s="33">
        <v>1.5</v>
      </c>
      <c r="Y113" s="70">
        <v>10.625</v>
      </c>
      <c r="Z113" s="99">
        <v>1.65</v>
      </c>
      <c r="AA113" s="100">
        <v>7.6875</v>
      </c>
      <c r="AB113" s="100">
        <v>4.75</v>
      </c>
      <c r="AC113" s="101">
        <v>10.875</v>
      </c>
      <c r="AD113" s="44">
        <v>10.95</v>
      </c>
      <c r="AE113" s="33">
        <v>15.25</v>
      </c>
      <c r="AF113" s="33">
        <v>14.5</v>
      </c>
      <c r="AG113" s="70">
        <v>11.5</v>
      </c>
      <c r="AH113" s="42">
        <f>AE113*AF113*AG113/(12^3)</f>
        <v>1.471607349537037</v>
      </c>
      <c r="AI113" s="18" t="s">
        <v>2970</v>
      </c>
      <c r="AJ113" s="37" t="s">
        <v>2969</v>
      </c>
      <c r="AK113" s="18" t="s">
        <v>2971</v>
      </c>
      <c r="AL113" s="37" t="s">
        <v>2972</v>
      </c>
      <c r="AM113" s="18" t="s">
        <v>1635</v>
      </c>
      <c r="AN113" s="18" t="s">
        <v>2973</v>
      </c>
      <c r="AQ113" s="12" t="s">
        <v>2968</v>
      </c>
      <c r="AR113" s="18" t="s">
        <v>2909</v>
      </c>
      <c r="AS113" s="94" t="s">
        <v>2908</v>
      </c>
    </row>
    <row r="114" spans="1:45" s="18" customFormat="1" x14ac:dyDescent="0.2">
      <c r="A114" s="18" t="s">
        <v>510</v>
      </c>
      <c r="B114" s="125"/>
      <c r="C114" s="19" t="s">
        <v>1860</v>
      </c>
      <c r="D114" s="15" t="s">
        <v>1741</v>
      </c>
      <c r="E114" s="19" t="s">
        <v>1861</v>
      </c>
      <c r="F114" s="19" t="s">
        <v>2786</v>
      </c>
      <c r="G114" s="18" t="s">
        <v>2547</v>
      </c>
      <c r="H114" s="77">
        <v>7331423008612</v>
      </c>
      <c r="I114" s="77">
        <v>7331423008582</v>
      </c>
      <c r="J114" s="77">
        <v>7331423201761</v>
      </c>
      <c r="K114" s="77">
        <v>17331423201768</v>
      </c>
      <c r="L114" s="27" t="s">
        <v>568</v>
      </c>
      <c r="M114" s="27" t="s">
        <v>977</v>
      </c>
      <c r="N114" s="514"/>
      <c r="O114" s="514">
        <f>IF($C114="","",VLOOKUP($C114,'2017 Pricelist'!$C:$I,7,FALSE))</f>
        <v>7.99</v>
      </c>
      <c r="P114" s="35">
        <v>12</v>
      </c>
      <c r="Q114" s="187">
        <v>72</v>
      </c>
      <c r="R114" s="99">
        <f>CONVERT(39,"g","lbm")</f>
        <v>8.5980282252102247E-2</v>
      </c>
      <c r="S114" s="33">
        <v>7.5</v>
      </c>
      <c r="T114" s="33">
        <v>1.8</v>
      </c>
      <c r="U114" s="70">
        <v>1.1000000000000001</v>
      </c>
      <c r="V114" s="44">
        <f>CONVERT(55,"g","lbm")</f>
        <v>0.12125424420168267</v>
      </c>
      <c r="W114" s="33">
        <v>2.5625</v>
      </c>
      <c r="X114" s="33">
        <v>1.5</v>
      </c>
      <c r="Y114" s="70">
        <v>10.625</v>
      </c>
      <c r="Z114" s="99">
        <v>1.65</v>
      </c>
      <c r="AA114" s="100">
        <v>7.6875</v>
      </c>
      <c r="AB114" s="100">
        <v>4.75</v>
      </c>
      <c r="AC114" s="101">
        <v>10.875</v>
      </c>
      <c r="AD114" s="44">
        <v>10.95</v>
      </c>
      <c r="AE114" s="33">
        <v>15.25</v>
      </c>
      <c r="AF114" s="33">
        <v>14.5</v>
      </c>
      <c r="AG114" s="70">
        <v>11.5</v>
      </c>
      <c r="AH114" s="42">
        <f>AE114*AF114*AG114/(12^3)</f>
        <v>1.471607349537037</v>
      </c>
      <c r="AI114" s="18" t="s">
        <v>2970</v>
      </c>
      <c r="AJ114" s="37" t="s">
        <v>2969</v>
      </c>
      <c r="AK114" s="18" t="s">
        <v>2971</v>
      </c>
      <c r="AL114" s="37" t="s">
        <v>2972</v>
      </c>
      <c r="AM114" s="18" t="s">
        <v>1635</v>
      </c>
      <c r="AN114" s="18" t="s">
        <v>2973</v>
      </c>
      <c r="AQ114" s="12" t="s">
        <v>2968</v>
      </c>
      <c r="AR114" s="18" t="s">
        <v>2909</v>
      </c>
      <c r="AS114" s="94" t="s">
        <v>2908</v>
      </c>
    </row>
    <row r="115" spans="1:45" s="172" customFormat="1" x14ac:dyDescent="0.2">
      <c r="A115" s="172" t="s">
        <v>2729</v>
      </c>
      <c r="B115" s="317"/>
      <c r="C115" s="151"/>
      <c r="D115" s="33" t="s">
        <v>529</v>
      </c>
      <c r="E115" s="199"/>
      <c r="F115" s="151"/>
      <c r="G115" s="151"/>
      <c r="H115" s="171"/>
      <c r="I115" s="171"/>
      <c r="J115" s="171"/>
      <c r="K115" s="171"/>
      <c r="L115" s="170"/>
      <c r="M115" s="170"/>
      <c r="N115" s="174"/>
      <c r="O115" s="174"/>
      <c r="P115" s="175"/>
      <c r="Q115" s="233"/>
      <c r="R115" s="151"/>
      <c r="S115" s="151"/>
      <c r="T115" s="151"/>
      <c r="U115" s="152"/>
      <c r="V115" s="176"/>
      <c r="W115" s="177"/>
      <c r="X115" s="177"/>
      <c r="Y115" s="178"/>
      <c r="Z115" s="176"/>
      <c r="AA115" s="177"/>
      <c r="AB115" s="177"/>
      <c r="AC115" s="178"/>
      <c r="AD115" s="150"/>
      <c r="AE115" s="151"/>
      <c r="AF115" s="151"/>
      <c r="AG115" s="152"/>
      <c r="AH115" s="150"/>
      <c r="AI115" s="161"/>
      <c r="AJ115" s="161"/>
      <c r="AK115" s="161"/>
      <c r="AL115" s="161"/>
      <c r="AM115" s="161"/>
      <c r="AN115" s="161"/>
      <c r="AO115" s="161"/>
      <c r="AP115" s="161"/>
      <c r="AQ115" s="161"/>
      <c r="AR115" s="183"/>
    </row>
    <row r="116" spans="1:45" s="14" customFormat="1" x14ac:dyDescent="0.2">
      <c r="A116" s="14" t="s">
        <v>510</v>
      </c>
      <c r="B116" s="127"/>
      <c r="C116" s="33" t="s">
        <v>956</v>
      </c>
      <c r="D116" s="33" t="s">
        <v>374</v>
      </c>
      <c r="E116" s="16" t="s">
        <v>2415</v>
      </c>
      <c r="F116" s="15" t="s">
        <v>219</v>
      </c>
      <c r="G116" s="15" t="s">
        <v>2520</v>
      </c>
      <c r="H116" s="76">
        <v>7331423002429</v>
      </c>
      <c r="I116" s="360" t="s">
        <v>259</v>
      </c>
      <c r="J116" s="76">
        <v>7331423002429</v>
      </c>
      <c r="K116" s="77" t="s">
        <v>259</v>
      </c>
      <c r="L116" s="36" t="s">
        <v>568</v>
      </c>
      <c r="M116" s="27" t="s">
        <v>977</v>
      </c>
      <c r="N116" s="514"/>
      <c r="O116" s="514">
        <f>IF($C116="","",VLOOKUP($C116,'2017 Pricelist'!$C:$I,7,FALSE))</f>
        <v>3.99</v>
      </c>
      <c r="P116" s="35">
        <v>25</v>
      </c>
      <c r="Q116" s="187">
        <v>200</v>
      </c>
      <c r="R116" s="44">
        <f>CONVERT(16,"g","lbm")</f>
        <v>3.5273961949580414E-2</v>
      </c>
      <c r="S116" s="33">
        <f t="shared" ref="S116:S124" si="73">CONVERT(200,"mm","in")</f>
        <v>7.8740157480314963</v>
      </c>
      <c r="T116" s="33">
        <f t="shared" ref="T116:T124" si="74">CONVERT(42,"mm","in")</f>
        <v>1.6535433070866143</v>
      </c>
      <c r="U116" s="70">
        <v>1</v>
      </c>
      <c r="V116" s="44">
        <f>CONVERT(15,"g","lbm")</f>
        <v>3.3069339327731637E-2</v>
      </c>
      <c r="W116" s="33">
        <v>1.625</v>
      </c>
      <c r="X116" s="33">
        <v>1.25</v>
      </c>
      <c r="Y116" s="70">
        <v>7.875</v>
      </c>
      <c r="Z116" s="99">
        <f>CONVERT(390,"g","lbm")</f>
        <v>0.85980282252102258</v>
      </c>
      <c r="AA116" s="33">
        <v>3.5</v>
      </c>
      <c r="AB116" s="100">
        <v>1.625</v>
      </c>
      <c r="AC116" s="101">
        <v>7.875</v>
      </c>
      <c r="AD116" s="44">
        <f>CONVERT(3390,"g","lbm")</f>
        <v>7.47367068806735</v>
      </c>
      <c r="AE116" s="33">
        <v>13.25</v>
      </c>
      <c r="AF116" s="33">
        <v>8.3125</v>
      </c>
      <c r="AG116" s="70">
        <v>4.125</v>
      </c>
      <c r="AH116" s="42">
        <f t="shared" ref="AH116:AH124" si="75">AE116*AF116*AG116/(12^3)</f>
        <v>0.26292249891493058</v>
      </c>
      <c r="AI116" s="37" t="s">
        <v>2975</v>
      </c>
      <c r="AJ116" s="37" t="s">
        <v>2977</v>
      </c>
      <c r="AK116" s="37" t="s">
        <v>2959</v>
      </c>
      <c r="AL116" s="37" t="s">
        <v>1849</v>
      </c>
      <c r="AM116" s="37" t="s">
        <v>2980</v>
      </c>
      <c r="AN116" s="37" t="s">
        <v>2961</v>
      </c>
      <c r="AO116" s="37" t="s">
        <v>2979</v>
      </c>
      <c r="AP116" s="37" t="s">
        <v>2981</v>
      </c>
      <c r="AQ116" s="37" t="s">
        <v>2974</v>
      </c>
      <c r="AR116" s="18" t="s">
        <v>2909</v>
      </c>
      <c r="AS116" s="94" t="s">
        <v>2908</v>
      </c>
    </row>
    <row r="117" spans="1:45" s="14" customFormat="1" x14ac:dyDescent="0.2">
      <c r="A117" s="14" t="s">
        <v>510</v>
      </c>
      <c r="B117" s="127"/>
      <c r="C117" s="33" t="s">
        <v>956</v>
      </c>
      <c r="D117" s="33" t="s">
        <v>371</v>
      </c>
      <c r="E117" s="16" t="s">
        <v>2415</v>
      </c>
      <c r="F117" s="15" t="s">
        <v>218</v>
      </c>
      <c r="G117" s="15" t="s">
        <v>2520</v>
      </c>
      <c r="H117" s="76">
        <v>7331423002436</v>
      </c>
      <c r="I117" s="360" t="s">
        <v>259</v>
      </c>
      <c r="J117" s="76">
        <v>7331423002436</v>
      </c>
      <c r="K117" s="360" t="s">
        <v>259</v>
      </c>
      <c r="L117" s="36" t="s">
        <v>568</v>
      </c>
      <c r="M117" s="27" t="s">
        <v>977</v>
      </c>
      <c r="N117" s="514"/>
      <c r="O117" s="514">
        <f>IF($C117="","",VLOOKUP($C117,'2017 Pricelist'!$C:$I,7,FALSE))</f>
        <v>3.99</v>
      </c>
      <c r="P117" s="35">
        <v>25</v>
      </c>
      <c r="Q117" s="187">
        <v>200</v>
      </c>
      <c r="R117" s="44">
        <f>CONVERT(16,"g","lbm")</f>
        <v>3.5273961949580414E-2</v>
      </c>
      <c r="S117" s="33">
        <f t="shared" si="73"/>
        <v>7.8740157480314963</v>
      </c>
      <c r="T117" s="33">
        <f t="shared" si="74"/>
        <v>1.6535433070866143</v>
      </c>
      <c r="U117" s="70">
        <v>1</v>
      </c>
      <c r="V117" s="44">
        <f>CONVERT(15,"g","lbm")</f>
        <v>3.3069339327731637E-2</v>
      </c>
      <c r="W117" s="33">
        <v>1.625</v>
      </c>
      <c r="X117" s="33">
        <v>1.25</v>
      </c>
      <c r="Y117" s="70">
        <v>7.875</v>
      </c>
      <c r="Z117" s="99">
        <f>CONVERT(390,"g","lbm")</f>
        <v>0.85980282252102258</v>
      </c>
      <c r="AA117" s="33">
        <v>3.5</v>
      </c>
      <c r="AB117" s="100">
        <v>1.625</v>
      </c>
      <c r="AC117" s="101">
        <v>7.875</v>
      </c>
      <c r="AD117" s="44">
        <f>CONVERT(3390,"g","lbm")</f>
        <v>7.47367068806735</v>
      </c>
      <c r="AE117" s="33">
        <v>13.25</v>
      </c>
      <c r="AF117" s="33">
        <v>8.3125</v>
      </c>
      <c r="AG117" s="70">
        <v>4.125</v>
      </c>
      <c r="AH117" s="42">
        <f t="shared" si="75"/>
        <v>0.26292249891493058</v>
      </c>
      <c r="AI117" s="37" t="s">
        <v>2975</v>
      </c>
      <c r="AJ117" s="37" t="s">
        <v>2977</v>
      </c>
      <c r="AK117" s="37" t="s">
        <v>2959</v>
      </c>
      <c r="AL117" s="37" t="s">
        <v>1849</v>
      </c>
      <c r="AM117" s="37" t="s">
        <v>2980</v>
      </c>
      <c r="AN117" s="37" t="s">
        <v>2961</v>
      </c>
      <c r="AO117" s="37" t="s">
        <v>2979</v>
      </c>
      <c r="AP117" s="37" t="s">
        <v>2981</v>
      </c>
      <c r="AQ117" s="37" t="s">
        <v>2974</v>
      </c>
      <c r="AR117" s="18" t="s">
        <v>2909</v>
      </c>
      <c r="AS117" s="94" t="s">
        <v>2908</v>
      </c>
    </row>
    <row r="118" spans="1:45" s="14" customFormat="1" x14ac:dyDescent="0.2">
      <c r="A118" s="14" t="s">
        <v>510</v>
      </c>
      <c r="B118" s="127"/>
      <c r="C118" s="33" t="s">
        <v>956</v>
      </c>
      <c r="D118" s="33" t="s">
        <v>1739</v>
      </c>
      <c r="E118" s="16" t="s">
        <v>2415</v>
      </c>
      <c r="F118" s="15" t="s">
        <v>1859</v>
      </c>
      <c r="G118" s="15" t="s">
        <v>2520</v>
      </c>
      <c r="H118" s="77">
        <v>7331423002238</v>
      </c>
      <c r="I118" s="77"/>
      <c r="J118" s="77"/>
      <c r="K118" s="77"/>
      <c r="L118" s="36" t="s">
        <v>568</v>
      </c>
      <c r="M118" s="27" t="s">
        <v>977</v>
      </c>
      <c r="N118" s="514"/>
      <c r="O118" s="514">
        <f>IF($C118="","",VLOOKUP($C118,'2017 Pricelist'!$C:$I,7,FALSE))</f>
        <v>3.99</v>
      </c>
      <c r="P118" s="35">
        <v>25</v>
      </c>
      <c r="Q118" s="187">
        <v>200</v>
      </c>
      <c r="R118" s="44">
        <f>CONVERT(16,"g","lbm")</f>
        <v>3.5273961949580414E-2</v>
      </c>
      <c r="S118" s="33">
        <f t="shared" si="73"/>
        <v>7.8740157480314963</v>
      </c>
      <c r="T118" s="33">
        <f t="shared" si="74"/>
        <v>1.6535433070866143</v>
      </c>
      <c r="U118" s="70">
        <v>1</v>
      </c>
      <c r="V118" s="44">
        <f>CONVERT(15,"g","lbm")</f>
        <v>3.3069339327731637E-2</v>
      </c>
      <c r="W118" s="33">
        <v>1.625</v>
      </c>
      <c r="X118" s="33">
        <v>1.25</v>
      </c>
      <c r="Y118" s="70">
        <v>7.875</v>
      </c>
      <c r="Z118" s="99">
        <f>CONVERT(390,"g","lbm")</f>
        <v>0.85980282252102258</v>
      </c>
      <c r="AA118" s="33">
        <v>3.5</v>
      </c>
      <c r="AB118" s="100">
        <v>1.625</v>
      </c>
      <c r="AC118" s="101">
        <v>7.875</v>
      </c>
      <c r="AD118" s="44">
        <f>CONVERT(3390,"g","lbm")</f>
        <v>7.47367068806735</v>
      </c>
      <c r="AE118" s="33">
        <v>13.25</v>
      </c>
      <c r="AF118" s="33">
        <v>8.3125</v>
      </c>
      <c r="AG118" s="70">
        <v>4.125</v>
      </c>
      <c r="AH118" s="42">
        <f t="shared" si="75"/>
        <v>0.26292249891493058</v>
      </c>
      <c r="AI118" s="37" t="s">
        <v>2975</v>
      </c>
      <c r="AJ118" s="37" t="s">
        <v>2977</v>
      </c>
      <c r="AK118" s="37" t="s">
        <v>2959</v>
      </c>
      <c r="AL118" s="37" t="s">
        <v>1849</v>
      </c>
      <c r="AM118" s="37" t="s">
        <v>2980</v>
      </c>
      <c r="AN118" s="37" t="s">
        <v>2961</v>
      </c>
      <c r="AO118" s="37" t="s">
        <v>2979</v>
      </c>
      <c r="AP118" s="37" t="s">
        <v>2981</v>
      </c>
      <c r="AQ118" s="37" t="s">
        <v>2974</v>
      </c>
      <c r="AR118" s="18" t="s">
        <v>2909</v>
      </c>
      <c r="AS118" s="94" t="s">
        <v>2908</v>
      </c>
    </row>
    <row r="119" spans="1:45" s="14" customFormat="1" x14ac:dyDescent="0.2">
      <c r="A119" s="14" t="s">
        <v>510</v>
      </c>
      <c r="B119" s="127"/>
      <c r="C119" s="33" t="s">
        <v>956</v>
      </c>
      <c r="D119" s="33" t="s">
        <v>383</v>
      </c>
      <c r="E119" s="16" t="s">
        <v>2415</v>
      </c>
      <c r="F119" s="15" t="s">
        <v>484</v>
      </c>
      <c r="G119" s="15" t="s">
        <v>2520</v>
      </c>
      <c r="H119" s="374" t="s">
        <v>1097</v>
      </c>
      <c r="I119" s="374" t="s">
        <v>259</v>
      </c>
      <c r="J119" s="374" t="s">
        <v>1097</v>
      </c>
      <c r="K119" s="374" t="s">
        <v>259</v>
      </c>
      <c r="L119" s="36" t="s">
        <v>568</v>
      </c>
      <c r="M119" s="27" t="s">
        <v>977</v>
      </c>
      <c r="N119" s="514"/>
      <c r="O119" s="514">
        <f>IF($C119="","",VLOOKUP($C119,'2017 Pricelist'!$C:$I,7,FALSE))</f>
        <v>3.99</v>
      </c>
      <c r="P119" s="35">
        <v>25</v>
      </c>
      <c r="Q119" s="187">
        <v>200</v>
      </c>
      <c r="R119" s="44">
        <f>CONVERT(16,"g","lbm")</f>
        <v>3.5273961949580414E-2</v>
      </c>
      <c r="S119" s="33">
        <f t="shared" si="73"/>
        <v>7.8740157480314963</v>
      </c>
      <c r="T119" s="33">
        <f t="shared" si="74"/>
        <v>1.6535433070866143</v>
      </c>
      <c r="U119" s="70">
        <v>1</v>
      </c>
      <c r="V119" s="44">
        <f>CONVERT(15,"g","lbm")</f>
        <v>3.3069339327731637E-2</v>
      </c>
      <c r="W119" s="33">
        <v>1.625</v>
      </c>
      <c r="X119" s="33">
        <v>1.25</v>
      </c>
      <c r="Y119" s="70">
        <v>7.875</v>
      </c>
      <c r="Z119" s="99">
        <f>CONVERT(390,"g","lbm")</f>
        <v>0.85980282252102258</v>
      </c>
      <c r="AA119" s="33">
        <v>3.5</v>
      </c>
      <c r="AB119" s="100">
        <v>1.625</v>
      </c>
      <c r="AC119" s="101">
        <v>7.875</v>
      </c>
      <c r="AD119" s="44">
        <f>CONVERT(3390,"g","lbm")</f>
        <v>7.47367068806735</v>
      </c>
      <c r="AE119" s="33">
        <v>13.25</v>
      </c>
      <c r="AF119" s="33">
        <v>8.3125</v>
      </c>
      <c r="AG119" s="70">
        <v>4.125</v>
      </c>
      <c r="AH119" s="42">
        <f t="shared" si="75"/>
        <v>0.26292249891493058</v>
      </c>
      <c r="AI119" s="37" t="s">
        <v>2975</v>
      </c>
      <c r="AJ119" s="37" t="s">
        <v>2977</v>
      </c>
      <c r="AK119" s="37" t="s">
        <v>2959</v>
      </c>
      <c r="AL119" s="37" t="s">
        <v>1849</v>
      </c>
      <c r="AM119" s="37" t="s">
        <v>2980</v>
      </c>
      <c r="AN119" s="37" t="s">
        <v>2961</v>
      </c>
      <c r="AO119" s="37" t="s">
        <v>2979</v>
      </c>
      <c r="AP119" s="37" t="s">
        <v>2981</v>
      </c>
      <c r="AQ119" s="37" t="s">
        <v>2974</v>
      </c>
      <c r="AR119" s="18" t="s">
        <v>2909</v>
      </c>
      <c r="AS119" s="94" t="s">
        <v>2908</v>
      </c>
    </row>
    <row r="120" spans="1:45" s="14" customFormat="1" x14ac:dyDescent="0.2">
      <c r="A120" s="14" t="s">
        <v>510</v>
      </c>
      <c r="B120" s="127"/>
      <c r="C120" s="33" t="s">
        <v>956</v>
      </c>
      <c r="D120" s="33" t="s">
        <v>1017</v>
      </c>
      <c r="E120" s="16" t="s">
        <v>2415</v>
      </c>
      <c r="F120" s="15" t="s">
        <v>1018</v>
      </c>
      <c r="G120" s="15" t="s">
        <v>2520</v>
      </c>
      <c r="H120" s="30">
        <v>7331423007516</v>
      </c>
      <c r="I120" s="374" t="s">
        <v>259</v>
      </c>
      <c r="J120" s="30">
        <v>7331423007516</v>
      </c>
      <c r="K120" s="374" t="s">
        <v>259</v>
      </c>
      <c r="L120" s="36" t="s">
        <v>568</v>
      </c>
      <c r="M120" s="27" t="s">
        <v>977</v>
      </c>
      <c r="N120" s="514"/>
      <c r="O120" s="514">
        <f>IF($C120="","",VLOOKUP($C120,'2017 Pricelist'!$C:$I,7,FALSE))</f>
        <v>3.99</v>
      </c>
      <c r="P120" s="35">
        <v>25</v>
      </c>
      <c r="Q120" s="187">
        <v>200</v>
      </c>
      <c r="R120" s="44">
        <f>CONVERT(16,"g","lbm")</f>
        <v>3.5273961949580414E-2</v>
      </c>
      <c r="S120" s="33">
        <f t="shared" si="73"/>
        <v>7.8740157480314963</v>
      </c>
      <c r="T120" s="33">
        <f t="shared" si="74"/>
        <v>1.6535433070866143</v>
      </c>
      <c r="U120" s="70">
        <v>1</v>
      </c>
      <c r="V120" s="44">
        <f>CONVERT(15,"g","lbm")</f>
        <v>3.3069339327731637E-2</v>
      </c>
      <c r="W120" s="33">
        <v>1.625</v>
      </c>
      <c r="X120" s="33">
        <v>1.25</v>
      </c>
      <c r="Y120" s="70">
        <v>7.875</v>
      </c>
      <c r="Z120" s="99">
        <f>CONVERT(390,"g","lbm")</f>
        <v>0.85980282252102258</v>
      </c>
      <c r="AA120" s="33">
        <v>3.5</v>
      </c>
      <c r="AB120" s="100">
        <v>1.625</v>
      </c>
      <c r="AC120" s="101">
        <v>7.875</v>
      </c>
      <c r="AD120" s="44">
        <f>CONVERT(3390,"g","lbm")</f>
        <v>7.47367068806735</v>
      </c>
      <c r="AE120" s="33">
        <v>13.25</v>
      </c>
      <c r="AF120" s="33">
        <v>8.3125</v>
      </c>
      <c r="AG120" s="70">
        <v>4.125</v>
      </c>
      <c r="AH120" s="42">
        <f t="shared" si="75"/>
        <v>0.26292249891493058</v>
      </c>
      <c r="AI120" s="37" t="s">
        <v>2975</v>
      </c>
      <c r="AJ120" s="37" t="s">
        <v>2977</v>
      </c>
      <c r="AK120" s="37" t="s">
        <v>2959</v>
      </c>
      <c r="AL120" s="37" t="s">
        <v>1849</v>
      </c>
      <c r="AM120" s="37" t="s">
        <v>2980</v>
      </c>
      <c r="AN120" s="37" t="s">
        <v>2961</v>
      </c>
      <c r="AO120" s="37" t="s">
        <v>2979</v>
      </c>
      <c r="AP120" s="37" t="s">
        <v>2981</v>
      </c>
      <c r="AQ120" s="37" t="s">
        <v>2974</v>
      </c>
      <c r="AR120" s="18" t="s">
        <v>2909</v>
      </c>
      <c r="AS120" s="94" t="s">
        <v>2908</v>
      </c>
    </row>
    <row r="121" spans="1:45" s="18" customFormat="1" x14ac:dyDescent="0.2">
      <c r="A121" s="18" t="s">
        <v>510</v>
      </c>
      <c r="B121" s="125"/>
      <c r="C121" s="33" t="s">
        <v>1777</v>
      </c>
      <c r="D121" s="15" t="s">
        <v>1775</v>
      </c>
      <c r="E121" s="16" t="s">
        <v>2417</v>
      </c>
      <c r="F121" s="33" t="s">
        <v>1780</v>
      </c>
      <c r="G121" s="33" t="s">
        <v>2547</v>
      </c>
      <c r="H121" s="77">
        <v>7331423009039</v>
      </c>
      <c r="I121" s="77">
        <v>7331423101368</v>
      </c>
      <c r="J121" s="77">
        <v>7331423201648</v>
      </c>
      <c r="K121" s="77">
        <v>17331423201645</v>
      </c>
      <c r="L121" s="36" t="s">
        <v>568</v>
      </c>
      <c r="M121" s="27" t="s">
        <v>977</v>
      </c>
      <c r="N121" s="514"/>
      <c r="O121" s="514">
        <f>IF($C121="","",VLOOKUP($C121,'2017 Pricelist'!$C:$I,7,FALSE))</f>
        <v>7.99</v>
      </c>
      <c r="P121" s="35">
        <v>12</v>
      </c>
      <c r="Q121" s="187">
        <v>72</v>
      </c>
      <c r="R121" s="44">
        <f>CONVERT(32,"g","lbm")</f>
        <v>7.0547923899160828E-2</v>
      </c>
      <c r="S121" s="33">
        <f t="shared" si="73"/>
        <v>7.8740157480314963</v>
      </c>
      <c r="T121" s="33">
        <f t="shared" si="74"/>
        <v>1.6535433070866143</v>
      </c>
      <c r="U121" s="70">
        <v>1.125</v>
      </c>
      <c r="V121" s="44">
        <v>0.1</v>
      </c>
      <c r="W121" s="33">
        <v>2.5625</v>
      </c>
      <c r="X121" s="33">
        <v>1.25</v>
      </c>
      <c r="Y121" s="70">
        <v>10.625</v>
      </c>
      <c r="Z121" s="44">
        <v>1.45</v>
      </c>
      <c r="AA121" s="33">
        <v>7.75</v>
      </c>
      <c r="AB121" s="33">
        <v>4.75</v>
      </c>
      <c r="AC121" s="70">
        <v>11</v>
      </c>
      <c r="AD121" s="91">
        <v>9.4499999999999993</v>
      </c>
      <c r="AE121" s="87">
        <v>15.75</v>
      </c>
      <c r="AF121" s="87">
        <v>14.75</v>
      </c>
      <c r="AG121" s="70">
        <v>11.5</v>
      </c>
      <c r="AH121" s="42">
        <f t="shared" si="75"/>
        <v>1.5460611979166667</v>
      </c>
      <c r="AI121" s="37" t="s">
        <v>2757</v>
      </c>
      <c r="AJ121" s="37" t="s">
        <v>2977</v>
      </c>
      <c r="AK121" s="37" t="s">
        <v>2959</v>
      </c>
      <c r="AL121" s="37" t="s">
        <v>1849</v>
      </c>
      <c r="AM121" s="37" t="s">
        <v>2980</v>
      </c>
      <c r="AN121" s="37" t="s">
        <v>2961</v>
      </c>
      <c r="AO121" s="37" t="s">
        <v>2979</v>
      </c>
      <c r="AP121" s="37" t="s">
        <v>2981</v>
      </c>
      <c r="AQ121" s="37" t="s">
        <v>2974</v>
      </c>
      <c r="AR121" s="18" t="s">
        <v>2909</v>
      </c>
      <c r="AS121" s="94" t="s">
        <v>2908</v>
      </c>
    </row>
    <row r="122" spans="1:45" s="18" customFormat="1" x14ac:dyDescent="0.2">
      <c r="A122" s="18" t="s">
        <v>510</v>
      </c>
      <c r="B122" s="125"/>
      <c r="C122" s="33" t="s">
        <v>1777</v>
      </c>
      <c r="D122" s="15" t="s">
        <v>1776</v>
      </c>
      <c r="E122" s="16" t="s">
        <v>2417</v>
      </c>
      <c r="F122" s="33" t="s">
        <v>1774</v>
      </c>
      <c r="G122" s="33" t="s">
        <v>2547</v>
      </c>
      <c r="H122" s="77">
        <v>7331423009046</v>
      </c>
      <c r="I122" s="77">
        <v>7331423101375</v>
      </c>
      <c r="J122" s="77">
        <v>7331423201655</v>
      </c>
      <c r="K122" s="77">
        <v>17331423201652</v>
      </c>
      <c r="L122" s="36" t="s">
        <v>568</v>
      </c>
      <c r="M122" s="27" t="s">
        <v>977</v>
      </c>
      <c r="N122" s="514"/>
      <c r="O122" s="514">
        <f>IF($C122="","",VLOOKUP($C122,'2017 Pricelist'!$C:$I,7,FALSE))</f>
        <v>7.99</v>
      </c>
      <c r="P122" s="35">
        <v>12</v>
      </c>
      <c r="Q122" s="187">
        <v>72</v>
      </c>
      <c r="R122" s="44">
        <f>CONVERT(32,"g","lbm")</f>
        <v>7.0547923899160828E-2</v>
      </c>
      <c r="S122" s="33">
        <f t="shared" si="73"/>
        <v>7.8740157480314963</v>
      </c>
      <c r="T122" s="33">
        <f t="shared" si="74"/>
        <v>1.6535433070866143</v>
      </c>
      <c r="U122" s="70">
        <v>1.125</v>
      </c>
      <c r="V122" s="44">
        <v>0.1</v>
      </c>
      <c r="W122" s="33">
        <v>2.5625</v>
      </c>
      <c r="X122" s="33">
        <v>1.25</v>
      </c>
      <c r="Y122" s="70">
        <v>10.625</v>
      </c>
      <c r="Z122" s="44">
        <v>1.45</v>
      </c>
      <c r="AA122" s="33">
        <v>7.75</v>
      </c>
      <c r="AB122" s="33">
        <v>4.75</v>
      </c>
      <c r="AC122" s="70">
        <v>11</v>
      </c>
      <c r="AD122" s="91">
        <v>9.4499999999999993</v>
      </c>
      <c r="AE122" s="87">
        <v>15.75</v>
      </c>
      <c r="AF122" s="87">
        <v>14.75</v>
      </c>
      <c r="AG122" s="70">
        <v>11.5</v>
      </c>
      <c r="AH122" s="42">
        <f t="shared" si="75"/>
        <v>1.5460611979166667</v>
      </c>
      <c r="AI122" s="37" t="s">
        <v>2757</v>
      </c>
      <c r="AJ122" s="37" t="s">
        <v>2977</v>
      </c>
      <c r="AK122" s="37" t="s">
        <v>2959</v>
      </c>
      <c r="AL122" s="37" t="s">
        <v>1849</v>
      </c>
      <c r="AM122" s="37" t="s">
        <v>2980</v>
      </c>
      <c r="AN122" s="37" t="s">
        <v>2961</v>
      </c>
      <c r="AO122" s="37" t="s">
        <v>2979</v>
      </c>
      <c r="AP122" s="37" t="s">
        <v>2981</v>
      </c>
      <c r="AQ122" s="37" t="s">
        <v>2974</v>
      </c>
      <c r="AR122" s="18" t="s">
        <v>2909</v>
      </c>
      <c r="AS122" s="94" t="s">
        <v>2908</v>
      </c>
    </row>
    <row r="123" spans="1:45" s="18" customFormat="1" x14ac:dyDescent="0.2">
      <c r="A123" s="18" t="s">
        <v>510</v>
      </c>
      <c r="B123" s="125"/>
      <c r="C123" s="33" t="s">
        <v>1777</v>
      </c>
      <c r="D123" s="15" t="s">
        <v>1779</v>
      </c>
      <c r="E123" s="16" t="s">
        <v>2417</v>
      </c>
      <c r="F123" s="33" t="s">
        <v>1778</v>
      </c>
      <c r="G123" s="33" t="s">
        <v>2547</v>
      </c>
      <c r="H123" s="77">
        <v>7331423008476</v>
      </c>
      <c r="I123" s="77">
        <v>7331423101382</v>
      </c>
      <c r="J123" s="77">
        <v>7331423201662</v>
      </c>
      <c r="K123" s="77">
        <v>17331423201669</v>
      </c>
      <c r="L123" s="36" t="s">
        <v>568</v>
      </c>
      <c r="M123" s="27" t="s">
        <v>977</v>
      </c>
      <c r="N123" s="514"/>
      <c r="O123" s="514">
        <f>IF($C123="","",VLOOKUP($C123,'2017 Pricelist'!$C:$I,7,FALSE))</f>
        <v>7.99</v>
      </c>
      <c r="P123" s="35">
        <v>12</v>
      </c>
      <c r="Q123" s="187">
        <v>72</v>
      </c>
      <c r="R123" s="44">
        <f>CONVERT(32,"g","lbm")</f>
        <v>7.0547923899160828E-2</v>
      </c>
      <c r="S123" s="33">
        <f t="shared" si="73"/>
        <v>7.8740157480314963</v>
      </c>
      <c r="T123" s="33">
        <f t="shared" si="74"/>
        <v>1.6535433070866143</v>
      </c>
      <c r="U123" s="70">
        <v>1.125</v>
      </c>
      <c r="V123" s="44">
        <v>0.1</v>
      </c>
      <c r="W123" s="33">
        <v>2.5625</v>
      </c>
      <c r="X123" s="33">
        <v>1.25</v>
      </c>
      <c r="Y123" s="70">
        <v>10.625</v>
      </c>
      <c r="Z123" s="44">
        <v>1.45</v>
      </c>
      <c r="AA123" s="33">
        <v>7.75</v>
      </c>
      <c r="AB123" s="33">
        <v>4.75</v>
      </c>
      <c r="AC123" s="70">
        <v>11</v>
      </c>
      <c r="AD123" s="91">
        <v>9.4499999999999993</v>
      </c>
      <c r="AE123" s="87">
        <v>15.75</v>
      </c>
      <c r="AF123" s="87">
        <v>14.75</v>
      </c>
      <c r="AG123" s="70">
        <v>11.5</v>
      </c>
      <c r="AH123" s="42">
        <f t="shared" si="75"/>
        <v>1.5460611979166667</v>
      </c>
      <c r="AI123" s="37" t="s">
        <v>2757</v>
      </c>
      <c r="AJ123" s="37" t="s">
        <v>2977</v>
      </c>
      <c r="AK123" s="37" t="s">
        <v>2959</v>
      </c>
      <c r="AL123" s="37" t="s">
        <v>1849</v>
      </c>
      <c r="AM123" s="37" t="s">
        <v>2980</v>
      </c>
      <c r="AN123" s="37" t="s">
        <v>2961</v>
      </c>
      <c r="AO123" s="37" t="s">
        <v>2979</v>
      </c>
      <c r="AP123" s="37" t="s">
        <v>2981</v>
      </c>
      <c r="AQ123" s="37" t="s">
        <v>2974</v>
      </c>
      <c r="AR123" s="18" t="s">
        <v>2909</v>
      </c>
      <c r="AS123" s="94" t="s">
        <v>2908</v>
      </c>
    </row>
    <row r="124" spans="1:45" s="18" customFormat="1" x14ac:dyDescent="0.2">
      <c r="A124" s="18" t="s">
        <v>510</v>
      </c>
      <c r="B124" s="125"/>
      <c r="C124" s="33" t="s">
        <v>1777</v>
      </c>
      <c r="D124" s="15" t="s">
        <v>1741</v>
      </c>
      <c r="E124" s="16" t="s">
        <v>2417</v>
      </c>
      <c r="F124" s="33" t="s">
        <v>2828</v>
      </c>
      <c r="G124" s="33" t="s">
        <v>2547</v>
      </c>
      <c r="H124" s="77">
        <v>7331423009060</v>
      </c>
      <c r="I124" s="77">
        <v>7331423009060</v>
      </c>
      <c r="J124" s="77">
        <v>7331423201686</v>
      </c>
      <c r="K124" s="77">
        <v>17331423201683</v>
      </c>
      <c r="L124" s="36" t="s">
        <v>568</v>
      </c>
      <c r="M124" s="27" t="s">
        <v>977</v>
      </c>
      <c r="N124" s="514"/>
      <c r="O124" s="514">
        <f>IF($C124="","",VLOOKUP($C124,'2017 Pricelist'!$C:$I,7,FALSE))</f>
        <v>7.99</v>
      </c>
      <c r="P124" s="35">
        <v>12</v>
      </c>
      <c r="Q124" s="187">
        <v>72</v>
      </c>
      <c r="R124" s="44">
        <f>CONVERT(32,"g","lbm")</f>
        <v>7.0547923899160828E-2</v>
      </c>
      <c r="S124" s="33">
        <f t="shared" si="73"/>
        <v>7.8740157480314963</v>
      </c>
      <c r="T124" s="33">
        <f t="shared" si="74"/>
        <v>1.6535433070866143</v>
      </c>
      <c r="U124" s="70">
        <v>1.125</v>
      </c>
      <c r="V124" s="44">
        <v>0.1</v>
      </c>
      <c r="W124" s="33">
        <v>2.5625</v>
      </c>
      <c r="X124" s="33">
        <v>1.25</v>
      </c>
      <c r="Y124" s="70">
        <v>10.625</v>
      </c>
      <c r="Z124" s="44">
        <v>1.45</v>
      </c>
      <c r="AA124" s="33">
        <v>7.75</v>
      </c>
      <c r="AB124" s="33">
        <v>4.75</v>
      </c>
      <c r="AC124" s="70">
        <v>11</v>
      </c>
      <c r="AD124" s="91">
        <v>9.4499999999999993</v>
      </c>
      <c r="AE124" s="87">
        <v>15.75</v>
      </c>
      <c r="AF124" s="87">
        <v>14.75</v>
      </c>
      <c r="AG124" s="70">
        <v>11.5</v>
      </c>
      <c r="AH124" s="42">
        <f t="shared" si="75"/>
        <v>1.5460611979166667</v>
      </c>
      <c r="AI124" s="37" t="s">
        <v>2757</v>
      </c>
      <c r="AJ124" s="37" t="s">
        <v>2977</v>
      </c>
      <c r="AK124" s="37" t="s">
        <v>2959</v>
      </c>
      <c r="AL124" s="37" t="s">
        <v>1849</v>
      </c>
      <c r="AM124" s="37" t="s">
        <v>2980</v>
      </c>
      <c r="AN124" s="37" t="s">
        <v>2961</v>
      </c>
      <c r="AO124" s="37" t="s">
        <v>2979</v>
      </c>
      <c r="AP124" s="37" t="s">
        <v>2981</v>
      </c>
      <c r="AQ124" s="37" t="s">
        <v>2974</v>
      </c>
      <c r="AR124" s="18" t="s">
        <v>2909</v>
      </c>
      <c r="AS124" s="94" t="s">
        <v>2908</v>
      </c>
    </row>
    <row r="125" spans="1:45" s="172" customFormat="1" x14ac:dyDescent="0.2">
      <c r="A125" s="172" t="s">
        <v>2478</v>
      </c>
      <c r="B125" s="317"/>
      <c r="C125" s="151"/>
      <c r="D125" s="33" t="s">
        <v>529</v>
      </c>
      <c r="E125" s="199"/>
      <c r="F125" s="151"/>
      <c r="G125" s="151"/>
      <c r="H125" s="180"/>
      <c r="I125" s="180"/>
      <c r="J125" s="180"/>
      <c r="K125" s="180"/>
      <c r="L125" s="170"/>
      <c r="M125" s="170"/>
      <c r="N125" s="174"/>
      <c r="O125" s="514" t="str">
        <f>IF($C125="","",VLOOKUP($C125,'2017 Pricelist'!$C:$I,7,FALSE))</f>
        <v/>
      </c>
      <c r="P125" s="175"/>
      <c r="Q125" s="233"/>
      <c r="R125" s="151"/>
      <c r="S125" s="151"/>
      <c r="T125" s="151"/>
      <c r="U125" s="152"/>
      <c r="V125" s="150"/>
      <c r="W125" s="151"/>
      <c r="X125" s="151"/>
      <c r="Y125" s="152"/>
      <c r="Z125" s="150"/>
      <c r="AA125" s="151"/>
      <c r="AB125" s="151"/>
      <c r="AC125" s="152"/>
      <c r="AD125" s="181"/>
      <c r="AE125" s="182"/>
      <c r="AF125" s="182"/>
      <c r="AG125" s="152"/>
      <c r="AH125" s="150"/>
      <c r="AI125" s="161"/>
      <c r="AJ125" s="161"/>
      <c r="AK125" s="161"/>
      <c r="AL125" s="161"/>
      <c r="AM125" s="161"/>
      <c r="AN125" s="161"/>
      <c r="AO125" s="161"/>
      <c r="AP125" s="161"/>
      <c r="AQ125" s="161"/>
      <c r="AR125" s="183"/>
    </row>
    <row r="126" spans="1:45" s="18" customFormat="1" x14ac:dyDescent="0.2">
      <c r="A126" s="18" t="s">
        <v>510</v>
      </c>
      <c r="B126" s="125"/>
      <c r="C126" s="33" t="s">
        <v>1809</v>
      </c>
      <c r="D126" s="15" t="s">
        <v>1743</v>
      </c>
      <c r="E126" s="16" t="s">
        <v>2418</v>
      </c>
      <c r="F126" s="33" t="s">
        <v>2822</v>
      </c>
      <c r="G126" s="33" t="s">
        <v>2547</v>
      </c>
      <c r="H126" s="77">
        <v>7331423008506</v>
      </c>
      <c r="I126" s="77">
        <v>7331423101436</v>
      </c>
      <c r="J126" s="77">
        <v>7331423201716</v>
      </c>
      <c r="K126" s="77">
        <v>17331423201713</v>
      </c>
      <c r="L126" s="36" t="s">
        <v>568</v>
      </c>
      <c r="M126" s="27" t="s">
        <v>977</v>
      </c>
      <c r="N126" s="514"/>
      <c r="O126" s="514">
        <f>IF($C126="","",VLOOKUP($C126,'2017 Pricelist'!$C:$I,7,FALSE))</f>
        <v>8.99</v>
      </c>
      <c r="P126" s="35">
        <v>12</v>
      </c>
      <c r="Q126" s="187">
        <v>36</v>
      </c>
      <c r="R126" s="44">
        <f>CONVERT(64,"g","lbm")</f>
        <v>0.14109584779832166</v>
      </c>
      <c r="S126" s="33">
        <f>CONVERT(250,"mm","in")</f>
        <v>9.8425196850393704</v>
      </c>
      <c r="T126" s="33">
        <f>CONVERT(53,"mm","in")</f>
        <v>2.0866141732283463</v>
      </c>
      <c r="U126" s="70">
        <v>1.375</v>
      </c>
      <c r="V126" s="44">
        <v>0.18</v>
      </c>
      <c r="W126" s="33">
        <v>3.375</v>
      </c>
      <c r="X126" s="33">
        <v>1.5</v>
      </c>
      <c r="Y126" s="70">
        <v>12.6875</v>
      </c>
      <c r="Z126" s="44">
        <v>2.4500000000000002</v>
      </c>
      <c r="AA126" s="33">
        <v>6.375</v>
      </c>
      <c r="AB126" s="33">
        <v>6</v>
      </c>
      <c r="AC126" s="70">
        <v>13</v>
      </c>
      <c r="AD126" s="91">
        <v>8</v>
      </c>
      <c r="AE126" s="87">
        <v>19.75</v>
      </c>
      <c r="AF126" s="87">
        <v>6.25</v>
      </c>
      <c r="AG126" s="70">
        <v>13.5</v>
      </c>
      <c r="AH126" s="42">
        <f>AE126*AF126*AG126/(12^3)</f>
        <v>0.96435546875</v>
      </c>
      <c r="AI126" s="37" t="s">
        <v>2758</v>
      </c>
      <c r="AJ126" s="37" t="s">
        <v>1848</v>
      </c>
      <c r="AK126" s="37" t="s">
        <v>2959</v>
      </c>
      <c r="AL126" s="37" t="s">
        <v>1849</v>
      </c>
      <c r="AM126" s="37" t="s">
        <v>2982</v>
      </c>
      <c r="AN126" s="37" t="s">
        <v>2961</v>
      </c>
      <c r="AO126" s="37" t="s">
        <v>2979</v>
      </c>
      <c r="AP126" s="37" t="s">
        <v>2983</v>
      </c>
      <c r="AQ126" s="37" t="s">
        <v>2984</v>
      </c>
      <c r="AR126" s="18" t="s">
        <v>2909</v>
      </c>
      <c r="AS126" s="94" t="s">
        <v>2908</v>
      </c>
    </row>
    <row r="127" spans="1:45" s="18" customFormat="1" x14ac:dyDescent="0.2">
      <c r="A127" s="18" t="s">
        <v>510</v>
      </c>
      <c r="B127" s="125"/>
      <c r="C127" s="33" t="s">
        <v>1809</v>
      </c>
      <c r="D127" s="15" t="s">
        <v>1766</v>
      </c>
      <c r="E127" s="16" t="s">
        <v>2418</v>
      </c>
      <c r="F127" s="33" t="s">
        <v>1770</v>
      </c>
      <c r="G127" s="33" t="s">
        <v>2547</v>
      </c>
      <c r="H127" s="77">
        <v>7331423008490</v>
      </c>
      <c r="I127" s="77">
        <v>7331423101429</v>
      </c>
      <c r="J127" s="77">
        <v>7331423201709</v>
      </c>
      <c r="K127" s="77">
        <v>17331423201706</v>
      </c>
      <c r="L127" s="36" t="s">
        <v>568</v>
      </c>
      <c r="M127" s="27" t="s">
        <v>977</v>
      </c>
      <c r="N127" s="514"/>
      <c r="O127" s="514">
        <f>IF($C127="","",VLOOKUP($C127,'2017 Pricelist'!$C:$I,7,FALSE))</f>
        <v>8.99</v>
      </c>
      <c r="P127" s="35">
        <v>12</v>
      </c>
      <c r="Q127" s="187">
        <v>36</v>
      </c>
      <c r="R127" s="44">
        <f t="shared" ref="R127:R129" si="76">CONVERT(64,"g","lbm")</f>
        <v>0.14109584779832166</v>
      </c>
      <c r="S127" s="33">
        <f t="shared" ref="S127:S129" si="77">CONVERT(250,"mm","in")</f>
        <v>9.8425196850393704</v>
      </c>
      <c r="T127" s="33">
        <f t="shared" ref="T127:T129" si="78">CONVERT(53,"mm","in")</f>
        <v>2.0866141732283463</v>
      </c>
      <c r="U127" s="70">
        <v>1.375</v>
      </c>
      <c r="V127" s="44">
        <v>0.18</v>
      </c>
      <c r="W127" s="33">
        <v>3.375</v>
      </c>
      <c r="X127" s="33">
        <v>1.5</v>
      </c>
      <c r="Y127" s="70">
        <v>12.6875</v>
      </c>
      <c r="Z127" s="44">
        <v>2.4500000000000002</v>
      </c>
      <c r="AA127" s="33">
        <v>6.375</v>
      </c>
      <c r="AB127" s="33">
        <v>6</v>
      </c>
      <c r="AC127" s="70">
        <v>13</v>
      </c>
      <c r="AD127" s="91">
        <v>8</v>
      </c>
      <c r="AE127" s="87">
        <v>19.75</v>
      </c>
      <c r="AF127" s="87">
        <v>6.25</v>
      </c>
      <c r="AG127" s="70">
        <v>13.5</v>
      </c>
      <c r="AH127" s="42">
        <f>AE127*AF127*AG127/(12^3)</f>
        <v>0.96435546875</v>
      </c>
      <c r="AI127" s="37" t="s">
        <v>2758</v>
      </c>
      <c r="AJ127" s="37" t="s">
        <v>1848</v>
      </c>
      <c r="AK127" s="37" t="s">
        <v>2959</v>
      </c>
      <c r="AL127" s="37" t="s">
        <v>1849</v>
      </c>
      <c r="AM127" s="37" t="s">
        <v>2982</v>
      </c>
      <c r="AN127" s="37" t="s">
        <v>2961</v>
      </c>
      <c r="AO127" s="37" t="s">
        <v>2979</v>
      </c>
      <c r="AP127" s="37" t="s">
        <v>2983</v>
      </c>
      <c r="AQ127" s="37" t="s">
        <v>2984</v>
      </c>
      <c r="AR127" s="18" t="s">
        <v>2909</v>
      </c>
      <c r="AS127" s="94" t="s">
        <v>2908</v>
      </c>
    </row>
    <row r="128" spans="1:45" s="18" customFormat="1" x14ac:dyDescent="0.2">
      <c r="A128" s="18" t="s">
        <v>510</v>
      </c>
      <c r="B128" s="125"/>
      <c r="C128" s="33" t="s">
        <v>1809</v>
      </c>
      <c r="D128" s="15" t="s">
        <v>1761</v>
      </c>
      <c r="E128" s="16" t="s">
        <v>2418</v>
      </c>
      <c r="F128" s="33" t="s">
        <v>1746</v>
      </c>
      <c r="G128" s="33" t="s">
        <v>2547</v>
      </c>
      <c r="H128" s="77">
        <v>7331423008483</v>
      </c>
      <c r="I128" s="77">
        <v>7331423101412</v>
      </c>
      <c r="J128" s="77">
        <v>7331423201693</v>
      </c>
      <c r="K128" s="77">
        <v>17331423201690</v>
      </c>
      <c r="L128" s="36" t="s">
        <v>568</v>
      </c>
      <c r="M128" s="27" t="s">
        <v>977</v>
      </c>
      <c r="N128" s="514"/>
      <c r="O128" s="514">
        <f>IF($C128="","",VLOOKUP($C128,'2017 Pricelist'!$C:$I,7,FALSE))</f>
        <v>8.99</v>
      </c>
      <c r="P128" s="35">
        <v>12</v>
      </c>
      <c r="Q128" s="187">
        <v>36</v>
      </c>
      <c r="R128" s="44">
        <f t="shared" si="76"/>
        <v>0.14109584779832166</v>
      </c>
      <c r="S128" s="33">
        <f t="shared" si="77"/>
        <v>9.8425196850393704</v>
      </c>
      <c r="T128" s="33">
        <f t="shared" si="78"/>
        <v>2.0866141732283463</v>
      </c>
      <c r="U128" s="70">
        <v>1.375</v>
      </c>
      <c r="V128" s="44">
        <v>0.18</v>
      </c>
      <c r="W128" s="33">
        <v>3.375</v>
      </c>
      <c r="X128" s="33">
        <v>1.5</v>
      </c>
      <c r="Y128" s="70">
        <v>12.6875</v>
      </c>
      <c r="Z128" s="44">
        <v>2.4500000000000002</v>
      </c>
      <c r="AA128" s="33">
        <v>6.375</v>
      </c>
      <c r="AB128" s="33">
        <v>6</v>
      </c>
      <c r="AC128" s="70">
        <v>13</v>
      </c>
      <c r="AD128" s="91">
        <v>8</v>
      </c>
      <c r="AE128" s="87">
        <v>19.75</v>
      </c>
      <c r="AF128" s="87">
        <v>6.25</v>
      </c>
      <c r="AG128" s="70">
        <v>13.5</v>
      </c>
      <c r="AH128" s="42">
        <f>AE128*AF128*AG128/(12^3)</f>
        <v>0.96435546875</v>
      </c>
      <c r="AI128" s="37" t="s">
        <v>2758</v>
      </c>
      <c r="AJ128" s="37" t="s">
        <v>1848</v>
      </c>
      <c r="AK128" s="37" t="s">
        <v>2959</v>
      </c>
      <c r="AL128" s="37" t="s">
        <v>1849</v>
      </c>
      <c r="AM128" s="37" t="s">
        <v>2982</v>
      </c>
      <c r="AN128" s="37" t="s">
        <v>2961</v>
      </c>
      <c r="AO128" s="37" t="s">
        <v>2979</v>
      </c>
      <c r="AP128" s="37" t="s">
        <v>2983</v>
      </c>
      <c r="AQ128" s="37" t="s">
        <v>2984</v>
      </c>
      <c r="AR128" s="18" t="s">
        <v>2909</v>
      </c>
      <c r="AS128" s="94" t="s">
        <v>2908</v>
      </c>
    </row>
    <row r="129" spans="1:45" s="18" customFormat="1" x14ac:dyDescent="0.2">
      <c r="A129" s="18" t="s">
        <v>510</v>
      </c>
      <c r="B129" s="125"/>
      <c r="C129" s="33" t="s">
        <v>1809</v>
      </c>
      <c r="D129" s="15" t="s">
        <v>1741</v>
      </c>
      <c r="E129" s="16" t="s">
        <v>2418</v>
      </c>
      <c r="F129" s="33" t="s">
        <v>2786</v>
      </c>
      <c r="G129" s="33" t="s">
        <v>2547</v>
      </c>
      <c r="H129" s="77">
        <v>7331423101443</v>
      </c>
      <c r="I129" s="77">
        <v>7331423008513</v>
      </c>
      <c r="J129" s="77">
        <v>7331423201723</v>
      </c>
      <c r="K129" s="77">
        <v>17331423201720</v>
      </c>
      <c r="L129" s="36" t="s">
        <v>568</v>
      </c>
      <c r="M129" s="27" t="s">
        <v>977</v>
      </c>
      <c r="N129" s="514"/>
      <c r="O129" s="514">
        <f>IF($C129="","",VLOOKUP($C129,'2017 Pricelist'!$C:$I,7,FALSE))</f>
        <v>8.99</v>
      </c>
      <c r="P129" s="35">
        <v>12</v>
      </c>
      <c r="Q129" s="187">
        <v>36</v>
      </c>
      <c r="R129" s="44">
        <f t="shared" si="76"/>
        <v>0.14109584779832166</v>
      </c>
      <c r="S129" s="33">
        <f t="shared" si="77"/>
        <v>9.8425196850393704</v>
      </c>
      <c r="T129" s="33">
        <f t="shared" si="78"/>
        <v>2.0866141732283463</v>
      </c>
      <c r="U129" s="70">
        <v>1.375</v>
      </c>
      <c r="V129" s="44">
        <v>0.18</v>
      </c>
      <c r="W129" s="33">
        <v>3.375</v>
      </c>
      <c r="X129" s="33">
        <v>1.5</v>
      </c>
      <c r="Y129" s="70">
        <v>12.6875</v>
      </c>
      <c r="Z129" s="44">
        <v>2.4500000000000002</v>
      </c>
      <c r="AA129" s="33">
        <v>6.375</v>
      </c>
      <c r="AB129" s="33">
        <v>6</v>
      </c>
      <c r="AC129" s="70">
        <v>13</v>
      </c>
      <c r="AD129" s="91">
        <v>8</v>
      </c>
      <c r="AE129" s="87">
        <v>19.75</v>
      </c>
      <c r="AF129" s="87">
        <v>6.25</v>
      </c>
      <c r="AG129" s="70">
        <v>13.5</v>
      </c>
      <c r="AH129" s="42">
        <f>AE129*AF129*AG129/(12^3)</f>
        <v>0.96435546875</v>
      </c>
      <c r="AI129" s="37" t="s">
        <v>2758</v>
      </c>
      <c r="AJ129" s="37" t="s">
        <v>1848</v>
      </c>
      <c r="AK129" s="37" t="s">
        <v>2959</v>
      </c>
      <c r="AL129" s="37" t="s">
        <v>1849</v>
      </c>
      <c r="AM129" s="37" t="s">
        <v>2982</v>
      </c>
      <c r="AN129" s="37" t="s">
        <v>2961</v>
      </c>
      <c r="AO129" s="37" t="s">
        <v>2979</v>
      </c>
      <c r="AP129" s="37" t="s">
        <v>2983</v>
      </c>
      <c r="AQ129" s="37" t="s">
        <v>2984</v>
      </c>
      <c r="AR129" s="18" t="s">
        <v>2909</v>
      </c>
      <c r="AS129" s="94" t="s">
        <v>2908</v>
      </c>
    </row>
    <row r="130" spans="1:45" s="172" customFormat="1" x14ac:dyDescent="0.2">
      <c r="A130" s="172" t="s">
        <v>2480</v>
      </c>
      <c r="B130" s="317"/>
      <c r="C130" s="149"/>
      <c r="D130" s="33" t="s">
        <v>529</v>
      </c>
      <c r="E130" s="149"/>
      <c r="H130" s="180"/>
      <c r="I130" s="180"/>
      <c r="J130" s="180"/>
      <c r="K130" s="180"/>
      <c r="L130" s="170"/>
      <c r="M130" s="170"/>
      <c r="N130" s="174"/>
      <c r="O130" s="514" t="str">
        <f>IF($C130="","",VLOOKUP($C130,'2017 Pricelist'!$C:$I,7,FALSE))</f>
        <v/>
      </c>
      <c r="P130" s="175"/>
      <c r="Q130" s="233"/>
      <c r="R130" s="151"/>
      <c r="S130" s="151"/>
      <c r="T130" s="151"/>
      <c r="U130" s="152"/>
      <c r="V130" s="150"/>
      <c r="W130" s="177"/>
      <c r="X130" s="177"/>
      <c r="Y130" s="178"/>
      <c r="Z130" s="150"/>
      <c r="AA130" s="177"/>
      <c r="AB130" s="177"/>
      <c r="AC130" s="178"/>
      <c r="AD130" s="150"/>
      <c r="AE130" s="151"/>
      <c r="AF130" s="151"/>
      <c r="AG130" s="152"/>
      <c r="AH130" s="150"/>
      <c r="AI130" s="161"/>
      <c r="AK130" s="161"/>
      <c r="AL130" s="161"/>
      <c r="AM130" s="161"/>
      <c r="AN130" s="161"/>
      <c r="AO130" s="161"/>
      <c r="AP130" s="161"/>
      <c r="AQ130" s="185"/>
      <c r="AR130" s="183"/>
      <c r="AS130" s="179"/>
    </row>
    <row r="131" spans="1:45" s="18" customFormat="1" x14ac:dyDescent="0.2">
      <c r="A131" s="18" t="s">
        <v>510</v>
      </c>
      <c r="B131" s="125"/>
      <c r="C131" s="19" t="s">
        <v>351</v>
      </c>
      <c r="D131" s="15" t="s">
        <v>2839</v>
      </c>
      <c r="E131" s="19" t="s">
        <v>2836</v>
      </c>
      <c r="F131" s="18" t="s">
        <v>2832</v>
      </c>
      <c r="G131" s="33" t="s">
        <v>2547</v>
      </c>
      <c r="H131" s="77">
        <v>7331423008278</v>
      </c>
      <c r="I131" s="77">
        <v>7331423100989</v>
      </c>
      <c r="J131" s="77">
        <v>7331423201211</v>
      </c>
      <c r="K131" s="77">
        <v>17331423201218</v>
      </c>
      <c r="L131" s="36" t="s">
        <v>568</v>
      </c>
      <c r="M131" s="27" t="s">
        <v>977</v>
      </c>
      <c r="N131" s="514"/>
      <c r="O131" s="514">
        <f>IF($C131="","",VLOOKUP($C131,'2017 Pricelist'!$C:$I,7,FALSE))</f>
        <v>7.99</v>
      </c>
      <c r="P131" s="35">
        <v>12</v>
      </c>
      <c r="Q131" s="187">
        <v>72</v>
      </c>
      <c r="R131" s="99">
        <f>CONVERT(24,"g","lbm")</f>
        <v>5.2910942924370617E-2</v>
      </c>
      <c r="S131" s="33">
        <f>CONVERT(140,"mm","in")</f>
        <v>5.5118110236220472</v>
      </c>
      <c r="T131" s="33">
        <f>CONVERT(31,"mm","in")</f>
        <v>1.2204724409448817</v>
      </c>
      <c r="U131" s="70">
        <v>1</v>
      </c>
      <c r="V131" s="44">
        <v>0.1</v>
      </c>
      <c r="W131" s="33">
        <v>2.5625</v>
      </c>
      <c r="X131" s="33">
        <v>1.25</v>
      </c>
      <c r="Y131" s="70">
        <v>8.3125</v>
      </c>
      <c r="Z131" s="44">
        <v>1.05</v>
      </c>
      <c r="AA131" s="33">
        <v>5.625</v>
      </c>
      <c r="AB131" s="33">
        <v>5</v>
      </c>
      <c r="AC131" s="70">
        <v>9</v>
      </c>
      <c r="AD131" s="44">
        <v>7.6</v>
      </c>
      <c r="AE131" s="33">
        <v>15.625</v>
      </c>
      <c r="AF131" s="33">
        <v>14.5</v>
      </c>
      <c r="AG131" s="70">
        <v>11.375</v>
      </c>
      <c r="AH131" s="42">
        <f>AE131*AF131*AG131/(12^3)</f>
        <v>1.491405345775463</v>
      </c>
      <c r="AI131" s="37" t="s">
        <v>2985</v>
      </c>
      <c r="AJ131" s="18" t="s">
        <v>2987</v>
      </c>
      <c r="AK131" s="37" t="s">
        <v>1849</v>
      </c>
      <c r="AL131" s="37" t="s">
        <v>2988</v>
      </c>
      <c r="AM131" s="37" t="s">
        <v>2961</v>
      </c>
      <c r="AN131" s="37" t="s">
        <v>1635</v>
      </c>
      <c r="AO131" s="37" t="s">
        <v>2962</v>
      </c>
      <c r="AP131" s="37" t="s">
        <v>2989</v>
      </c>
      <c r="AQ131" s="12" t="s">
        <v>2990</v>
      </c>
      <c r="AR131" s="18" t="s">
        <v>2909</v>
      </c>
      <c r="AS131" s="94" t="s">
        <v>2908</v>
      </c>
    </row>
    <row r="132" spans="1:45" s="18" customFormat="1" x14ac:dyDescent="0.2">
      <c r="A132" s="18" t="s">
        <v>510</v>
      </c>
      <c r="B132" s="125"/>
      <c r="C132" s="19" t="s">
        <v>351</v>
      </c>
      <c r="D132" s="15" t="s">
        <v>2838</v>
      </c>
      <c r="E132" s="19" t="s">
        <v>2836</v>
      </c>
      <c r="F132" s="18" t="s">
        <v>2834</v>
      </c>
      <c r="G132" s="33" t="s">
        <v>2547</v>
      </c>
      <c r="H132" s="77">
        <v>7331423008285</v>
      </c>
      <c r="I132" s="77">
        <v>7331423100996</v>
      </c>
      <c r="J132" s="77">
        <v>7331423201228</v>
      </c>
      <c r="K132" s="77">
        <v>17331423201225</v>
      </c>
      <c r="L132" s="36" t="s">
        <v>568</v>
      </c>
      <c r="M132" s="27" t="s">
        <v>977</v>
      </c>
      <c r="N132" s="514"/>
      <c r="O132" s="514">
        <f>IF($C132="","",VLOOKUP($C132,'2017 Pricelist'!$C:$I,7,FALSE))</f>
        <v>7.99</v>
      </c>
      <c r="P132" s="35">
        <v>12</v>
      </c>
      <c r="Q132" s="187">
        <v>72</v>
      </c>
      <c r="R132" s="99">
        <f>CONVERT(24,"g","lbm")</f>
        <v>5.2910942924370617E-2</v>
      </c>
      <c r="S132" s="33">
        <f>CONVERT(140,"mm","in")</f>
        <v>5.5118110236220472</v>
      </c>
      <c r="T132" s="33">
        <f>CONVERT(31,"mm","in")</f>
        <v>1.2204724409448817</v>
      </c>
      <c r="U132" s="70">
        <v>1</v>
      </c>
      <c r="V132" s="44">
        <v>0.1</v>
      </c>
      <c r="W132" s="33">
        <v>2.5625</v>
      </c>
      <c r="X132" s="33">
        <v>1.25</v>
      </c>
      <c r="Y132" s="70">
        <v>8.3125</v>
      </c>
      <c r="Z132" s="44">
        <v>1.05</v>
      </c>
      <c r="AA132" s="33">
        <v>5.625</v>
      </c>
      <c r="AB132" s="33">
        <v>5</v>
      </c>
      <c r="AC132" s="70">
        <v>9</v>
      </c>
      <c r="AD132" s="44">
        <v>7.6</v>
      </c>
      <c r="AE132" s="33">
        <v>15.625</v>
      </c>
      <c r="AF132" s="33">
        <v>14.5</v>
      </c>
      <c r="AG132" s="70">
        <v>11.375</v>
      </c>
      <c r="AH132" s="42">
        <f>AE132*AF132*AG132/(12^3)</f>
        <v>1.491405345775463</v>
      </c>
      <c r="AI132" s="37" t="s">
        <v>2985</v>
      </c>
      <c r="AJ132" s="18" t="s">
        <v>2987</v>
      </c>
      <c r="AK132" s="37" t="s">
        <v>1849</v>
      </c>
      <c r="AL132" s="37" t="s">
        <v>2988</v>
      </c>
      <c r="AM132" s="37" t="s">
        <v>2961</v>
      </c>
      <c r="AN132" s="37" t="s">
        <v>1635</v>
      </c>
      <c r="AO132" s="37" t="s">
        <v>2962</v>
      </c>
      <c r="AP132" s="37" t="s">
        <v>2989</v>
      </c>
      <c r="AQ132" s="12" t="s">
        <v>2990</v>
      </c>
      <c r="AR132" s="18" t="s">
        <v>2909</v>
      </c>
      <c r="AS132" s="94" t="s">
        <v>2908</v>
      </c>
    </row>
    <row r="133" spans="1:45" s="18" customFormat="1" x14ac:dyDescent="0.2">
      <c r="A133" s="18" t="s">
        <v>510</v>
      </c>
      <c r="B133" s="125"/>
      <c r="C133" s="19" t="s">
        <v>351</v>
      </c>
      <c r="D133" s="15" t="s">
        <v>2837</v>
      </c>
      <c r="E133" s="19" t="s">
        <v>2836</v>
      </c>
      <c r="F133" s="18" t="s">
        <v>2833</v>
      </c>
      <c r="G133" s="33" t="s">
        <v>2547</v>
      </c>
      <c r="H133" s="77">
        <v>7331423008292</v>
      </c>
      <c r="I133" s="77">
        <v>7331423101009</v>
      </c>
      <c r="J133" s="77">
        <v>7331423201235</v>
      </c>
      <c r="K133" s="77">
        <v>17331423201232</v>
      </c>
      <c r="L133" s="36" t="s">
        <v>568</v>
      </c>
      <c r="M133" s="27" t="s">
        <v>977</v>
      </c>
      <c r="N133" s="514"/>
      <c r="O133" s="514">
        <f>IF($C133="","",VLOOKUP($C133,'2017 Pricelist'!$C:$I,7,FALSE))</f>
        <v>7.99</v>
      </c>
      <c r="P133" s="35">
        <v>12</v>
      </c>
      <c r="Q133" s="187">
        <v>72</v>
      </c>
      <c r="R133" s="99">
        <f>CONVERT(24,"g","lbm")</f>
        <v>5.2910942924370617E-2</v>
      </c>
      <c r="S133" s="33">
        <f>CONVERT(140,"mm","in")</f>
        <v>5.5118110236220472</v>
      </c>
      <c r="T133" s="33">
        <f>CONVERT(31,"mm","in")</f>
        <v>1.2204724409448817</v>
      </c>
      <c r="U133" s="70">
        <v>1</v>
      </c>
      <c r="V133" s="44">
        <v>0.1</v>
      </c>
      <c r="W133" s="33">
        <v>2.5625</v>
      </c>
      <c r="X133" s="33">
        <v>1.25</v>
      </c>
      <c r="Y133" s="70">
        <v>8.3125</v>
      </c>
      <c r="Z133" s="44">
        <v>1.05</v>
      </c>
      <c r="AA133" s="33">
        <v>5.625</v>
      </c>
      <c r="AB133" s="33">
        <v>5</v>
      </c>
      <c r="AC133" s="70">
        <v>9</v>
      </c>
      <c r="AD133" s="44">
        <v>7.6</v>
      </c>
      <c r="AE133" s="33">
        <v>15.625</v>
      </c>
      <c r="AF133" s="33">
        <v>14.5</v>
      </c>
      <c r="AG133" s="70">
        <v>11.375</v>
      </c>
      <c r="AH133" s="42">
        <f>AE133*AF133*AG133/(12^3)</f>
        <v>1.491405345775463</v>
      </c>
      <c r="AI133" s="37" t="s">
        <v>2985</v>
      </c>
      <c r="AJ133" s="18" t="s">
        <v>2987</v>
      </c>
      <c r="AK133" s="37" t="s">
        <v>1849</v>
      </c>
      <c r="AL133" s="37" t="s">
        <v>2988</v>
      </c>
      <c r="AM133" s="37" t="s">
        <v>2961</v>
      </c>
      <c r="AN133" s="37" t="s">
        <v>1635</v>
      </c>
      <c r="AO133" s="37" t="s">
        <v>2962</v>
      </c>
      <c r="AP133" s="37" t="s">
        <v>2989</v>
      </c>
      <c r="AQ133" s="12" t="s">
        <v>2990</v>
      </c>
      <c r="AR133" s="18" t="s">
        <v>2909</v>
      </c>
      <c r="AS133" s="94" t="s">
        <v>2908</v>
      </c>
    </row>
    <row r="134" spans="1:45" s="18" customFormat="1" x14ac:dyDescent="0.2">
      <c r="B134" s="125"/>
      <c r="C134" s="19"/>
      <c r="D134" s="33" t="s">
        <v>529</v>
      </c>
      <c r="E134" s="19"/>
      <c r="F134" s="19"/>
      <c r="G134" s="19"/>
      <c r="H134" s="66"/>
      <c r="I134" s="66"/>
      <c r="J134" s="66"/>
      <c r="K134" s="66"/>
      <c r="L134" s="36"/>
      <c r="M134" s="36"/>
      <c r="N134" s="5"/>
      <c r="O134" s="514" t="str">
        <f>IF($C134="","",VLOOKUP($C134,'2017 Pricelist'!$C:$I,7,FALSE))</f>
        <v/>
      </c>
      <c r="P134" s="35"/>
      <c r="Q134" s="187"/>
      <c r="R134" s="33"/>
      <c r="S134" s="33"/>
      <c r="T134" s="33"/>
      <c r="U134" s="70"/>
      <c r="V134" s="44"/>
      <c r="W134" s="33"/>
      <c r="X134" s="33"/>
      <c r="Y134" s="70"/>
      <c r="Z134" s="44"/>
      <c r="AA134" s="33"/>
      <c r="AB134" s="33"/>
      <c r="AC134" s="70"/>
      <c r="AD134" s="44"/>
      <c r="AE134" s="33"/>
      <c r="AF134" s="33"/>
      <c r="AG134" s="70"/>
      <c r="AH134" s="44"/>
      <c r="AJ134" s="37"/>
      <c r="AL134" s="37"/>
      <c r="AQ134" s="12"/>
      <c r="AR134" s="94"/>
      <c r="AS134" s="13"/>
    </row>
    <row r="135" spans="1:45" s="105" customFormat="1" ht="15.75" x14ac:dyDescent="0.25">
      <c r="A135" s="352" t="s">
        <v>2477</v>
      </c>
      <c r="B135" s="352"/>
      <c r="C135" s="352"/>
      <c r="D135" s="33" t="s">
        <v>529</v>
      </c>
      <c r="E135" s="192"/>
      <c r="F135" s="155"/>
      <c r="G135" s="155"/>
      <c r="H135" s="162"/>
      <c r="I135" s="162"/>
      <c r="J135" s="162"/>
      <c r="K135" s="162"/>
      <c r="L135" s="162"/>
      <c r="M135" s="162"/>
      <c r="N135" s="164"/>
      <c r="O135" s="514" t="str">
        <f>IF($C135="","",VLOOKUP($C135,'2017 Pricelist'!$C:$I,7,FALSE))</f>
        <v/>
      </c>
      <c r="P135" s="165"/>
      <c r="Q135" s="234"/>
      <c r="R135" s="155"/>
      <c r="S135" s="155"/>
      <c r="T135" s="155"/>
      <c r="U135" s="156"/>
      <c r="V135" s="154"/>
      <c r="W135" s="155"/>
      <c r="X135" s="155"/>
      <c r="Y135" s="156"/>
      <c r="Z135" s="154"/>
      <c r="AA135" s="155"/>
      <c r="AB135" s="155"/>
      <c r="AC135" s="156"/>
      <c r="AD135" s="154"/>
      <c r="AE135" s="155"/>
      <c r="AF135" s="155"/>
      <c r="AG135" s="156"/>
      <c r="AH135" s="154"/>
    </row>
    <row r="136" spans="1:45" s="18" customFormat="1" x14ac:dyDescent="0.2">
      <c r="A136" s="18" t="s">
        <v>510</v>
      </c>
      <c r="B136" s="125"/>
      <c r="C136" s="33" t="s">
        <v>1135</v>
      </c>
      <c r="D136" s="33" t="s">
        <v>369</v>
      </c>
      <c r="E136" s="34" t="s">
        <v>2431</v>
      </c>
      <c r="F136" s="33" t="s">
        <v>222</v>
      </c>
      <c r="G136" s="33" t="s">
        <v>2520</v>
      </c>
      <c r="H136" s="36" t="s">
        <v>1136</v>
      </c>
      <c r="I136" s="36" t="s">
        <v>259</v>
      </c>
      <c r="J136" s="36" t="s">
        <v>1136</v>
      </c>
      <c r="K136" s="36" t="s">
        <v>259</v>
      </c>
      <c r="L136" s="36" t="s">
        <v>568</v>
      </c>
      <c r="M136" s="36" t="s">
        <v>977</v>
      </c>
      <c r="N136" s="514"/>
      <c r="O136" s="514">
        <f>IF($C136="","",VLOOKUP($C136,'2017 Pricelist'!$C:$I,7,FALSE))</f>
        <v>19.989999999999998</v>
      </c>
      <c r="P136" s="35">
        <v>1</v>
      </c>
      <c r="Q136" s="187">
        <v>12</v>
      </c>
      <c r="R136" s="44">
        <f t="shared" ref="R136:R143" si="79">CONVERT(180,"g","lbm")</f>
        <v>0.39683207193277964</v>
      </c>
      <c r="S136" s="33">
        <v>3.25</v>
      </c>
      <c r="T136" s="33">
        <v>3.375</v>
      </c>
      <c r="U136" s="70">
        <v>10</v>
      </c>
      <c r="V136" s="44">
        <f t="shared" ref="V136:V143" si="80">CONVERT(180,"g","lbm")</f>
        <v>0.39683207193277964</v>
      </c>
      <c r="W136" s="33">
        <v>3.25</v>
      </c>
      <c r="X136" s="33">
        <v>3.375</v>
      </c>
      <c r="Y136" s="70">
        <v>10</v>
      </c>
      <c r="Z136" s="44" t="s">
        <v>259</v>
      </c>
      <c r="AA136" s="33" t="s">
        <v>259</v>
      </c>
      <c r="AB136" s="33" t="s">
        <v>259</v>
      </c>
      <c r="AC136" s="70" t="s">
        <v>259</v>
      </c>
      <c r="AD136" s="44">
        <f t="shared" ref="AD136:AD143" si="81">CONVERT(2570,"g","lbm")</f>
        <v>5.6658801381513539</v>
      </c>
      <c r="AE136" s="33">
        <v>19.25</v>
      </c>
      <c r="AF136" s="33">
        <v>10.5</v>
      </c>
      <c r="AG136" s="70">
        <v>7.75</v>
      </c>
      <c r="AH136" s="44">
        <f t="shared" ref="AH136:AH143" si="82">AE136*AF136*AG136/(12^3)</f>
        <v>0.90652126736111116</v>
      </c>
      <c r="AI136" s="18" t="s">
        <v>2994</v>
      </c>
      <c r="AJ136" s="18" t="s">
        <v>2995</v>
      </c>
      <c r="AK136" s="18" t="s">
        <v>2996</v>
      </c>
      <c r="AL136" s="18" t="s">
        <v>2997</v>
      </c>
      <c r="AM136" s="18" t="s">
        <v>1142</v>
      </c>
      <c r="AN136" s="18" t="s">
        <v>2998</v>
      </c>
      <c r="AO136" s="18" t="s">
        <v>2999</v>
      </c>
      <c r="AP136" s="18" t="s">
        <v>2993</v>
      </c>
      <c r="AQ136" s="204" t="s">
        <v>2992</v>
      </c>
      <c r="AR136" s="18" t="s">
        <v>2909</v>
      </c>
      <c r="AS136" s="94" t="s">
        <v>2908</v>
      </c>
    </row>
    <row r="137" spans="1:45" s="18" customFormat="1" x14ac:dyDescent="0.2">
      <c r="A137" s="18" t="s">
        <v>510</v>
      </c>
      <c r="B137" s="125"/>
      <c r="C137" s="33" t="s">
        <v>1135</v>
      </c>
      <c r="D137" s="33" t="s">
        <v>374</v>
      </c>
      <c r="E137" s="34" t="s">
        <v>2431</v>
      </c>
      <c r="F137" s="33" t="s">
        <v>219</v>
      </c>
      <c r="G137" s="33" t="s">
        <v>2520</v>
      </c>
      <c r="H137" s="36" t="s">
        <v>1137</v>
      </c>
      <c r="I137" s="36" t="s">
        <v>259</v>
      </c>
      <c r="J137" s="36" t="s">
        <v>1137</v>
      </c>
      <c r="K137" s="36" t="s">
        <v>259</v>
      </c>
      <c r="L137" s="36" t="s">
        <v>568</v>
      </c>
      <c r="M137" s="36" t="s">
        <v>977</v>
      </c>
      <c r="N137" s="514"/>
      <c r="O137" s="514">
        <f>IF($C137="","",VLOOKUP($C137,'2017 Pricelist'!$C:$I,7,FALSE))</f>
        <v>19.989999999999998</v>
      </c>
      <c r="P137" s="35">
        <v>1</v>
      </c>
      <c r="Q137" s="187">
        <v>12</v>
      </c>
      <c r="R137" s="44">
        <f t="shared" si="79"/>
        <v>0.39683207193277964</v>
      </c>
      <c r="S137" s="33">
        <v>3.25</v>
      </c>
      <c r="T137" s="33">
        <v>3.375</v>
      </c>
      <c r="U137" s="70">
        <v>10</v>
      </c>
      <c r="V137" s="44">
        <f t="shared" si="80"/>
        <v>0.39683207193277964</v>
      </c>
      <c r="W137" s="33">
        <v>3.25</v>
      </c>
      <c r="X137" s="33">
        <v>3.375</v>
      </c>
      <c r="Y137" s="70">
        <v>10</v>
      </c>
      <c r="Z137" s="44" t="s">
        <v>259</v>
      </c>
      <c r="AA137" s="33" t="s">
        <v>259</v>
      </c>
      <c r="AB137" s="33" t="s">
        <v>259</v>
      </c>
      <c r="AC137" s="70" t="s">
        <v>259</v>
      </c>
      <c r="AD137" s="44">
        <f t="shared" si="81"/>
        <v>5.6658801381513539</v>
      </c>
      <c r="AE137" s="33">
        <v>19.25</v>
      </c>
      <c r="AF137" s="33">
        <v>10.5</v>
      </c>
      <c r="AG137" s="70">
        <v>7.75</v>
      </c>
      <c r="AH137" s="44">
        <f t="shared" si="82"/>
        <v>0.90652126736111116</v>
      </c>
      <c r="AI137" s="18" t="s">
        <v>2994</v>
      </c>
      <c r="AJ137" s="18" t="s">
        <v>2995</v>
      </c>
      <c r="AK137" s="18" t="s">
        <v>2996</v>
      </c>
      <c r="AL137" s="18" t="s">
        <v>2997</v>
      </c>
      <c r="AM137" s="18" t="s">
        <v>1142</v>
      </c>
      <c r="AN137" s="18" t="s">
        <v>2998</v>
      </c>
      <c r="AO137" s="18" t="s">
        <v>2999</v>
      </c>
      <c r="AP137" s="18" t="s">
        <v>2993</v>
      </c>
      <c r="AQ137" s="204" t="s">
        <v>2992</v>
      </c>
      <c r="AR137" s="18" t="s">
        <v>2909</v>
      </c>
      <c r="AS137" s="94" t="s">
        <v>2908</v>
      </c>
    </row>
    <row r="138" spans="1:45" s="18" customFormat="1" x14ac:dyDescent="0.2">
      <c r="A138" s="18" t="s">
        <v>510</v>
      </c>
      <c r="B138" s="125"/>
      <c r="C138" s="33" t="s">
        <v>1135</v>
      </c>
      <c r="D138" s="33" t="s">
        <v>371</v>
      </c>
      <c r="E138" s="34" t="s">
        <v>2431</v>
      </c>
      <c r="F138" s="33" t="s">
        <v>218</v>
      </c>
      <c r="G138" s="33" t="s">
        <v>2520</v>
      </c>
      <c r="H138" s="36" t="s">
        <v>1138</v>
      </c>
      <c r="I138" s="36" t="s">
        <v>259</v>
      </c>
      <c r="J138" s="36" t="s">
        <v>1138</v>
      </c>
      <c r="K138" s="36" t="s">
        <v>259</v>
      </c>
      <c r="L138" s="36" t="s">
        <v>568</v>
      </c>
      <c r="M138" s="36" t="s">
        <v>977</v>
      </c>
      <c r="N138" s="514"/>
      <c r="O138" s="514">
        <f>IF($C138="","",VLOOKUP($C138,'2017 Pricelist'!$C:$I,7,FALSE))</f>
        <v>19.989999999999998</v>
      </c>
      <c r="P138" s="35">
        <v>1</v>
      </c>
      <c r="Q138" s="187">
        <v>12</v>
      </c>
      <c r="R138" s="44">
        <f t="shared" si="79"/>
        <v>0.39683207193277964</v>
      </c>
      <c r="S138" s="33">
        <v>3.25</v>
      </c>
      <c r="T138" s="33">
        <v>3.375</v>
      </c>
      <c r="U138" s="70">
        <v>10</v>
      </c>
      <c r="V138" s="44">
        <f t="shared" si="80"/>
        <v>0.39683207193277964</v>
      </c>
      <c r="W138" s="33">
        <v>3.25</v>
      </c>
      <c r="X138" s="33">
        <v>3.375</v>
      </c>
      <c r="Y138" s="70">
        <v>10</v>
      </c>
      <c r="Z138" s="44" t="s">
        <v>259</v>
      </c>
      <c r="AA138" s="33" t="s">
        <v>259</v>
      </c>
      <c r="AB138" s="33" t="s">
        <v>259</v>
      </c>
      <c r="AC138" s="70" t="s">
        <v>259</v>
      </c>
      <c r="AD138" s="44">
        <f t="shared" si="81"/>
        <v>5.6658801381513539</v>
      </c>
      <c r="AE138" s="33">
        <v>19.25</v>
      </c>
      <c r="AF138" s="33">
        <v>10.5</v>
      </c>
      <c r="AG138" s="70">
        <v>7.75</v>
      </c>
      <c r="AH138" s="44">
        <f t="shared" si="82"/>
        <v>0.90652126736111116</v>
      </c>
      <c r="AI138" s="18" t="s">
        <v>2994</v>
      </c>
      <c r="AJ138" s="18" t="s">
        <v>2995</v>
      </c>
      <c r="AK138" s="18" t="s">
        <v>2996</v>
      </c>
      <c r="AL138" s="18" t="s">
        <v>2997</v>
      </c>
      <c r="AM138" s="18" t="s">
        <v>1142</v>
      </c>
      <c r="AN138" s="18" t="s">
        <v>2998</v>
      </c>
      <c r="AO138" s="18" t="s">
        <v>2999</v>
      </c>
      <c r="AP138" s="18" t="s">
        <v>2993</v>
      </c>
      <c r="AQ138" s="204" t="s">
        <v>2992</v>
      </c>
      <c r="AR138" s="18" t="s">
        <v>2909</v>
      </c>
      <c r="AS138" s="94" t="s">
        <v>2908</v>
      </c>
    </row>
    <row r="139" spans="1:45" s="18" customFormat="1" x14ac:dyDescent="0.2">
      <c r="A139" s="18" t="s">
        <v>510</v>
      </c>
      <c r="B139" s="125"/>
      <c r="C139" s="33" t="s">
        <v>1135</v>
      </c>
      <c r="D139" s="33" t="s">
        <v>1017</v>
      </c>
      <c r="E139" s="34" t="s">
        <v>2431</v>
      </c>
      <c r="F139" s="33" t="s">
        <v>1018</v>
      </c>
      <c r="G139" s="33" t="s">
        <v>2520</v>
      </c>
      <c r="H139" s="36" t="s">
        <v>1139</v>
      </c>
      <c r="I139" s="36" t="s">
        <v>259</v>
      </c>
      <c r="J139" s="36" t="s">
        <v>1139</v>
      </c>
      <c r="K139" s="36" t="s">
        <v>259</v>
      </c>
      <c r="L139" s="36" t="s">
        <v>568</v>
      </c>
      <c r="M139" s="36" t="s">
        <v>977</v>
      </c>
      <c r="N139" s="514"/>
      <c r="O139" s="514">
        <f>IF($C139="","",VLOOKUP($C139,'2017 Pricelist'!$C:$I,7,FALSE))</f>
        <v>19.989999999999998</v>
      </c>
      <c r="P139" s="35">
        <v>1</v>
      </c>
      <c r="Q139" s="187">
        <v>12</v>
      </c>
      <c r="R139" s="44">
        <f t="shared" si="79"/>
        <v>0.39683207193277964</v>
      </c>
      <c r="S139" s="33">
        <v>3.25</v>
      </c>
      <c r="T139" s="33">
        <v>3.375</v>
      </c>
      <c r="U139" s="70">
        <v>10</v>
      </c>
      <c r="V139" s="44">
        <f t="shared" si="80"/>
        <v>0.39683207193277964</v>
      </c>
      <c r="W139" s="33">
        <v>3.25</v>
      </c>
      <c r="X139" s="33">
        <v>3.375</v>
      </c>
      <c r="Y139" s="70">
        <v>10</v>
      </c>
      <c r="Z139" s="44" t="s">
        <v>259</v>
      </c>
      <c r="AA139" s="33" t="s">
        <v>259</v>
      </c>
      <c r="AB139" s="33" t="s">
        <v>259</v>
      </c>
      <c r="AC139" s="70" t="s">
        <v>259</v>
      </c>
      <c r="AD139" s="44">
        <f t="shared" si="81"/>
        <v>5.6658801381513539</v>
      </c>
      <c r="AE139" s="33">
        <v>19.25</v>
      </c>
      <c r="AF139" s="33">
        <v>10.5</v>
      </c>
      <c r="AG139" s="70">
        <v>7.75</v>
      </c>
      <c r="AH139" s="44">
        <f t="shared" si="82"/>
        <v>0.90652126736111116</v>
      </c>
      <c r="AI139" s="18" t="s">
        <v>2994</v>
      </c>
      <c r="AJ139" s="18" t="s">
        <v>2995</v>
      </c>
      <c r="AK139" s="18" t="s">
        <v>2996</v>
      </c>
      <c r="AL139" s="18" t="s">
        <v>2997</v>
      </c>
      <c r="AM139" s="18" t="s">
        <v>1142</v>
      </c>
      <c r="AN139" s="18" t="s">
        <v>2998</v>
      </c>
      <c r="AO139" s="18" t="s">
        <v>2999</v>
      </c>
      <c r="AP139" s="18" t="s">
        <v>2993</v>
      </c>
      <c r="AQ139" s="204" t="s">
        <v>2992</v>
      </c>
      <c r="AR139" s="18" t="s">
        <v>2909</v>
      </c>
      <c r="AS139" s="94" t="s">
        <v>2908</v>
      </c>
    </row>
    <row r="140" spans="1:45" s="18" customFormat="1" x14ac:dyDescent="0.2">
      <c r="A140" s="18" t="s">
        <v>510</v>
      </c>
      <c r="B140" s="125"/>
      <c r="C140" s="33" t="s">
        <v>1135</v>
      </c>
      <c r="D140" s="33" t="s">
        <v>383</v>
      </c>
      <c r="E140" s="34" t="s">
        <v>2431</v>
      </c>
      <c r="F140" s="33" t="s">
        <v>484</v>
      </c>
      <c r="G140" s="33" t="s">
        <v>2520</v>
      </c>
      <c r="H140" s="36" t="s">
        <v>1141</v>
      </c>
      <c r="I140" s="36" t="s">
        <v>259</v>
      </c>
      <c r="J140" s="36" t="s">
        <v>1141</v>
      </c>
      <c r="K140" s="36" t="s">
        <v>259</v>
      </c>
      <c r="L140" s="36" t="s">
        <v>568</v>
      </c>
      <c r="M140" s="36" t="s">
        <v>977</v>
      </c>
      <c r="N140" s="514"/>
      <c r="O140" s="514">
        <f>IF($C140="","",VLOOKUP($C140,'2017 Pricelist'!$C:$I,7,FALSE))</f>
        <v>19.989999999999998</v>
      </c>
      <c r="P140" s="35">
        <v>1</v>
      </c>
      <c r="Q140" s="187">
        <v>12</v>
      </c>
      <c r="R140" s="44">
        <f t="shared" si="79"/>
        <v>0.39683207193277964</v>
      </c>
      <c r="S140" s="33">
        <v>3.25</v>
      </c>
      <c r="T140" s="33">
        <v>3.375</v>
      </c>
      <c r="U140" s="70">
        <v>10</v>
      </c>
      <c r="V140" s="44">
        <f t="shared" si="80"/>
        <v>0.39683207193277964</v>
      </c>
      <c r="W140" s="33">
        <v>3.25</v>
      </c>
      <c r="X140" s="33">
        <v>3.375</v>
      </c>
      <c r="Y140" s="70">
        <v>10</v>
      </c>
      <c r="Z140" s="44" t="s">
        <v>259</v>
      </c>
      <c r="AA140" s="33" t="s">
        <v>259</v>
      </c>
      <c r="AB140" s="33" t="s">
        <v>259</v>
      </c>
      <c r="AC140" s="70" t="s">
        <v>259</v>
      </c>
      <c r="AD140" s="44">
        <f t="shared" si="81"/>
        <v>5.6658801381513539</v>
      </c>
      <c r="AE140" s="33">
        <v>19.25</v>
      </c>
      <c r="AF140" s="33">
        <v>10.5</v>
      </c>
      <c r="AG140" s="70">
        <v>7.75</v>
      </c>
      <c r="AH140" s="44">
        <f t="shared" si="82"/>
        <v>0.90652126736111116</v>
      </c>
      <c r="AI140" s="18" t="s">
        <v>2994</v>
      </c>
      <c r="AJ140" s="18" t="s">
        <v>2995</v>
      </c>
      <c r="AK140" s="18" t="s">
        <v>2996</v>
      </c>
      <c r="AL140" s="18" t="s">
        <v>2997</v>
      </c>
      <c r="AM140" s="18" t="s">
        <v>1142</v>
      </c>
      <c r="AN140" s="18" t="s">
        <v>2998</v>
      </c>
      <c r="AO140" s="18" t="s">
        <v>2999</v>
      </c>
      <c r="AP140" s="18" t="s">
        <v>2993</v>
      </c>
      <c r="AQ140" s="204" t="s">
        <v>2992</v>
      </c>
      <c r="AR140" s="18" t="s">
        <v>2909</v>
      </c>
      <c r="AS140" s="94" t="s">
        <v>2908</v>
      </c>
    </row>
    <row r="141" spans="1:45" s="18" customFormat="1" x14ac:dyDescent="0.2">
      <c r="A141" s="18" t="s">
        <v>510</v>
      </c>
      <c r="B141" s="125"/>
      <c r="C141" s="33" t="s">
        <v>1135</v>
      </c>
      <c r="D141" s="33" t="s">
        <v>1739</v>
      </c>
      <c r="E141" s="34" t="s">
        <v>2431</v>
      </c>
      <c r="F141" s="33" t="s">
        <v>1859</v>
      </c>
      <c r="G141" s="33" t="s">
        <v>2520</v>
      </c>
      <c r="H141" s="36" t="s">
        <v>1757</v>
      </c>
      <c r="I141" s="36" t="s">
        <v>259</v>
      </c>
      <c r="J141" s="36" t="s">
        <v>1757</v>
      </c>
      <c r="K141" s="36" t="s">
        <v>259</v>
      </c>
      <c r="L141" s="36" t="s">
        <v>568</v>
      </c>
      <c r="M141" s="36" t="s">
        <v>977</v>
      </c>
      <c r="N141" s="514"/>
      <c r="O141" s="514">
        <f>IF($C141="","",VLOOKUP($C141,'2017 Pricelist'!$C:$I,7,FALSE))</f>
        <v>19.989999999999998</v>
      </c>
      <c r="P141" s="35">
        <v>1</v>
      </c>
      <c r="Q141" s="187">
        <v>12</v>
      </c>
      <c r="R141" s="44">
        <f t="shared" si="79"/>
        <v>0.39683207193277964</v>
      </c>
      <c r="S141" s="33">
        <v>3.25</v>
      </c>
      <c r="T141" s="33">
        <v>3.375</v>
      </c>
      <c r="U141" s="70">
        <v>10</v>
      </c>
      <c r="V141" s="44">
        <f t="shared" si="80"/>
        <v>0.39683207193277964</v>
      </c>
      <c r="W141" s="33">
        <v>3.25</v>
      </c>
      <c r="X141" s="33">
        <v>3.375</v>
      </c>
      <c r="Y141" s="70">
        <v>10</v>
      </c>
      <c r="Z141" s="44" t="s">
        <v>259</v>
      </c>
      <c r="AA141" s="33" t="s">
        <v>259</v>
      </c>
      <c r="AB141" s="33" t="s">
        <v>259</v>
      </c>
      <c r="AC141" s="70" t="s">
        <v>259</v>
      </c>
      <c r="AD141" s="44">
        <f t="shared" si="81"/>
        <v>5.6658801381513539</v>
      </c>
      <c r="AE141" s="33">
        <v>19.25</v>
      </c>
      <c r="AF141" s="33">
        <v>10.5</v>
      </c>
      <c r="AG141" s="70">
        <v>7.75</v>
      </c>
      <c r="AH141" s="44">
        <f t="shared" si="82"/>
        <v>0.90652126736111116</v>
      </c>
      <c r="AI141" s="18" t="s">
        <v>2994</v>
      </c>
      <c r="AJ141" s="18" t="s">
        <v>2995</v>
      </c>
      <c r="AK141" s="18" t="s">
        <v>2996</v>
      </c>
      <c r="AL141" s="18" t="s">
        <v>2997</v>
      </c>
      <c r="AM141" s="18" t="s">
        <v>1142</v>
      </c>
      <c r="AN141" s="18" t="s">
        <v>2998</v>
      </c>
      <c r="AO141" s="18" t="s">
        <v>2999</v>
      </c>
      <c r="AP141" s="18" t="s">
        <v>2993</v>
      </c>
      <c r="AQ141" s="204" t="s">
        <v>2992</v>
      </c>
      <c r="AR141" s="18" t="s">
        <v>2909</v>
      </c>
      <c r="AS141" s="94" t="s">
        <v>2908</v>
      </c>
    </row>
    <row r="142" spans="1:45" s="18" customFormat="1" x14ac:dyDescent="0.2">
      <c r="A142" s="18" t="s">
        <v>510</v>
      </c>
      <c r="B142" s="125"/>
      <c r="C142" s="33" t="s">
        <v>1135</v>
      </c>
      <c r="D142" s="33" t="s">
        <v>1740</v>
      </c>
      <c r="E142" s="34" t="s">
        <v>2431</v>
      </c>
      <c r="F142" s="33" t="s">
        <v>1858</v>
      </c>
      <c r="G142" s="33" t="s">
        <v>2520</v>
      </c>
      <c r="H142" s="36" t="s">
        <v>1758</v>
      </c>
      <c r="I142" s="36" t="s">
        <v>259</v>
      </c>
      <c r="J142" s="36" t="s">
        <v>1758</v>
      </c>
      <c r="K142" s="36" t="s">
        <v>259</v>
      </c>
      <c r="L142" s="36" t="s">
        <v>568</v>
      </c>
      <c r="M142" s="36" t="s">
        <v>977</v>
      </c>
      <c r="N142" s="514"/>
      <c r="O142" s="514">
        <f>IF($C142="","",VLOOKUP($C142,'2017 Pricelist'!$C:$I,7,FALSE))</f>
        <v>19.989999999999998</v>
      </c>
      <c r="P142" s="35">
        <v>1</v>
      </c>
      <c r="Q142" s="187">
        <v>12</v>
      </c>
      <c r="R142" s="44">
        <f t="shared" si="79"/>
        <v>0.39683207193277964</v>
      </c>
      <c r="S142" s="33">
        <v>3.25</v>
      </c>
      <c r="T142" s="33">
        <v>3.375</v>
      </c>
      <c r="U142" s="70">
        <v>10</v>
      </c>
      <c r="V142" s="44">
        <f t="shared" si="80"/>
        <v>0.39683207193277964</v>
      </c>
      <c r="W142" s="33">
        <v>3.25</v>
      </c>
      <c r="X142" s="33">
        <v>3.375</v>
      </c>
      <c r="Y142" s="70">
        <v>10</v>
      </c>
      <c r="Z142" s="44" t="s">
        <v>259</v>
      </c>
      <c r="AA142" s="33" t="s">
        <v>259</v>
      </c>
      <c r="AB142" s="33" t="s">
        <v>259</v>
      </c>
      <c r="AC142" s="70" t="s">
        <v>259</v>
      </c>
      <c r="AD142" s="44">
        <f t="shared" si="81"/>
        <v>5.6658801381513539</v>
      </c>
      <c r="AE142" s="33">
        <v>19.25</v>
      </c>
      <c r="AF142" s="33">
        <v>10.5</v>
      </c>
      <c r="AG142" s="70">
        <v>7.75</v>
      </c>
      <c r="AH142" s="44">
        <f t="shared" si="82"/>
        <v>0.90652126736111116</v>
      </c>
      <c r="AI142" s="18" t="s">
        <v>2994</v>
      </c>
      <c r="AJ142" s="18" t="s">
        <v>2995</v>
      </c>
      <c r="AK142" s="18" t="s">
        <v>2996</v>
      </c>
      <c r="AL142" s="18" t="s">
        <v>2997</v>
      </c>
      <c r="AM142" s="18" t="s">
        <v>1142</v>
      </c>
      <c r="AN142" s="18" t="s">
        <v>2998</v>
      </c>
      <c r="AO142" s="18" t="s">
        <v>2999</v>
      </c>
      <c r="AP142" s="18" t="s">
        <v>2993</v>
      </c>
      <c r="AQ142" s="204" t="s">
        <v>2992</v>
      </c>
      <c r="AR142" s="18" t="s">
        <v>2909</v>
      </c>
      <c r="AS142" s="94" t="s">
        <v>2908</v>
      </c>
    </row>
    <row r="143" spans="1:45" s="18" customFormat="1" x14ac:dyDescent="0.2">
      <c r="A143" s="18" t="s">
        <v>510</v>
      </c>
      <c r="B143" s="125"/>
      <c r="C143" s="33" t="s">
        <v>1135</v>
      </c>
      <c r="D143" s="33" t="s">
        <v>1741</v>
      </c>
      <c r="E143" s="34" t="s">
        <v>2431</v>
      </c>
      <c r="F143" s="33" t="s">
        <v>2776</v>
      </c>
      <c r="G143" s="33" t="s">
        <v>2520</v>
      </c>
      <c r="H143" s="36" t="s">
        <v>1759</v>
      </c>
      <c r="I143" s="36" t="s">
        <v>259</v>
      </c>
      <c r="J143" s="36" t="s">
        <v>2896</v>
      </c>
      <c r="K143" s="36" t="s">
        <v>2840</v>
      </c>
      <c r="L143" s="36" t="s">
        <v>568</v>
      </c>
      <c r="M143" s="36" t="s">
        <v>977</v>
      </c>
      <c r="N143" s="514"/>
      <c r="O143" s="514">
        <f>IF($C143="","",VLOOKUP($C143,'2017 Pricelist'!$C:$I,7,FALSE))</f>
        <v>19.989999999999998</v>
      </c>
      <c r="P143" s="35">
        <v>1</v>
      </c>
      <c r="Q143" s="187">
        <v>12</v>
      </c>
      <c r="R143" s="44">
        <f t="shared" si="79"/>
        <v>0.39683207193277964</v>
      </c>
      <c r="S143" s="33">
        <v>3.25</v>
      </c>
      <c r="T143" s="33">
        <v>3.375</v>
      </c>
      <c r="U143" s="70">
        <v>10</v>
      </c>
      <c r="V143" s="44">
        <f t="shared" si="80"/>
        <v>0.39683207193277964</v>
      </c>
      <c r="W143" s="33">
        <v>3.25</v>
      </c>
      <c r="X143" s="33">
        <v>3.375</v>
      </c>
      <c r="Y143" s="70">
        <v>10</v>
      </c>
      <c r="Z143" s="44" t="s">
        <v>259</v>
      </c>
      <c r="AA143" s="33" t="s">
        <v>259</v>
      </c>
      <c r="AB143" s="33" t="s">
        <v>259</v>
      </c>
      <c r="AC143" s="70" t="s">
        <v>259</v>
      </c>
      <c r="AD143" s="44">
        <f t="shared" si="81"/>
        <v>5.6658801381513539</v>
      </c>
      <c r="AE143" s="33">
        <v>19.25</v>
      </c>
      <c r="AF143" s="33">
        <v>10.5</v>
      </c>
      <c r="AG143" s="70">
        <v>7.75</v>
      </c>
      <c r="AH143" s="44">
        <f t="shared" si="82"/>
        <v>0.90652126736111116</v>
      </c>
      <c r="AI143" s="18" t="s">
        <v>2994</v>
      </c>
      <c r="AJ143" s="18" t="s">
        <v>2995</v>
      </c>
      <c r="AK143" s="18" t="s">
        <v>2996</v>
      </c>
      <c r="AL143" s="18" t="s">
        <v>2997</v>
      </c>
      <c r="AM143" s="18" t="s">
        <v>1142</v>
      </c>
      <c r="AN143" s="18" t="s">
        <v>2998</v>
      </c>
      <c r="AO143" s="18" t="s">
        <v>2999</v>
      </c>
      <c r="AP143" s="18" t="s">
        <v>2993</v>
      </c>
      <c r="AQ143" s="204" t="s">
        <v>2992</v>
      </c>
      <c r="AR143" s="18" t="s">
        <v>2909</v>
      </c>
      <c r="AS143" s="94" t="s">
        <v>2908</v>
      </c>
    </row>
    <row r="144" spans="1:45" s="18" customFormat="1" x14ac:dyDescent="0.2">
      <c r="B144" s="125"/>
      <c r="C144" s="33"/>
      <c r="D144" s="33" t="s">
        <v>529</v>
      </c>
      <c r="E144" s="34"/>
      <c r="F144" s="33"/>
      <c r="G144" s="33"/>
      <c r="H144" s="36"/>
      <c r="I144" s="36"/>
      <c r="J144" s="36"/>
      <c r="K144" s="36"/>
      <c r="L144" s="36"/>
      <c r="M144" s="36"/>
      <c r="N144" s="5"/>
      <c r="O144" s="514" t="str">
        <f>IF($C144="","",VLOOKUP($C144,'2017 Pricelist'!$C:$I,7,FALSE))</f>
        <v/>
      </c>
      <c r="P144" s="35"/>
      <c r="Q144" s="187"/>
      <c r="R144" s="33"/>
      <c r="S144" s="33"/>
      <c r="T144" s="33"/>
      <c r="U144" s="70"/>
      <c r="V144" s="44"/>
      <c r="W144" s="33"/>
      <c r="X144" s="33"/>
      <c r="Y144" s="70"/>
      <c r="Z144" s="44"/>
      <c r="AA144" s="33"/>
      <c r="AB144" s="33"/>
      <c r="AC144" s="70"/>
      <c r="AD144" s="44"/>
      <c r="AE144" s="33"/>
      <c r="AF144" s="33"/>
      <c r="AG144" s="70"/>
      <c r="AH144" s="44"/>
      <c r="AQ144" s="204"/>
      <c r="AR144" s="63"/>
    </row>
    <row r="145" spans="1:45" s="105" customFormat="1" ht="15.75" x14ac:dyDescent="0.25">
      <c r="A145" s="351" t="s">
        <v>2476</v>
      </c>
      <c r="B145" s="351"/>
      <c r="C145" s="351"/>
      <c r="D145" s="33" t="s">
        <v>529</v>
      </c>
      <c r="E145" s="192"/>
      <c r="H145" s="162"/>
      <c r="I145" s="162"/>
      <c r="J145" s="162"/>
      <c r="K145" s="162"/>
      <c r="L145" s="162"/>
      <c r="M145" s="162"/>
      <c r="N145" s="164"/>
      <c r="O145" s="514" t="str">
        <f>IF($C145="","",VLOOKUP($C145,'2017 Pricelist'!$C:$I,7,FALSE))</f>
        <v/>
      </c>
      <c r="P145" s="165"/>
      <c r="Q145" s="234"/>
      <c r="R145" s="155"/>
      <c r="S145" s="155"/>
      <c r="T145" s="155"/>
      <c r="U145" s="156"/>
      <c r="V145" s="154"/>
      <c r="W145" s="155"/>
      <c r="X145" s="155"/>
      <c r="Y145" s="156"/>
      <c r="Z145" s="154"/>
      <c r="AA145" s="155"/>
      <c r="AB145" s="155"/>
      <c r="AC145" s="156"/>
      <c r="AD145" s="154"/>
      <c r="AE145" s="155"/>
      <c r="AF145" s="155"/>
      <c r="AG145" s="156"/>
      <c r="AH145" s="154"/>
    </row>
    <row r="146" spans="1:45" s="14" customFormat="1" x14ac:dyDescent="0.2">
      <c r="A146" s="14" t="s">
        <v>510</v>
      </c>
      <c r="B146" s="127"/>
      <c r="C146" s="33" t="s">
        <v>1085</v>
      </c>
      <c r="D146" s="33" t="s">
        <v>374</v>
      </c>
      <c r="E146" s="16" t="s">
        <v>2429</v>
      </c>
      <c r="F146" s="15" t="s">
        <v>219</v>
      </c>
      <c r="G146" s="15" t="s">
        <v>2558</v>
      </c>
      <c r="H146" s="36" t="s">
        <v>1090</v>
      </c>
      <c r="I146" s="36" t="s">
        <v>1090</v>
      </c>
      <c r="J146" s="36" t="s">
        <v>1090</v>
      </c>
      <c r="K146" s="36" t="s">
        <v>259</v>
      </c>
      <c r="L146" s="27" t="s">
        <v>568</v>
      </c>
      <c r="M146" s="27" t="s">
        <v>977</v>
      </c>
      <c r="N146" s="514"/>
      <c r="O146" s="514">
        <f>IF($C146="","",VLOOKUP($C146,'2017 Pricelist'!$C:$I,7,FALSE))</f>
        <v>9.99</v>
      </c>
      <c r="P146" s="35">
        <v>12</v>
      </c>
      <c r="Q146" s="187">
        <v>72</v>
      </c>
      <c r="R146" s="33">
        <f t="shared" ref="R146:R152" si="83">CONVERT(40,"g","lbm")</f>
        <v>8.8184904873951031E-2</v>
      </c>
      <c r="S146" s="33">
        <v>2.75</v>
      </c>
      <c r="T146" s="33">
        <v>2.8125</v>
      </c>
      <c r="U146" s="70">
        <v>4.25</v>
      </c>
      <c r="V146" s="44">
        <f t="shared" ref="V146:V152" si="84">CONVERT(50,"g","lbm")</f>
        <v>0.11023113109243879</v>
      </c>
      <c r="W146" s="33">
        <v>3.75</v>
      </c>
      <c r="X146" s="33">
        <v>3.5</v>
      </c>
      <c r="Y146" s="70">
        <v>5.75</v>
      </c>
      <c r="Z146" s="44">
        <f t="shared" ref="Z146:Z151" si="85">CONVERT(730,"g","lbm")</f>
        <v>1.6093745139496063</v>
      </c>
      <c r="AA146" s="33">
        <v>9.75</v>
      </c>
      <c r="AB146" s="33">
        <v>6.75</v>
      </c>
      <c r="AC146" s="70">
        <v>8.75</v>
      </c>
      <c r="AD146" s="44">
        <v>10.75</v>
      </c>
      <c r="AE146" s="33">
        <v>20.5</v>
      </c>
      <c r="AF146" s="33">
        <v>10</v>
      </c>
      <c r="AG146" s="70">
        <v>18.25</v>
      </c>
      <c r="AH146" s="44">
        <f t="shared" ref="AH146:AH153" si="86">AE146*AF146*AG146/(12^3)</f>
        <v>2.1650752314814814</v>
      </c>
      <c r="AI146" s="37" t="s">
        <v>2994</v>
      </c>
      <c r="AJ146" s="37" t="s">
        <v>1083</v>
      </c>
      <c r="AK146" s="37" t="s">
        <v>3000</v>
      </c>
      <c r="AL146" s="37" t="s">
        <v>1143</v>
      </c>
      <c r="AM146" s="18" t="s">
        <v>3002</v>
      </c>
      <c r="AN146" s="18"/>
      <c r="AO146" s="18"/>
      <c r="AP146" s="18"/>
      <c r="AQ146" s="37" t="s">
        <v>3001</v>
      </c>
      <c r="AR146" s="18" t="s">
        <v>2909</v>
      </c>
      <c r="AS146" s="94" t="s">
        <v>2908</v>
      </c>
    </row>
    <row r="147" spans="1:45" s="14" customFormat="1" x14ac:dyDescent="0.2">
      <c r="A147" s="14" t="s">
        <v>510</v>
      </c>
      <c r="B147" s="127"/>
      <c r="C147" s="33" t="s">
        <v>1085</v>
      </c>
      <c r="D147" s="33" t="s">
        <v>371</v>
      </c>
      <c r="E147" s="16" t="s">
        <v>2429</v>
      </c>
      <c r="F147" s="15" t="s">
        <v>218</v>
      </c>
      <c r="G147" s="15" t="s">
        <v>2558</v>
      </c>
      <c r="H147" s="36" t="s">
        <v>1091</v>
      </c>
      <c r="I147" s="36" t="s">
        <v>1091</v>
      </c>
      <c r="J147" s="36" t="s">
        <v>1091</v>
      </c>
      <c r="K147" s="36" t="s">
        <v>259</v>
      </c>
      <c r="L147" s="27" t="s">
        <v>568</v>
      </c>
      <c r="M147" s="27" t="s">
        <v>977</v>
      </c>
      <c r="N147" s="514"/>
      <c r="O147" s="514">
        <f>IF($C147="","",VLOOKUP($C147,'2017 Pricelist'!$C:$I,7,FALSE))</f>
        <v>9.99</v>
      </c>
      <c r="P147" s="35">
        <v>12</v>
      </c>
      <c r="Q147" s="187">
        <v>72</v>
      </c>
      <c r="R147" s="33">
        <f t="shared" si="83"/>
        <v>8.8184904873951031E-2</v>
      </c>
      <c r="S147" s="33">
        <v>2.75</v>
      </c>
      <c r="T147" s="33">
        <v>2.8125</v>
      </c>
      <c r="U147" s="70">
        <v>4.25</v>
      </c>
      <c r="V147" s="44">
        <f t="shared" si="84"/>
        <v>0.11023113109243879</v>
      </c>
      <c r="W147" s="33">
        <v>3.75</v>
      </c>
      <c r="X147" s="33">
        <v>3.5</v>
      </c>
      <c r="Y147" s="70">
        <v>5.75</v>
      </c>
      <c r="Z147" s="44">
        <f t="shared" si="85"/>
        <v>1.6093745139496063</v>
      </c>
      <c r="AA147" s="33">
        <v>9.75</v>
      </c>
      <c r="AB147" s="33">
        <v>6.75</v>
      </c>
      <c r="AC147" s="70">
        <v>8.75</v>
      </c>
      <c r="AD147" s="44">
        <v>10.75</v>
      </c>
      <c r="AE147" s="33">
        <v>20.5</v>
      </c>
      <c r="AF147" s="33">
        <v>10</v>
      </c>
      <c r="AG147" s="70">
        <v>18.25</v>
      </c>
      <c r="AH147" s="44">
        <f t="shared" si="86"/>
        <v>2.1650752314814814</v>
      </c>
      <c r="AI147" s="37" t="s">
        <v>2994</v>
      </c>
      <c r="AJ147" s="37" t="s">
        <v>1083</v>
      </c>
      <c r="AK147" s="37" t="s">
        <v>3000</v>
      </c>
      <c r="AL147" s="37" t="s">
        <v>1143</v>
      </c>
      <c r="AM147" s="18" t="s">
        <v>3002</v>
      </c>
      <c r="AN147" s="18"/>
      <c r="AO147" s="18"/>
      <c r="AP147" s="18"/>
      <c r="AQ147" s="37" t="s">
        <v>3001</v>
      </c>
      <c r="AR147" s="18" t="s">
        <v>2909</v>
      </c>
      <c r="AS147" s="94" t="s">
        <v>2908</v>
      </c>
    </row>
    <row r="148" spans="1:45" s="14" customFormat="1" x14ac:dyDescent="0.2">
      <c r="A148" s="14" t="s">
        <v>510</v>
      </c>
      <c r="B148" s="127"/>
      <c r="C148" s="33" t="s">
        <v>1085</v>
      </c>
      <c r="D148" s="33" t="s">
        <v>1017</v>
      </c>
      <c r="E148" s="16" t="s">
        <v>2429</v>
      </c>
      <c r="F148" s="15" t="s">
        <v>1018</v>
      </c>
      <c r="G148" s="15" t="s">
        <v>2558</v>
      </c>
      <c r="H148" s="36" t="s">
        <v>1092</v>
      </c>
      <c r="I148" s="36" t="s">
        <v>1092</v>
      </c>
      <c r="J148" s="36" t="s">
        <v>1092</v>
      </c>
      <c r="K148" s="36" t="s">
        <v>259</v>
      </c>
      <c r="L148" s="27" t="s">
        <v>568</v>
      </c>
      <c r="M148" s="27" t="s">
        <v>977</v>
      </c>
      <c r="N148" s="514"/>
      <c r="O148" s="514">
        <f>IF($C148="","",VLOOKUP($C148,'2017 Pricelist'!$C:$I,7,FALSE))</f>
        <v>9.99</v>
      </c>
      <c r="P148" s="35">
        <v>12</v>
      </c>
      <c r="Q148" s="187">
        <v>72</v>
      </c>
      <c r="R148" s="33">
        <f t="shared" si="83"/>
        <v>8.8184904873951031E-2</v>
      </c>
      <c r="S148" s="33">
        <v>2.75</v>
      </c>
      <c r="T148" s="33">
        <v>2.8125</v>
      </c>
      <c r="U148" s="70">
        <v>4.25</v>
      </c>
      <c r="V148" s="44">
        <f t="shared" si="84"/>
        <v>0.11023113109243879</v>
      </c>
      <c r="W148" s="33">
        <v>3.75</v>
      </c>
      <c r="X148" s="33">
        <v>3.5</v>
      </c>
      <c r="Y148" s="70">
        <v>5.75</v>
      </c>
      <c r="Z148" s="44">
        <f t="shared" si="85"/>
        <v>1.6093745139496063</v>
      </c>
      <c r="AA148" s="33">
        <v>9.75</v>
      </c>
      <c r="AB148" s="33">
        <v>6.75</v>
      </c>
      <c r="AC148" s="70">
        <v>8.75</v>
      </c>
      <c r="AD148" s="44">
        <v>10.75</v>
      </c>
      <c r="AE148" s="33">
        <v>20.5</v>
      </c>
      <c r="AF148" s="33">
        <v>10</v>
      </c>
      <c r="AG148" s="70">
        <v>18.25</v>
      </c>
      <c r="AH148" s="44">
        <f t="shared" si="86"/>
        <v>2.1650752314814814</v>
      </c>
      <c r="AI148" s="37" t="s">
        <v>2994</v>
      </c>
      <c r="AJ148" s="37" t="s">
        <v>1083</v>
      </c>
      <c r="AK148" s="37" t="s">
        <v>3000</v>
      </c>
      <c r="AL148" s="37" t="s">
        <v>1143</v>
      </c>
      <c r="AM148" s="18" t="s">
        <v>3002</v>
      </c>
      <c r="AN148" s="18"/>
      <c r="AO148" s="18"/>
      <c r="AP148" s="18"/>
      <c r="AQ148" s="37" t="s">
        <v>3001</v>
      </c>
      <c r="AR148" s="18" t="s">
        <v>2909</v>
      </c>
      <c r="AS148" s="94" t="s">
        <v>2908</v>
      </c>
    </row>
    <row r="149" spans="1:45" s="14" customFormat="1" x14ac:dyDescent="0.2">
      <c r="A149" s="14" t="s">
        <v>510</v>
      </c>
      <c r="B149" s="127"/>
      <c r="C149" s="33" t="s">
        <v>1085</v>
      </c>
      <c r="D149" s="33" t="s">
        <v>383</v>
      </c>
      <c r="E149" s="16" t="s">
        <v>2429</v>
      </c>
      <c r="F149" s="15" t="s">
        <v>484</v>
      </c>
      <c r="G149" s="15" t="s">
        <v>2558</v>
      </c>
      <c r="H149" s="36" t="s">
        <v>1094</v>
      </c>
      <c r="I149" s="36" t="s">
        <v>1094</v>
      </c>
      <c r="J149" s="36" t="s">
        <v>1094</v>
      </c>
      <c r="K149" s="36" t="s">
        <v>259</v>
      </c>
      <c r="L149" s="27" t="s">
        <v>568</v>
      </c>
      <c r="M149" s="27" t="s">
        <v>977</v>
      </c>
      <c r="N149" s="514"/>
      <c r="O149" s="514">
        <f>IF($C149="","",VLOOKUP($C149,'2017 Pricelist'!$C:$I,7,FALSE))</f>
        <v>9.99</v>
      </c>
      <c r="P149" s="35">
        <v>12</v>
      </c>
      <c r="Q149" s="187">
        <v>72</v>
      </c>
      <c r="R149" s="33">
        <f t="shared" si="83"/>
        <v>8.8184904873951031E-2</v>
      </c>
      <c r="S149" s="33">
        <v>2.75</v>
      </c>
      <c r="T149" s="33">
        <v>2.8125</v>
      </c>
      <c r="U149" s="70">
        <v>4.25</v>
      </c>
      <c r="V149" s="44">
        <f t="shared" si="84"/>
        <v>0.11023113109243879</v>
      </c>
      <c r="W149" s="33">
        <v>3.75</v>
      </c>
      <c r="X149" s="33">
        <v>3.5</v>
      </c>
      <c r="Y149" s="70">
        <v>5.75</v>
      </c>
      <c r="Z149" s="44">
        <f t="shared" si="85"/>
        <v>1.6093745139496063</v>
      </c>
      <c r="AA149" s="33">
        <v>9.75</v>
      </c>
      <c r="AB149" s="33">
        <v>6.75</v>
      </c>
      <c r="AC149" s="70">
        <v>8.75</v>
      </c>
      <c r="AD149" s="44">
        <v>10.75</v>
      </c>
      <c r="AE149" s="33">
        <v>20.5</v>
      </c>
      <c r="AF149" s="33">
        <v>10</v>
      </c>
      <c r="AG149" s="70">
        <v>18.25</v>
      </c>
      <c r="AH149" s="44">
        <f t="shared" si="86"/>
        <v>2.1650752314814814</v>
      </c>
      <c r="AI149" s="37" t="s">
        <v>2994</v>
      </c>
      <c r="AJ149" s="37" t="s">
        <v>1083</v>
      </c>
      <c r="AK149" s="37" t="s">
        <v>3000</v>
      </c>
      <c r="AL149" s="37" t="s">
        <v>1143</v>
      </c>
      <c r="AM149" s="18" t="s">
        <v>3002</v>
      </c>
      <c r="AN149" s="18"/>
      <c r="AO149" s="18"/>
      <c r="AP149" s="18"/>
      <c r="AQ149" s="37" t="s">
        <v>3001</v>
      </c>
      <c r="AR149" s="18" t="s">
        <v>2909</v>
      </c>
      <c r="AS149" s="94" t="s">
        <v>2908</v>
      </c>
    </row>
    <row r="150" spans="1:45" s="14" customFormat="1" x14ac:dyDescent="0.2">
      <c r="A150" s="14" t="s">
        <v>510</v>
      </c>
      <c r="B150" s="127"/>
      <c r="C150" s="33" t="s">
        <v>1085</v>
      </c>
      <c r="D150" s="33" t="s">
        <v>1739</v>
      </c>
      <c r="E150" s="16" t="s">
        <v>2429</v>
      </c>
      <c r="F150" s="15" t="s">
        <v>1859</v>
      </c>
      <c r="G150" s="15" t="s">
        <v>2558</v>
      </c>
      <c r="H150" s="36" t="s">
        <v>1755</v>
      </c>
      <c r="I150" s="36" t="s">
        <v>1755</v>
      </c>
      <c r="J150" s="36" t="s">
        <v>1755</v>
      </c>
      <c r="K150" s="36" t="s">
        <v>259</v>
      </c>
      <c r="L150" s="27" t="s">
        <v>568</v>
      </c>
      <c r="M150" s="27" t="s">
        <v>977</v>
      </c>
      <c r="N150" s="514"/>
      <c r="O150" s="514">
        <f>IF($C150="","",VLOOKUP($C150,'2017 Pricelist'!$C:$I,7,FALSE))</f>
        <v>9.99</v>
      </c>
      <c r="P150" s="35">
        <v>12</v>
      </c>
      <c r="Q150" s="187">
        <v>72</v>
      </c>
      <c r="R150" s="33">
        <f t="shared" si="83"/>
        <v>8.8184904873951031E-2</v>
      </c>
      <c r="S150" s="33">
        <v>2.75</v>
      </c>
      <c r="T150" s="33">
        <v>2.8125</v>
      </c>
      <c r="U150" s="70">
        <v>4.25</v>
      </c>
      <c r="V150" s="44">
        <f t="shared" si="84"/>
        <v>0.11023113109243879</v>
      </c>
      <c r="W150" s="33">
        <v>3.75</v>
      </c>
      <c r="X150" s="33">
        <v>3.5</v>
      </c>
      <c r="Y150" s="70">
        <v>5.75</v>
      </c>
      <c r="Z150" s="44">
        <f t="shared" si="85"/>
        <v>1.6093745139496063</v>
      </c>
      <c r="AA150" s="33">
        <v>9.75</v>
      </c>
      <c r="AB150" s="33">
        <v>6.75</v>
      </c>
      <c r="AC150" s="70">
        <v>8.75</v>
      </c>
      <c r="AD150" s="44">
        <v>10.75</v>
      </c>
      <c r="AE150" s="33">
        <v>20.5</v>
      </c>
      <c r="AF150" s="33">
        <v>10</v>
      </c>
      <c r="AG150" s="70">
        <v>18.25</v>
      </c>
      <c r="AH150" s="44">
        <f t="shared" si="86"/>
        <v>2.1650752314814814</v>
      </c>
      <c r="AI150" s="37" t="s">
        <v>2994</v>
      </c>
      <c r="AJ150" s="37" t="s">
        <v>1083</v>
      </c>
      <c r="AK150" s="37" t="s">
        <v>3000</v>
      </c>
      <c r="AL150" s="37" t="s">
        <v>1143</v>
      </c>
      <c r="AM150" s="18" t="s">
        <v>3002</v>
      </c>
      <c r="AN150" s="18"/>
      <c r="AO150" s="18"/>
      <c r="AP150" s="18"/>
      <c r="AQ150" s="37" t="s">
        <v>3001</v>
      </c>
      <c r="AR150" s="18" t="s">
        <v>2909</v>
      </c>
      <c r="AS150" s="94" t="s">
        <v>2908</v>
      </c>
    </row>
    <row r="151" spans="1:45" s="14" customFormat="1" x14ac:dyDescent="0.2">
      <c r="A151" s="14" t="s">
        <v>510</v>
      </c>
      <c r="B151" s="127"/>
      <c r="C151" s="33" t="s">
        <v>1085</v>
      </c>
      <c r="D151" s="33" t="s">
        <v>1740</v>
      </c>
      <c r="E151" s="16" t="s">
        <v>2429</v>
      </c>
      <c r="F151" s="15" t="s">
        <v>1858</v>
      </c>
      <c r="G151" s="15" t="s">
        <v>2558</v>
      </c>
      <c r="H151" s="36" t="s">
        <v>1754</v>
      </c>
      <c r="I151" s="36" t="s">
        <v>1754</v>
      </c>
      <c r="J151" s="36" t="s">
        <v>1754</v>
      </c>
      <c r="K151" s="36" t="s">
        <v>259</v>
      </c>
      <c r="L151" s="27" t="s">
        <v>568</v>
      </c>
      <c r="M151" s="27" t="s">
        <v>977</v>
      </c>
      <c r="N151" s="514"/>
      <c r="O151" s="514">
        <f>IF($C151="","",VLOOKUP($C151,'2017 Pricelist'!$C:$I,7,FALSE))</f>
        <v>9.99</v>
      </c>
      <c r="P151" s="35">
        <v>12</v>
      </c>
      <c r="Q151" s="187">
        <v>72</v>
      </c>
      <c r="R151" s="33">
        <f t="shared" si="83"/>
        <v>8.8184904873951031E-2</v>
      </c>
      <c r="S151" s="33">
        <v>2.75</v>
      </c>
      <c r="T151" s="33">
        <v>2.8125</v>
      </c>
      <c r="U151" s="70">
        <v>4.25</v>
      </c>
      <c r="V151" s="44">
        <f t="shared" si="84"/>
        <v>0.11023113109243879</v>
      </c>
      <c r="W151" s="33">
        <v>3.75</v>
      </c>
      <c r="X151" s="33">
        <v>3.5</v>
      </c>
      <c r="Y151" s="70">
        <v>5.75</v>
      </c>
      <c r="Z151" s="44">
        <f t="shared" si="85"/>
        <v>1.6093745139496063</v>
      </c>
      <c r="AA151" s="33">
        <v>9.75</v>
      </c>
      <c r="AB151" s="33">
        <v>6.75</v>
      </c>
      <c r="AC151" s="70">
        <v>8.75</v>
      </c>
      <c r="AD151" s="44">
        <v>10.75</v>
      </c>
      <c r="AE151" s="33">
        <v>20.5</v>
      </c>
      <c r="AF151" s="33">
        <v>10</v>
      </c>
      <c r="AG151" s="70">
        <v>18.25</v>
      </c>
      <c r="AH151" s="44">
        <f t="shared" si="86"/>
        <v>2.1650752314814814</v>
      </c>
      <c r="AI151" s="37" t="s">
        <v>2994</v>
      </c>
      <c r="AJ151" s="37" t="s">
        <v>1083</v>
      </c>
      <c r="AK151" s="37" t="s">
        <v>3000</v>
      </c>
      <c r="AL151" s="37" t="s">
        <v>1143</v>
      </c>
      <c r="AM151" s="18" t="s">
        <v>3002</v>
      </c>
      <c r="AN151" s="18"/>
      <c r="AO151" s="18"/>
      <c r="AP151" s="18"/>
      <c r="AQ151" s="37" t="s">
        <v>3001</v>
      </c>
      <c r="AR151" s="18" t="s">
        <v>2909</v>
      </c>
      <c r="AS151" s="94" t="s">
        <v>2908</v>
      </c>
    </row>
    <row r="152" spans="1:45" s="14" customFormat="1" x14ac:dyDescent="0.2">
      <c r="A152" s="14" t="s">
        <v>510</v>
      </c>
      <c r="B152" s="127"/>
      <c r="C152" s="33" t="s">
        <v>1085</v>
      </c>
      <c r="D152" s="33" t="s">
        <v>1741</v>
      </c>
      <c r="E152" s="16" t="s">
        <v>2429</v>
      </c>
      <c r="F152" s="33" t="s">
        <v>2776</v>
      </c>
      <c r="G152" s="15" t="s">
        <v>2558</v>
      </c>
      <c r="H152" s="36" t="s">
        <v>1756</v>
      </c>
      <c r="I152" s="36" t="s">
        <v>259</v>
      </c>
      <c r="J152" s="36" t="s">
        <v>2897</v>
      </c>
      <c r="K152" s="36" t="s">
        <v>2844</v>
      </c>
      <c r="L152" s="27" t="s">
        <v>568</v>
      </c>
      <c r="M152" s="27" t="s">
        <v>977</v>
      </c>
      <c r="N152" s="514"/>
      <c r="O152" s="514">
        <f>IF($C152="","",VLOOKUP($C152,'2017 Pricelist'!$C:$I,7,FALSE))</f>
        <v>9.99</v>
      </c>
      <c r="P152" s="35">
        <v>6</v>
      </c>
      <c r="Q152" s="187">
        <v>36</v>
      </c>
      <c r="R152" s="33">
        <f t="shared" si="83"/>
        <v>8.8184904873951031E-2</v>
      </c>
      <c r="S152" s="33">
        <v>2.75</v>
      </c>
      <c r="T152" s="33">
        <v>2.8125</v>
      </c>
      <c r="U152" s="70">
        <v>4.25</v>
      </c>
      <c r="V152" s="44">
        <f t="shared" si="84"/>
        <v>0.11023113109243879</v>
      </c>
      <c r="W152" s="33">
        <v>3.75</v>
      </c>
      <c r="X152" s="33">
        <v>3.5</v>
      </c>
      <c r="Y152" s="70">
        <v>5.75</v>
      </c>
      <c r="Z152" s="44">
        <v>0.75</v>
      </c>
      <c r="AA152" s="33">
        <v>8.75</v>
      </c>
      <c r="AB152" s="33">
        <v>5.75</v>
      </c>
      <c r="AC152" s="70">
        <v>5.25</v>
      </c>
      <c r="AD152" s="44">
        <v>5.25</v>
      </c>
      <c r="AE152" s="33">
        <v>17.75</v>
      </c>
      <c r="AF152" s="33">
        <v>9</v>
      </c>
      <c r="AG152" s="70">
        <v>9.75</v>
      </c>
      <c r="AH152" s="44">
        <f t="shared" si="86"/>
        <v>0.9013671875</v>
      </c>
      <c r="AI152" s="37" t="s">
        <v>2994</v>
      </c>
      <c r="AJ152" s="37" t="s">
        <v>1083</v>
      </c>
      <c r="AK152" s="37" t="s">
        <v>3000</v>
      </c>
      <c r="AL152" s="37" t="s">
        <v>1143</v>
      </c>
      <c r="AM152" s="18" t="s">
        <v>3002</v>
      </c>
      <c r="AN152" s="18"/>
      <c r="AO152" s="18"/>
      <c r="AP152" s="18"/>
      <c r="AQ152" s="37" t="s">
        <v>3001</v>
      </c>
      <c r="AR152" s="18" t="s">
        <v>2909</v>
      </c>
      <c r="AS152" s="94" t="s">
        <v>2908</v>
      </c>
    </row>
    <row r="153" spans="1:45" s="14" customFormat="1" x14ac:dyDescent="0.2">
      <c r="A153" s="14" t="s">
        <v>510</v>
      </c>
      <c r="B153" s="127"/>
      <c r="C153" s="33" t="s">
        <v>1086</v>
      </c>
      <c r="D153" s="33" t="s">
        <v>1741</v>
      </c>
      <c r="E153" s="16" t="s">
        <v>2430</v>
      </c>
      <c r="F153" s="33" t="s">
        <v>2764</v>
      </c>
      <c r="G153" s="15" t="s">
        <v>2558</v>
      </c>
      <c r="H153" s="36" t="s">
        <v>2843</v>
      </c>
      <c r="I153" s="36" t="s">
        <v>2843</v>
      </c>
      <c r="J153" s="36" t="s">
        <v>2843</v>
      </c>
      <c r="K153" s="36" t="s">
        <v>259</v>
      </c>
      <c r="L153" s="27" t="s">
        <v>568</v>
      </c>
      <c r="M153" s="27" t="s">
        <v>977</v>
      </c>
      <c r="N153" s="514"/>
      <c r="O153" s="514">
        <f>IF($C153="","",VLOOKUP($C153,'2017 Pricelist'!$C:$I,7,FALSE))</f>
        <v>29.990000000000002</v>
      </c>
      <c r="P153" s="35">
        <v>1</v>
      </c>
      <c r="Q153" s="187">
        <v>12</v>
      </c>
      <c r="R153" s="33">
        <f>CONVERT(160,"g","lbm")</f>
        <v>0.35273961949580412</v>
      </c>
      <c r="S153" s="33">
        <v>2.75</v>
      </c>
      <c r="T153" s="33">
        <v>2.8125</v>
      </c>
      <c r="U153" s="70">
        <v>9.125</v>
      </c>
      <c r="V153" s="44">
        <f>CONVERT(195,"g","lbm")</f>
        <v>0.42990141126051129</v>
      </c>
      <c r="W153" s="33">
        <v>2.75</v>
      </c>
      <c r="X153" s="33">
        <v>3.5</v>
      </c>
      <c r="Y153" s="70">
        <v>10.25</v>
      </c>
      <c r="Z153" s="44" t="s">
        <v>259</v>
      </c>
      <c r="AA153" s="33" t="s">
        <v>259</v>
      </c>
      <c r="AB153" s="33" t="s">
        <v>259</v>
      </c>
      <c r="AC153" s="70" t="s">
        <v>259</v>
      </c>
      <c r="AD153" s="44">
        <v>6.3</v>
      </c>
      <c r="AE153" s="33">
        <v>14</v>
      </c>
      <c r="AF153" s="33">
        <v>19.5</v>
      </c>
      <c r="AG153" s="70">
        <v>8</v>
      </c>
      <c r="AH153" s="44">
        <f t="shared" si="86"/>
        <v>1.2638888888888888</v>
      </c>
      <c r="AI153" s="18" t="s">
        <v>3003</v>
      </c>
      <c r="AJ153" s="37" t="s">
        <v>2994</v>
      </c>
      <c r="AK153" s="37" t="s">
        <v>1083</v>
      </c>
      <c r="AL153" s="37" t="s">
        <v>3000</v>
      </c>
      <c r="AM153" s="37" t="s">
        <v>1143</v>
      </c>
      <c r="AN153" s="18" t="s">
        <v>3002</v>
      </c>
      <c r="AO153" s="18"/>
      <c r="AP153" s="18"/>
      <c r="AQ153" s="37" t="s">
        <v>3001</v>
      </c>
      <c r="AR153" s="18" t="s">
        <v>2909</v>
      </c>
      <c r="AS153" s="94" t="s">
        <v>2908</v>
      </c>
    </row>
    <row r="154" spans="1:45" s="18" customFormat="1" x14ac:dyDescent="0.2">
      <c r="B154" s="125"/>
      <c r="C154" s="33"/>
      <c r="D154" s="33" t="s">
        <v>529</v>
      </c>
      <c r="E154" s="34"/>
      <c r="F154" s="33"/>
      <c r="G154" s="33"/>
      <c r="H154" s="36"/>
      <c r="I154" s="36"/>
      <c r="J154" s="36"/>
      <c r="K154" s="36"/>
      <c r="L154" s="36"/>
      <c r="M154" s="36"/>
      <c r="N154" s="5"/>
      <c r="O154" s="514" t="str">
        <f>IF($C154="","",VLOOKUP($C154,'2017 Pricelist'!$C:$I,7,FALSE))</f>
        <v/>
      </c>
      <c r="P154" s="35"/>
      <c r="Q154" s="187"/>
      <c r="R154" s="33"/>
      <c r="S154" s="33"/>
      <c r="T154" s="33"/>
      <c r="U154" s="70"/>
      <c r="V154" s="44"/>
      <c r="W154" s="33"/>
      <c r="X154" s="33"/>
      <c r="Y154" s="70"/>
      <c r="Z154" s="44"/>
      <c r="AA154" s="33"/>
      <c r="AB154" s="33"/>
      <c r="AC154" s="70"/>
      <c r="AD154" s="44"/>
      <c r="AE154" s="33"/>
      <c r="AF154" s="33"/>
      <c r="AG154" s="70"/>
      <c r="AH154" s="44"/>
      <c r="AI154" s="37"/>
      <c r="AJ154" s="37"/>
      <c r="AK154" s="37"/>
      <c r="AL154" s="37"/>
      <c r="AQ154" s="37"/>
      <c r="AR154" s="63"/>
    </row>
    <row r="155" spans="1:45" s="105" customFormat="1" ht="15.75" x14ac:dyDescent="0.25">
      <c r="A155" s="105" t="s">
        <v>1050</v>
      </c>
      <c r="B155" s="318"/>
      <c r="C155" s="155"/>
      <c r="D155" s="15" t="s">
        <v>529</v>
      </c>
      <c r="E155" s="153"/>
      <c r="F155" s="155"/>
      <c r="G155" s="155"/>
      <c r="H155" s="160"/>
      <c r="I155" s="160"/>
      <c r="J155" s="160"/>
      <c r="K155" s="160"/>
      <c r="L155" s="162"/>
      <c r="M155" s="162"/>
      <c r="N155" s="164"/>
      <c r="O155" s="514" t="str">
        <f>IF($C155="","",VLOOKUP($C155,'2017 Pricelist'!$C:$I,7,FALSE))</f>
        <v/>
      </c>
      <c r="P155" s="165"/>
      <c r="Q155" s="234"/>
      <c r="R155" s="155"/>
      <c r="S155" s="155"/>
      <c r="T155" s="155"/>
      <c r="U155" s="156"/>
      <c r="V155" s="154"/>
      <c r="W155" s="155"/>
      <c r="X155" s="155"/>
      <c r="Y155" s="156"/>
      <c r="Z155" s="154"/>
      <c r="AA155" s="155"/>
      <c r="AB155" s="155"/>
      <c r="AC155" s="156"/>
      <c r="AD155" s="154"/>
      <c r="AE155" s="155"/>
      <c r="AF155" s="155"/>
      <c r="AG155" s="156"/>
      <c r="AH155" s="154"/>
      <c r="AI155" s="157"/>
      <c r="AJ155" s="157"/>
      <c r="AK155" s="157"/>
      <c r="AL155" s="157"/>
      <c r="AM155" s="157"/>
      <c r="AN155" s="157"/>
      <c r="AO155" s="157"/>
      <c r="AP155" s="157"/>
      <c r="AQ155" s="157"/>
      <c r="AR155" s="381"/>
    </row>
    <row r="156" spans="1:45" s="14" customFormat="1" x14ac:dyDescent="0.2">
      <c r="A156" s="14" t="s">
        <v>510</v>
      </c>
      <c r="B156" s="127"/>
      <c r="C156" s="33" t="s">
        <v>1049</v>
      </c>
      <c r="D156" s="15" t="s">
        <v>383</v>
      </c>
      <c r="E156" s="19" t="s">
        <v>2408</v>
      </c>
      <c r="F156" s="15" t="s">
        <v>484</v>
      </c>
      <c r="G156" s="15" t="s">
        <v>2558</v>
      </c>
      <c r="H156" s="77">
        <v>7331423006847</v>
      </c>
      <c r="I156" s="77" t="s">
        <v>259</v>
      </c>
      <c r="J156" s="77">
        <v>7331423200764</v>
      </c>
      <c r="K156" s="77">
        <v>17331423200761</v>
      </c>
      <c r="L156" s="27" t="s">
        <v>568</v>
      </c>
      <c r="M156" s="27" t="s">
        <v>977</v>
      </c>
      <c r="N156" s="514"/>
      <c r="O156" s="514">
        <f>IF($C156="","",VLOOKUP($C156,'2017 Pricelist'!$C:$I,7,FALSE))</f>
        <v>29.990000000000002</v>
      </c>
      <c r="P156" s="35">
        <v>1</v>
      </c>
      <c r="Q156" s="187">
        <v>12</v>
      </c>
      <c r="R156" s="33">
        <f t="shared" ref="R156:R162" si="87">CONVERT(384,"g","lbm")</f>
        <v>0.84657508678992988</v>
      </c>
      <c r="S156" s="33">
        <v>7.6</v>
      </c>
      <c r="T156" s="33">
        <v>7.6</v>
      </c>
      <c r="U156" s="70">
        <v>2.4</v>
      </c>
      <c r="V156" s="44">
        <v>0.91</v>
      </c>
      <c r="W156" s="33">
        <v>7.875</v>
      </c>
      <c r="X156" s="33">
        <v>2.5</v>
      </c>
      <c r="Y156" s="70">
        <v>8.5</v>
      </c>
      <c r="Z156" s="44" t="s">
        <v>259</v>
      </c>
      <c r="AA156" s="33" t="s">
        <v>259</v>
      </c>
      <c r="AB156" s="33" t="s">
        <v>259</v>
      </c>
      <c r="AC156" s="70" t="s">
        <v>259</v>
      </c>
      <c r="AD156" s="44">
        <v>12.1</v>
      </c>
      <c r="AE156" s="33">
        <v>23.625</v>
      </c>
      <c r="AF156" s="33">
        <v>15.25</v>
      </c>
      <c r="AG156" s="70">
        <v>6.25</v>
      </c>
      <c r="AH156" s="42">
        <f t="shared" ref="AH156:AH162" si="88">AE156*AF156*AG156/(12^3)</f>
        <v>1.3031005859375</v>
      </c>
      <c r="AI156" s="37" t="s">
        <v>2754</v>
      </c>
      <c r="AJ156" s="37" t="s">
        <v>2753</v>
      </c>
      <c r="AK156" s="37" t="s">
        <v>2748</v>
      </c>
      <c r="AL156" s="18" t="s">
        <v>1143</v>
      </c>
      <c r="AM156" s="18" t="s">
        <v>3004</v>
      </c>
      <c r="AN156" s="18"/>
      <c r="AO156" s="18"/>
      <c r="AP156" s="18"/>
      <c r="AQ156" s="37" t="s">
        <v>2755</v>
      </c>
      <c r="AR156" s="18" t="s">
        <v>2909</v>
      </c>
      <c r="AS156" s="94" t="s">
        <v>2908</v>
      </c>
    </row>
    <row r="157" spans="1:45" s="14" customFormat="1" x14ac:dyDescent="0.2">
      <c r="A157" s="14" t="s">
        <v>510</v>
      </c>
      <c r="B157" s="127"/>
      <c r="C157" s="33" t="s">
        <v>1049</v>
      </c>
      <c r="D157" s="15" t="s">
        <v>1017</v>
      </c>
      <c r="E157" s="19" t="s">
        <v>2408</v>
      </c>
      <c r="F157" s="15" t="s">
        <v>1018</v>
      </c>
      <c r="G157" s="15" t="s">
        <v>2558</v>
      </c>
      <c r="H157" s="77">
        <v>7331423006854</v>
      </c>
      <c r="I157" s="77" t="s">
        <v>259</v>
      </c>
      <c r="J157" s="77">
        <v>7331423200771</v>
      </c>
      <c r="K157" s="77">
        <v>17331423200778</v>
      </c>
      <c r="L157" s="27" t="s">
        <v>568</v>
      </c>
      <c r="M157" s="27" t="s">
        <v>977</v>
      </c>
      <c r="N157" s="514"/>
      <c r="O157" s="514">
        <f>IF($C157="","",VLOOKUP($C157,'2017 Pricelist'!$C:$I,7,FALSE))</f>
        <v>29.990000000000002</v>
      </c>
      <c r="P157" s="35">
        <v>1</v>
      </c>
      <c r="Q157" s="187">
        <v>12</v>
      </c>
      <c r="R157" s="33">
        <f t="shared" si="87"/>
        <v>0.84657508678992988</v>
      </c>
      <c r="S157" s="33">
        <v>7.6</v>
      </c>
      <c r="T157" s="33">
        <v>7.6</v>
      </c>
      <c r="U157" s="70">
        <v>2.4</v>
      </c>
      <c r="V157" s="44">
        <v>0.91</v>
      </c>
      <c r="W157" s="33">
        <v>7.875</v>
      </c>
      <c r="X157" s="33">
        <v>2.5</v>
      </c>
      <c r="Y157" s="70">
        <v>8.5</v>
      </c>
      <c r="Z157" s="44" t="s">
        <v>259</v>
      </c>
      <c r="AA157" s="33" t="s">
        <v>259</v>
      </c>
      <c r="AB157" s="33" t="s">
        <v>259</v>
      </c>
      <c r="AC157" s="70" t="s">
        <v>259</v>
      </c>
      <c r="AD157" s="44">
        <v>12.1</v>
      </c>
      <c r="AE157" s="33">
        <v>23.625</v>
      </c>
      <c r="AF157" s="33">
        <v>15.25</v>
      </c>
      <c r="AG157" s="70">
        <v>6.25</v>
      </c>
      <c r="AH157" s="42">
        <f t="shared" si="88"/>
        <v>1.3031005859375</v>
      </c>
      <c r="AI157" s="37" t="s">
        <v>2754</v>
      </c>
      <c r="AJ157" s="37" t="s">
        <v>2753</v>
      </c>
      <c r="AK157" s="37" t="s">
        <v>2748</v>
      </c>
      <c r="AL157" s="18" t="s">
        <v>1143</v>
      </c>
      <c r="AM157" s="18" t="s">
        <v>3004</v>
      </c>
      <c r="AN157" s="18"/>
      <c r="AO157" s="18"/>
      <c r="AP157" s="18"/>
      <c r="AQ157" s="37" t="s">
        <v>2755</v>
      </c>
      <c r="AR157" s="18" t="s">
        <v>2909</v>
      </c>
      <c r="AS157" s="94" t="s">
        <v>2908</v>
      </c>
    </row>
    <row r="158" spans="1:45" s="14" customFormat="1" x14ac:dyDescent="0.2">
      <c r="A158" s="14" t="s">
        <v>510</v>
      </c>
      <c r="B158" s="127"/>
      <c r="C158" s="33" t="s">
        <v>1049</v>
      </c>
      <c r="D158" s="15" t="s">
        <v>371</v>
      </c>
      <c r="E158" s="19" t="s">
        <v>2408</v>
      </c>
      <c r="F158" s="15" t="s">
        <v>218</v>
      </c>
      <c r="G158" s="15" t="s">
        <v>2558</v>
      </c>
      <c r="H158" s="77">
        <v>7331423006878</v>
      </c>
      <c r="I158" s="77" t="s">
        <v>259</v>
      </c>
      <c r="J158" s="77">
        <v>7331423200795</v>
      </c>
      <c r="K158" s="77">
        <v>17331423200792</v>
      </c>
      <c r="L158" s="27" t="s">
        <v>568</v>
      </c>
      <c r="M158" s="27" t="s">
        <v>977</v>
      </c>
      <c r="N158" s="514"/>
      <c r="O158" s="514">
        <f>IF($C158="","",VLOOKUP($C158,'2017 Pricelist'!$C:$I,7,FALSE))</f>
        <v>29.990000000000002</v>
      </c>
      <c r="P158" s="35">
        <v>1</v>
      </c>
      <c r="Q158" s="187">
        <v>12</v>
      </c>
      <c r="R158" s="33">
        <f t="shared" si="87"/>
        <v>0.84657508678992988</v>
      </c>
      <c r="S158" s="33">
        <v>7.6</v>
      </c>
      <c r="T158" s="33">
        <v>7.6</v>
      </c>
      <c r="U158" s="70">
        <v>2.4</v>
      </c>
      <c r="V158" s="44">
        <v>0.91</v>
      </c>
      <c r="W158" s="33">
        <v>7.875</v>
      </c>
      <c r="X158" s="33">
        <v>2.5</v>
      </c>
      <c r="Y158" s="70">
        <v>8.5</v>
      </c>
      <c r="Z158" s="44" t="s">
        <v>259</v>
      </c>
      <c r="AA158" s="33" t="s">
        <v>259</v>
      </c>
      <c r="AB158" s="33" t="s">
        <v>259</v>
      </c>
      <c r="AC158" s="70" t="s">
        <v>259</v>
      </c>
      <c r="AD158" s="44">
        <v>12.1</v>
      </c>
      <c r="AE158" s="33">
        <v>23.625</v>
      </c>
      <c r="AF158" s="33">
        <v>15.25</v>
      </c>
      <c r="AG158" s="70">
        <v>6.25</v>
      </c>
      <c r="AH158" s="42">
        <f t="shared" si="88"/>
        <v>1.3031005859375</v>
      </c>
      <c r="AI158" s="37" t="s">
        <v>2754</v>
      </c>
      <c r="AJ158" s="37" t="s">
        <v>2753</v>
      </c>
      <c r="AK158" s="37" t="s">
        <v>2748</v>
      </c>
      <c r="AL158" s="18" t="s">
        <v>1143</v>
      </c>
      <c r="AM158" s="18" t="s">
        <v>3004</v>
      </c>
      <c r="AN158" s="18"/>
      <c r="AO158" s="18"/>
      <c r="AP158" s="18"/>
      <c r="AQ158" s="37" t="s">
        <v>2755</v>
      </c>
      <c r="AR158" s="18" t="s">
        <v>2909</v>
      </c>
      <c r="AS158" s="94" t="s">
        <v>2908</v>
      </c>
    </row>
    <row r="159" spans="1:45" s="14" customFormat="1" x14ac:dyDescent="0.2">
      <c r="A159" s="14" t="s">
        <v>510</v>
      </c>
      <c r="B159" s="127"/>
      <c r="C159" s="33" t="s">
        <v>1049</v>
      </c>
      <c r="D159" s="15" t="s">
        <v>374</v>
      </c>
      <c r="E159" s="19" t="s">
        <v>2408</v>
      </c>
      <c r="F159" s="15" t="s">
        <v>219</v>
      </c>
      <c r="G159" s="15" t="s">
        <v>2558</v>
      </c>
      <c r="H159" s="77">
        <v>7331423006892</v>
      </c>
      <c r="I159" s="77" t="s">
        <v>259</v>
      </c>
      <c r="J159" s="77">
        <v>7331423200801</v>
      </c>
      <c r="K159" s="77">
        <v>17331423200808</v>
      </c>
      <c r="L159" s="27" t="s">
        <v>568</v>
      </c>
      <c r="M159" s="27" t="s">
        <v>977</v>
      </c>
      <c r="N159" s="514"/>
      <c r="O159" s="514">
        <f>IF($C159="","",VLOOKUP($C159,'2017 Pricelist'!$C:$I,7,FALSE))</f>
        <v>29.990000000000002</v>
      </c>
      <c r="P159" s="35">
        <v>1</v>
      </c>
      <c r="Q159" s="187">
        <v>12</v>
      </c>
      <c r="R159" s="33">
        <f t="shared" si="87"/>
        <v>0.84657508678992988</v>
      </c>
      <c r="S159" s="33">
        <v>7.6</v>
      </c>
      <c r="T159" s="33">
        <v>7.6</v>
      </c>
      <c r="U159" s="70">
        <v>2.4</v>
      </c>
      <c r="V159" s="44">
        <v>0.91</v>
      </c>
      <c r="W159" s="33">
        <v>7.875</v>
      </c>
      <c r="X159" s="33">
        <v>2.5</v>
      </c>
      <c r="Y159" s="70">
        <v>8.5</v>
      </c>
      <c r="Z159" s="44" t="s">
        <v>259</v>
      </c>
      <c r="AA159" s="33" t="s">
        <v>259</v>
      </c>
      <c r="AB159" s="33" t="s">
        <v>259</v>
      </c>
      <c r="AC159" s="70" t="s">
        <v>259</v>
      </c>
      <c r="AD159" s="44">
        <v>12.1</v>
      </c>
      <c r="AE159" s="33">
        <v>23.625</v>
      </c>
      <c r="AF159" s="33">
        <v>15.25</v>
      </c>
      <c r="AG159" s="70">
        <v>6.25</v>
      </c>
      <c r="AH159" s="42">
        <f t="shared" si="88"/>
        <v>1.3031005859375</v>
      </c>
      <c r="AI159" s="37" t="s">
        <v>2754</v>
      </c>
      <c r="AJ159" s="37" t="s">
        <v>2753</v>
      </c>
      <c r="AK159" s="37" t="s">
        <v>2748</v>
      </c>
      <c r="AL159" s="18" t="s">
        <v>1143</v>
      </c>
      <c r="AM159" s="18" t="s">
        <v>3004</v>
      </c>
      <c r="AN159" s="18"/>
      <c r="AO159" s="18"/>
      <c r="AP159" s="18"/>
      <c r="AQ159" s="37" t="s">
        <v>2755</v>
      </c>
      <c r="AR159" s="18" t="s">
        <v>2909</v>
      </c>
      <c r="AS159" s="94" t="s">
        <v>2908</v>
      </c>
    </row>
    <row r="160" spans="1:45" s="14" customFormat="1" x14ac:dyDescent="0.2">
      <c r="A160" s="14" t="s">
        <v>510</v>
      </c>
      <c r="B160" s="127"/>
      <c r="C160" s="33" t="s">
        <v>1049</v>
      </c>
      <c r="D160" s="15" t="s">
        <v>369</v>
      </c>
      <c r="E160" s="19" t="s">
        <v>2408</v>
      </c>
      <c r="F160" s="15" t="s">
        <v>222</v>
      </c>
      <c r="G160" s="15" t="s">
        <v>2558</v>
      </c>
      <c r="H160" s="77">
        <v>7331423006861</v>
      </c>
      <c r="I160" s="77" t="s">
        <v>259</v>
      </c>
      <c r="J160" s="77">
        <v>7331423200788</v>
      </c>
      <c r="K160" s="77">
        <v>17331423200785</v>
      </c>
      <c r="L160" s="27" t="s">
        <v>568</v>
      </c>
      <c r="M160" s="27" t="s">
        <v>977</v>
      </c>
      <c r="N160" s="514"/>
      <c r="O160" s="514">
        <f>IF($C160="","",VLOOKUP($C160,'2017 Pricelist'!$C:$I,7,FALSE))</f>
        <v>29.990000000000002</v>
      </c>
      <c r="P160" s="35">
        <v>1</v>
      </c>
      <c r="Q160" s="187">
        <v>12</v>
      </c>
      <c r="R160" s="33">
        <f t="shared" si="87"/>
        <v>0.84657508678992988</v>
      </c>
      <c r="S160" s="33">
        <v>7.6</v>
      </c>
      <c r="T160" s="33">
        <v>7.6</v>
      </c>
      <c r="U160" s="70">
        <v>2.4</v>
      </c>
      <c r="V160" s="44">
        <v>0.91</v>
      </c>
      <c r="W160" s="33">
        <v>7.875</v>
      </c>
      <c r="X160" s="33">
        <v>2.5</v>
      </c>
      <c r="Y160" s="70">
        <v>8.5</v>
      </c>
      <c r="Z160" s="44" t="s">
        <v>259</v>
      </c>
      <c r="AA160" s="33" t="s">
        <v>259</v>
      </c>
      <c r="AB160" s="33" t="s">
        <v>259</v>
      </c>
      <c r="AC160" s="70" t="s">
        <v>259</v>
      </c>
      <c r="AD160" s="44">
        <v>12.1</v>
      </c>
      <c r="AE160" s="33">
        <v>23.625</v>
      </c>
      <c r="AF160" s="33">
        <v>15.25</v>
      </c>
      <c r="AG160" s="70">
        <v>6.25</v>
      </c>
      <c r="AH160" s="42">
        <f t="shared" si="88"/>
        <v>1.3031005859375</v>
      </c>
      <c r="AI160" s="37" t="s">
        <v>2754</v>
      </c>
      <c r="AJ160" s="37" t="s">
        <v>2753</v>
      </c>
      <c r="AK160" s="37" t="s">
        <v>2748</v>
      </c>
      <c r="AL160" s="18" t="s">
        <v>1143</v>
      </c>
      <c r="AM160" s="18" t="s">
        <v>3004</v>
      </c>
      <c r="AN160" s="18"/>
      <c r="AO160" s="18"/>
      <c r="AP160" s="18"/>
      <c r="AQ160" s="37" t="s">
        <v>2755</v>
      </c>
      <c r="AR160" s="18" t="s">
        <v>2909</v>
      </c>
      <c r="AS160" s="94" t="s">
        <v>2908</v>
      </c>
    </row>
    <row r="161" spans="1:45" s="14" customFormat="1" x14ac:dyDescent="0.2">
      <c r="A161" s="14" t="s">
        <v>510</v>
      </c>
      <c r="B161" s="127"/>
      <c r="C161" s="33" t="s">
        <v>1049</v>
      </c>
      <c r="D161" s="15" t="s">
        <v>1739</v>
      </c>
      <c r="E161" s="19" t="s">
        <v>2408</v>
      </c>
      <c r="F161" s="15" t="s">
        <v>1859</v>
      </c>
      <c r="G161" s="15" t="s">
        <v>2558</v>
      </c>
      <c r="H161" s="77">
        <v>7331423008063</v>
      </c>
      <c r="I161" s="77" t="s">
        <v>259</v>
      </c>
      <c r="J161" s="77">
        <v>7331423200757</v>
      </c>
      <c r="K161" s="77">
        <v>17331423200754</v>
      </c>
      <c r="L161" s="27" t="s">
        <v>568</v>
      </c>
      <c r="M161" s="27" t="s">
        <v>977</v>
      </c>
      <c r="N161" s="514"/>
      <c r="O161" s="514">
        <f>IF($C161="","",VLOOKUP($C161,'2017 Pricelist'!$C:$I,7,FALSE))</f>
        <v>29.990000000000002</v>
      </c>
      <c r="P161" s="35">
        <v>1</v>
      </c>
      <c r="Q161" s="187">
        <v>12</v>
      </c>
      <c r="R161" s="33">
        <f t="shared" si="87"/>
        <v>0.84657508678992988</v>
      </c>
      <c r="S161" s="33">
        <v>7.6</v>
      </c>
      <c r="T161" s="33">
        <v>7.6</v>
      </c>
      <c r="U161" s="70">
        <v>2.4</v>
      </c>
      <c r="V161" s="44">
        <v>0.91</v>
      </c>
      <c r="W161" s="33">
        <v>7.875</v>
      </c>
      <c r="X161" s="33">
        <v>2.5</v>
      </c>
      <c r="Y161" s="70">
        <v>8.5</v>
      </c>
      <c r="Z161" s="44" t="s">
        <v>259</v>
      </c>
      <c r="AA161" s="33" t="s">
        <v>259</v>
      </c>
      <c r="AB161" s="33" t="s">
        <v>259</v>
      </c>
      <c r="AC161" s="70" t="s">
        <v>259</v>
      </c>
      <c r="AD161" s="44">
        <v>12.1</v>
      </c>
      <c r="AE161" s="33">
        <v>23.625</v>
      </c>
      <c r="AF161" s="33">
        <v>15.25</v>
      </c>
      <c r="AG161" s="70">
        <v>6.25</v>
      </c>
      <c r="AH161" s="42">
        <f t="shared" si="88"/>
        <v>1.3031005859375</v>
      </c>
      <c r="AI161" s="37" t="s">
        <v>2754</v>
      </c>
      <c r="AJ161" s="37" t="s">
        <v>2753</v>
      </c>
      <c r="AK161" s="37" t="s">
        <v>2748</v>
      </c>
      <c r="AL161" s="18" t="s">
        <v>1143</v>
      </c>
      <c r="AM161" s="18" t="s">
        <v>3004</v>
      </c>
      <c r="AN161" s="18"/>
      <c r="AO161" s="18"/>
      <c r="AP161" s="18"/>
      <c r="AQ161" s="37" t="s">
        <v>2755</v>
      </c>
      <c r="AR161" s="18" t="s">
        <v>2909</v>
      </c>
      <c r="AS161" s="94" t="s">
        <v>2908</v>
      </c>
    </row>
    <row r="162" spans="1:45" s="14" customFormat="1" x14ac:dyDescent="0.2">
      <c r="A162" s="14" t="s">
        <v>510</v>
      </c>
      <c r="B162" s="127"/>
      <c r="C162" s="33" t="s">
        <v>1049</v>
      </c>
      <c r="D162" s="15" t="s">
        <v>1740</v>
      </c>
      <c r="E162" s="19" t="s">
        <v>2408</v>
      </c>
      <c r="F162" s="15" t="s">
        <v>1858</v>
      </c>
      <c r="G162" s="15" t="s">
        <v>2558</v>
      </c>
      <c r="H162" s="77">
        <v>7331423007370</v>
      </c>
      <c r="I162" s="77" t="s">
        <v>259</v>
      </c>
      <c r="J162" s="77">
        <v>7331423200740</v>
      </c>
      <c r="K162" s="77">
        <v>17331423200747</v>
      </c>
      <c r="L162" s="27" t="s">
        <v>568</v>
      </c>
      <c r="M162" s="27" t="s">
        <v>977</v>
      </c>
      <c r="N162" s="514"/>
      <c r="O162" s="514">
        <f>IF($C162="","",VLOOKUP($C162,'2017 Pricelist'!$C:$I,7,FALSE))</f>
        <v>29.990000000000002</v>
      </c>
      <c r="P162" s="35">
        <v>1</v>
      </c>
      <c r="Q162" s="187">
        <v>12</v>
      </c>
      <c r="R162" s="33">
        <f t="shared" si="87"/>
        <v>0.84657508678992988</v>
      </c>
      <c r="S162" s="33">
        <v>7.6</v>
      </c>
      <c r="T162" s="33">
        <v>7.6</v>
      </c>
      <c r="U162" s="70">
        <v>2.4</v>
      </c>
      <c r="V162" s="44">
        <v>0.91</v>
      </c>
      <c r="W162" s="33">
        <v>7.875</v>
      </c>
      <c r="X162" s="33">
        <v>2.5</v>
      </c>
      <c r="Y162" s="70">
        <v>8.5</v>
      </c>
      <c r="Z162" s="44" t="s">
        <v>259</v>
      </c>
      <c r="AA162" s="33" t="s">
        <v>259</v>
      </c>
      <c r="AB162" s="33" t="s">
        <v>259</v>
      </c>
      <c r="AC162" s="70" t="s">
        <v>259</v>
      </c>
      <c r="AD162" s="44">
        <v>12.1</v>
      </c>
      <c r="AE162" s="33">
        <v>23.625</v>
      </c>
      <c r="AF162" s="33">
        <v>15.25</v>
      </c>
      <c r="AG162" s="70">
        <v>6.25</v>
      </c>
      <c r="AH162" s="42">
        <f t="shared" si="88"/>
        <v>1.3031005859375</v>
      </c>
      <c r="AI162" s="37" t="s">
        <v>2754</v>
      </c>
      <c r="AJ162" s="37" t="s">
        <v>2753</v>
      </c>
      <c r="AK162" s="37" t="s">
        <v>2748</v>
      </c>
      <c r="AL162" s="18" t="s">
        <v>1143</v>
      </c>
      <c r="AM162" s="18" t="s">
        <v>3004</v>
      </c>
      <c r="AN162" s="18"/>
      <c r="AO162" s="18"/>
      <c r="AP162" s="18"/>
      <c r="AQ162" s="37" t="s">
        <v>2755</v>
      </c>
      <c r="AR162" s="18" t="s">
        <v>2909</v>
      </c>
      <c r="AS162" s="94" t="s">
        <v>2908</v>
      </c>
    </row>
    <row r="163" spans="1:45" s="172" customFormat="1" x14ac:dyDescent="0.2">
      <c r="A163" s="172" t="s">
        <v>955</v>
      </c>
      <c r="B163" s="317"/>
      <c r="C163" s="151"/>
      <c r="D163" s="33" t="s">
        <v>529</v>
      </c>
      <c r="E163" s="149"/>
      <c r="F163" s="151"/>
      <c r="G163" s="151"/>
      <c r="H163" s="180"/>
      <c r="I163" s="180"/>
      <c r="J163" s="180"/>
      <c r="K163" s="180"/>
      <c r="L163" s="170"/>
      <c r="M163" s="170"/>
      <c r="N163" s="174"/>
      <c r="O163" s="514" t="str">
        <f>IF($C163="","",VLOOKUP($C163,'2017 Pricelist'!$C:$I,7,FALSE))</f>
        <v/>
      </c>
      <c r="P163" s="175"/>
      <c r="Q163" s="233"/>
      <c r="R163" s="151"/>
      <c r="S163" s="151"/>
      <c r="T163" s="151"/>
      <c r="U163" s="152"/>
      <c r="V163" s="150"/>
      <c r="W163" s="151"/>
      <c r="X163" s="151"/>
      <c r="Y163" s="152"/>
      <c r="Z163" s="150"/>
      <c r="AA163" s="151"/>
      <c r="AB163" s="151"/>
      <c r="AC163" s="152"/>
      <c r="AD163" s="150"/>
      <c r="AE163" s="151"/>
      <c r="AF163" s="151"/>
      <c r="AG163" s="152"/>
      <c r="AH163" s="150"/>
      <c r="AI163" s="161"/>
      <c r="AJ163" s="161"/>
      <c r="AK163" s="161"/>
      <c r="AL163" s="161"/>
      <c r="AM163" s="161"/>
      <c r="AN163" s="161"/>
      <c r="AO163" s="161"/>
      <c r="AP163" s="161"/>
      <c r="AQ163" s="161"/>
      <c r="AR163" s="183"/>
    </row>
    <row r="164" spans="1:45" s="14" customFormat="1" x14ac:dyDescent="0.2">
      <c r="A164" s="14" t="s">
        <v>510</v>
      </c>
      <c r="B164" s="127"/>
      <c r="C164" s="33" t="s">
        <v>948</v>
      </c>
      <c r="D164" s="15" t="s">
        <v>293</v>
      </c>
      <c r="E164" s="19" t="s">
        <v>2409</v>
      </c>
      <c r="F164" s="15" t="s">
        <v>1332</v>
      </c>
      <c r="G164" s="15" t="s">
        <v>2547</v>
      </c>
      <c r="H164" s="58">
        <v>7331423009237</v>
      </c>
      <c r="I164" s="66">
        <v>7331423100507</v>
      </c>
      <c r="J164" s="66">
        <v>7331423200733</v>
      </c>
      <c r="K164" s="66">
        <v>17331423200730</v>
      </c>
      <c r="L164" s="27" t="s">
        <v>2845</v>
      </c>
      <c r="M164" s="27" t="s">
        <v>977</v>
      </c>
      <c r="N164" s="514"/>
      <c r="O164" s="514">
        <f>IF($C164="","",VLOOKUP($C164,'2017 Pricelist'!$C:$I,7,FALSE))</f>
        <v>6.99</v>
      </c>
      <c r="P164" s="35">
        <v>10</v>
      </c>
      <c r="Q164" s="187">
        <v>60</v>
      </c>
      <c r="R164" s="33">
        <f>CONVERT(24,"g","lbm")</f>
        <v>5.2910942924370617E-2</v>
      </c>
      <c r="S164" s="33">
        <v>5.8</v>
      </c>
      <c r="T164" s="33">
        <v>0.6</v>
      </c>
      <c r="U164" s="70">
        <v>7.2</v>
      </c>
      <c r="V164" s="44">
        <v>0.06</v>
      </c>
      <c r="W164" s="33">
        <v>6</v>
      </c>
      <c r="X164" s="33">
        <v>1.5</v>
      </c>
      <c r="Y164" s="70">
        <v>7.5</v>
      </c>
      <c r="Z164" s="44" t="s">
        <v>259</v>
      </c>
      <c r="AA164" s="33" t="s">
        <v>259</v>
      </c>
      <c r="AB164" s="33" t="s">
        <v>259</v>
      </c>
      <c r="AC164" s="70" t="s">
        <v>259</v>
      </c>
      <c r="AD164" s="44">
        <v>5.9</v>
      </c>
      <c r="AE164" s="33">
        <v>16</v>
      </c>
      <c r="AF164" s="33">
        <v>13.875</v>
      </c>
      <c r="AG164" s="70">
        <v>9</v>
      </c>
      <c r="AH164" s="42">
        <f>AE164*AF164*AG164/(12^3)</f>
        <v>1.15625</v>
      </c>
      <c r="AI164" s="37" t="s">
        <v>3006</v>
      </c>
      <c r="AJ164" s="37" t="s">
        <v>3007</v>
      </c>
      <c r="AK164" s="37" t="s">
        <v>1636</v>
      </c>
      <c r="AL164" s="18" t="s">
        <v>3008</v>
      </c>
      <c r="AM164" s="18" t="s">
        <v>1635</v>
      </c>
      <c r="AN164" s="18" t="s">
        <v>3009</v>
      </c>
      <c r="AO164" s="18"/>
      <c r="AP164" s="18"/>
      <c r="AQ164" s="63" t="s">
        <v>3005</v>
      </c>
      <c r="AR164" s="18" t="s">
        <v>2909</v>
      </c>
      <c r="AS164" s="94" t="s">
        <v>2908</v>
      </c>
    </row>
    <row r="165" spans="1:45" s="18" customFormat="1" x14ac:dyDescent="0.2">
      <c r="B165" s="125"/>
      <c r="C165" s="33"/>
      <c r="D165" s="33" t="s">
        <v>529</v>
      </c>
      <c r="E165" s="19"/>
      <c r="F165" s="33"/>
      <c r="G165" s="33"/>
      <c r="H165" s="66"/>
      <c r="I165" s="66"/>
      <c r="J165" s="66"/>
      <c r="K165" s="66"/>
      <c r="L165" s="36"/>
      <c r="M165" s="36"/>
      <c r="N165" s="5"/>
      <c r="O165" s="514" t="str">
        <f>IF($C165="","",VLOOKUP($C165,'2017 Pricelist'!$C:$I,7,FALSE))</f>
        <v/>
      </c>
      <c r="P165" s="35"/>
      <c r="Q165" s="187"/>
      <c r="R165" s="33"/>
      <c r="S165" s="33"/>
      <c r="T165" s="33"/>
      <c r="U165" s="70"/>
      <c r="V165" s="44"/>
      <c r="W165" s="33"/>
      <c r="X165" s="33"/>
      <c r="Y165" s="70"/>
      <c r="Z165" s="44"/>
      <c r="AA165" s="33"/>
      <c r="AB165" s="33"/>
      <c r="AC165" s="70"/>
      <c r="AD165" s="44"/>
      <c r="AE165" s="33"/>
      <c r="AF165" s="33"/>
      <c r="AG165" s="70"/>
      <c r="AH165" s="44"/>
      <c r="AI165" s="37"/>
      <c r="AJ165" s="37"/>
      <c r="AK165" s="37"/>
      <c r="AQ165" s="37"/>
      <c r="AR165" s="94"/>
    </row>
    <row r="166" spans="1:45" s="105" customFormat="1" ht="15.75" x14ac:dyDescent="0.25">
      <c r="A166" s="105" t="s">
        <v>1562</v>
      </c>
      <c r="B166" s="318"/>
      <c r="C166" s="155"/>
      <c r="D166" s="33" t="s">
        <v>529</v>
      </c>
      <c r="E166" s="153"/>
      <c r="F166" s="155"/>
      <c r="G166" s="155"/>
      <c r="H166" s="160"/>
      <c r="I166" s="160"/>
      <c r="J166" s="160"/>
      <c r="K166" s="160"/>
      <c r="L166" s="162"/>
      <c r="M166" s="162"/>
      <c r="N166" s="164"/>
      <c r="O166" s="514" t="str">
        <f>IF($C166="","",VLOOKUP($C166,'2017 Pricelist'!$C:$I,7,FALSE))</f>
        <v/>
      </c>
      <c r="P166" s="165"/>
      <c r="Q166" s="234"/>
      <c r="R166" s="155"/>
      <c r="S166" s="155"/>
      <c r="T166" s="155"/>
      <c r="U166" s="156"/>
      <c r="V166" s="154"/>
      <c r="W166" s="155"/>
      <c r="X166" s="155"/>
      <c r="Y166" s="156"/>
      <c r="Z166" s="154"/>
      <c r="AA166" s="155"/>
      <c r="AB166" s="155"/>
      <c r="AC166" s="156"/>
      <c r="AD166" s="154"/>
      <c r="AE166" s="155"/>
      <c r="AF166" s="155"/>
      <c r="AG166" s="156"/>
      <c r="AH166" s="154"/>
      <c r="AI166" s="353"/>
      <c r="AJ166" s="157"/>
      <c r="AK166" s="157"/>
      <c r="AL166" s="157"/>
      <c r="AM166" s="157"/>
      <c r="AN166" s="157"/>
      <c r="AO166" s="157"/>
      <c r="AP166" s="157"/>
      <c r="AQ166" s="157"/>
      <c r="AR166" s="159"/>
    </row>
    <row r="167" spans="1:45" s="65" customFormat="1" x14ac:dyDescent="0.2">
      <c r="A167" s="14" t="s">
        <v>510</v>
      </c>
      <c r="B167" s="127"/>
      <c r="C167" s="33" t="s">
        <v>1048</v>
      </c>
      <c r="D167" s="15" t="s">
        <v>383</v>
      </c>
      <c r="E167" s="19" t="s">
        <v>2407</v>
      </c>
      <c r="F167" s="15" t="s">
        <v>484</v>
      </c>
      <c r="G167" s="15" t="s">
        <v>2558</v>
      </c>
      <c r="H167" s="76">
        <v>7331423006922</v>
      </c>
      <c r="I167" s="77" t="s">
        <v>259</v>
      </c>
      <c r="J167" s="77">
        <v>7331423201280</v>
      </c>
      <c r="K167" s="77">
        <v>17331423202109</v>
      </c>
      <c r="L167" s="27" t="s">
        <v>568</v>
      </c>
      <c r="M167" s="27" t="s">
        <v>977</v>
      </c>
      <c r="N167" s="514"/>
      <c r="O167" s="514">
        <f>IF($C167="","",VLOOKUP($C167,'2017 Pricelist'!$C:$I,7,FALSE))</f>
        <v>19.989999999999998</v>
      </c>
      <c r="P167" s="35">
        <v>1</v>
      </c>
      <c r="Q167" s="187">
        <v>12</v>
      </c>
      <c r="R167" s="33">
        <f t="shared" ref="R167:R176" si="89">CONVERT(281,"g","lbm")</f>
        <v>0.61949895673950595</v>
      </c>
      <c r="S167" s="33">
        <v>7.6</v>
      </c>
      <c r="T167" s="33">
        <v>7.6</v>
      </c>
      <c r="U167" s="70">
        <v>2.4</v>
      </c>
      <c r="V167" s="44">
        <v>0.72</v>
      </c>
      <c r="W167" s="33">
        <v>7.875</v>
      </c>
      <c r="X167" s="33">
        <v>2.5</v>
      </c>
      <c r="Y167" s="70">
        <v>8.5</v>
      </c>
      <c r="Z167" s="44" t="s">
        <v>259</v>
      </c>
      <c r="AA167" s="33" t="s">
        <v>259</v>
      </c>
      <c r="AB167" s="33" t="s">
        <v>259</v>
      </c>
      <c r="AC167" s="70" t="s">
        <v>259</v>
      </c>
      <c r="AD167" s="44">
        <v>9.8000000000000007</v>
      </c>
      <c r="AE167" s="33">
        <v>23.625</v>
      </c>
      <c r="AF167" s="33">
        <v>15.25</v>
      </c>
      <c r="AG167" s="70">
        <v>6.25</v>
      </c>
      <c r="AH167" s="42">
        <f t="shared" ref="AH167:AH176" si="90">AE167*AF167*AG167/(12^3)</f>
        <v>1.3031005859375</v>
      </c>
      <c r="AI167" s="37" t="s">
        <v>2752</v>
      </c>
      <c r="AJ167" s="37" t="s">
        <v>2753</v>
      </c>
      <c r="AK167" s="37" t="s">
        <v>2748</v>
      </c>
      <c r="AL167" s="18" t="s">
        <v>1143</v>
      </c>
      <c r="AM167" s="18" t="s">
        <v>3011</v>
      </c>
      <c r="AN167" s="18"/>
      <c r="AO167" s="18"/>
      <c r="AP167" s="18"/>
      <c r="AQ167" s="196" t="s">
        <v>3010</v>
      </c>
      <c r="AR167" s="18" t="s">
        <v>2909</v>
      </c>
      <c r="AS167" s="94" t="s">
        <v>2908</v>
      </c>
    </row>
    <row r="168" spans="1:45" s="65" customFormat="1" x14ac:dyDescent="0.2">
      <c r="A168" s="14" t="s">
        <v>510</v>
      </c>
      <c r="B168" s="127"/>
      <c r="C168" s="33" t="s">
        <v>1048</v>
      </c>
      <c r="D168" s="15" t="s">
        <v>1017</v>
      </c>
      <c r="E168" s="19" t="s">
        <v>2407</v>
      </c>
      <c r="F168" s="15" t="s">
        <v>1018</v>
      </c>
      <c r="G168" s="15" t="s">
        <v>2558</v>
      </c>
      <c r="H168" s="76">
        <v>7331423006939</v>
      </c>
      <c r="I168" s="77" t="s">
        <v>259</v>
      </c>
      <c r="J168" s="77">
        <v>7331423200863</v>
      </c>
      <c r="K168" s="77">
        <v>17331423200860</v>
      </c>
      <c r="L168" s="27" t="s">
        <v>568</v>
      </c>
      <c r="M168" s="27" t="s">
        <v>977</v>
      </c>
      <c r="N168" s="514"/>
      <c r="O168" s="514">
        <f>IF($C168="","",VLOOKUP($C168,'2017 Pricelist'!$C:$I,7,FALSE))</f>
        <v>19.989999999999998</v>
      </c>
      <c r="P168" s="35">
        <v>1</v>
      </c>
      <c r="Q168" s="187">
        <v>12</v>
      </c>
      <c r="R168" s="33">
        <f t="shared" si="89"/>
        <v>0.61949895673950595</v>
      </c>
      <c r="S168" s="33">
        <v>7.6</v>
      </c>
      <c r="T168" s="33">
        <v>7.6</v>
      </c>
      <c r="U168" s="70">
        <v>2.4</v>
      </c>
      <c r="V168" s="44">
        <v>0.72</v>
      </c>
      <c r="W168" s="33">
        <v>7.875</v>
      </c>
      <c r="X168" s="33">
        <v>2.5</v>
      </c>
      <c r="Y168" s="70">
        <v>8.5</v>
      </c>
      <c r="Z168" s="44" t="s">
        <v>259</v>
      </c>
      <c r="AA168" s="33" t="s">
        <v>259</v>
      </c>
      <c r="AB168" s="33" t="s">
        <v>259</v>
      </c>
      <c r="AC168" s="70" t="s">
        <v>259</v>
      </c>
      <c r="AD168" s="44">
        <v>9.8000000000000007</v>
      </c>
      <c r="AE168" s="33">
        <v>23.625</v>
      </c>
      <c r="AF168" s="33">
        <v>15.25</v>
      </c>
      <c r="AG168" s="70">
        <v>6.25</v>
      </c>
      <c r="AH168" s="42">
        <f t="shared" si="90"/>
        <v>1.3031005859375</v>
      </c>
      <c r="AI168" s="37" t="s">
        <v>2752</v>
      </c>
      <c r="AJ168" s="37" t="s">
        <v>2753</v>
      </c>
      <c r="AK168" s="37" t="s">
        <v>2748</v>
      </c>
      <c r="AL168" s="18" t="s">
        <v>1143</v>
      </c>
      <c r="AM168" s="18" t="s">
        <v>3011</v>
      </c>
      <c r="AN168" s="18"/>
      <c r="AO168" s="18"/>
      <c r="AP168" s="18"/>
      <c r="AQ168" s="196" t="s">
        <v>3010</v>
      </c>
      <c r="AR168" s="18" t="s">
        <v>2909</v>
      </c>
      <c r="AS168" s="94" t="s">
        <v>2908</v>
      </c>
    </row>
    <row r="169" spans="1:45" s="65" customFormat="1" x14ac:dyDescent="0.2">
      <c r="A169" s="14" t="s">
        <v>510</v>
      </c>
      <c r="B169" s="127"/>
      <c r="C169" s="33" t="s">
        <v>1048</v>
      </c>
      <c r="D169" s="15" t="s">
        <v>371</v>
      </c>
      <c r="E169" s="19" t="s">
        <v>2407</v>
      </c>
      <c r="F169" s="15" t="s">
        <v>218</v>
      </c>
      <c r="G169" s="15" t="s">
        <v>2558</v>
      </c>
      <c r="H169" s="76">
        <v>7331423006953</v>
      </c>
      <c r="I169" s="77" t="s">
        <v>259</v>
      </c>
      <c r="J169" s="77">
        <v>7331423200870</v>
      </c>
      <c r="K169" s="77">
        <v>17331423200877</v>
      </c>
      <c r="L169" s="27" t="s">
        <v>568</v>
      </c>
      <c r="M169" s="27" t="s">
        <v>977</v>
      </c>
      <c r="N169" s="514"/>
      <c r="O169" s="514">
        <f>IF($C169="","",VLOOKUP($C169,'2017 Pricelist'!$C:$I,7,FALSE))</f>
        <v>19.989999999999998</v>
      </c>
      <c r="P169" s="35">
        <v>1</v>
      </c>
      <c r="Q169" s="187">
        <v>12</v>
      </c>
      <c r="R169" s="33">
        <f t="shared" si="89"/>
        <v>0.61949895673950595</v>
      </c>
      <c r="S169" s="33">
        <v>7.6</v>
      </c>
      <c r="T169" s="33">
        <v>7.6</v>
      </c>
      <c r="U169" s="70">
        <v>2.4</v>
      </c>
      <c r="V169" s="44">
        <v>0.72</v>
      </c>
      <c r="W169" s="33">
        <v>7.875</v>
      </c>
      <c r="X169" s="33">
        <v>2.5</v>
      </c>
      <c r="Y169" s="70">
        <v>8.5</v>
      </c>
      <c r="Z169" s="44" t="s">
        <v>259</v>
      </c>
      <c r="AA169" s="33" t="s">
        <v>259</v>
      </c>
      <c r="AB169" s="33" t="s">
        <v>259</v>
      </c>
      <c r="AC169" s="70" t="s">
        <v>259</v>
      </c>
      <c r="AD169" s="44">
        <v>9.8000000000000007</v>
      </c>
      <c r="AE169" s="33">
        <v>23.625</v>
      </c>
      <c r="AF169" s="33">
        <v>15.25</v>
      </c>
      <c r="AG169" s="70">
        <v>6.25</v>
      </c>
      <c r="AH169" s="42">
        <f t="shared" si="90"/>
        <v>1.3031005859375</v>
      </c>
      <c r="AI169" s="37" t="s">
        <v>2752</v>
      </c>
      <c r="AJ169" s="37" t="s">
        <v>2753</v>
      </c>
      <c r="AK169" s="37" t="s">
        <v>2748</v>
      </c>
      <c r="AL169" s="18" t="s">
        <v>1143</v>
      </c>
      <c r="AM169" s="18" t="s">
        <v>3011</v>
      </c>
      <c r="AN169" s="18"/>
      <c r="AO169" s="18"/>
      <c r="AP169" s="18"/>
      <c r="AQ169" s="196" t="s">
        <v>3010</v>
      </c>
      <c r="AR169" s="18" t="s">
        <v>2909</v>
      </c>
      <c r="AS169" s="94" t="s">
        <v>2908</v>
      </c>
    </row>
    <row r="170" spans="1:45" s="65" customFormat="1" x14ac:dyDescent="0.2">
      <c r="A170" s="14" t="s">
        <v>510</v>
      </c>
      <c r="B170" s="127"/>
      <c r="C170" s="33" t="s">
        <v>1048</v>
      </c>
      <c r="D170" s="15" t="s">
        <v>374</v>
      </c>
      <c r="E170" s="19" t="s">
        <v>2407</v>
      </c>
      <c r="F170" s="15" t="s">
        <v>219</v>
      </c>
      <c r="G170" s="15" t="s">
        <v>2558</v>
      </c>
      <c r="H170" s="76">
        <v>7331423006977</v>
      </c>
      <c r="I170" s="77" t="s">
        <v>259</v>
      </c>
      <c r="J170" s="77">
        <v>7331423201563</v>
      </c>
      <c r="K170" s="77">
        <v>17331423202130</v>
      </c>
      <c r="L170" s="27" t="s">
        <v>568</v>
      </c>
      <c r="M170" s="27" t="s">
        <v>977</v>
      </c>
      <c r="N170" s="514"/>
      <c r="O170" s="514">
        <f>IF($C170="","",VLOOKUP($C170,'2017 Pricelist'!$C:$I,7,FALSE))</f>
        <v>19.989999999999998</v>
      </c>
      <c r="P170" s="35">
        <v>1</v>
      </c>
      <c r="Q170" s="187">
        <v>12</v>
      </c>
      <c r="R170" s="33">
        <f t="shared" si="89"/>
        <v>0.61949895673950595</v>
      </c>
      <c r="S170" s="33">
        <v>7.6</v>
      </c>
      <c r="T170" s="33">
        <v>7.6</v>
      </c>
      <c r="U170" s="70">
        <v>2.4</v>
      </c>
      <c r="V170" s="44">
        <v>0.72</v>
      </c>
      <c r="W170" s="33">
        <v>7.875</v>
      </c>
      <c r="X170" s="33">
        <v>2.5</v>
      </c>
      <c r="Y170" s="70">
        <v>8.5</v>
      </c>
      <c r="Z170" s="44" t="s">
        <v>259</v>
      </c>
      <c r="AA170" s="33" t="s">
        <v>259</v>
      </c>
      <c r="AB170" s="33" t="s">
        <v>259</v>
      </c>
      <c r="AC170" s="70" t="s">
        <v>259</v>
      </c>
      <c r="AD170" s="44">
        <v>9.8000000000000007</v>
      </c>
      <c r="AE170" s="33">
        <v>23.625</v>
      </c>
      <c r="AF170" s="33">
        <v>15.25</v>
      </c>
      <c r="AG170" s="70">
        <v>6.25</v>
      </c>
      <c r="AH170" s="42">
        <f t="shared" si="90"/>
        <v>1.3031005859375</v>
      </c>
      <c r="AI170" s="37" t="s">
        <v>2752</v>
      </c>
      <c r="AJ170" s="37" t="s">
        <v>2753</v>
      </c>
      <c r="AK170" s="37" t="s">
        <v>2748</v>
      </c>
      <c r="AL170" s="18" t="s">
        <v>1143</v>
      </c>
      <c r="AM170" s="18" t="s">
        <v>3011</v>
      </c>
      <c r="AN170" s="18"/>
      <c r="AO170" s="18"/>
      <c r="AP170" s="18"/>
      <c r="AQ170" s="196" t="s">
        <v>3010</v>
      </c>
      <c r="AR170" s="18" t="s">
        <v>2909</v>
      </c>
      <c r="AS170" s="94" t="s">
        <v>2908</v>
      </c>
    </row>
    <row r="171" spans="1:45" s="14" customFormat="1" x14ac:dyDescent="0.2">
      <c r="A171" s="14" t="s">
        <v>510</v>
      </c>
      <c r="B171" s="127"/>
      <c r="C171" s="33" t="s">
        <v>1048</v>
      </c>
      <c r="D171" s="15" t="s">
        <v>369</v>
      </c>
      <c r="E171" s="19" t="s">
        <v>2407</v>
      </c>
      <c r="F171" s="15" t="s">
        <v>222</v>
      </c>
      <c r="G171" s="15" t="s">
        <v>2558</v>
      </c>
      <c r="H171" s="76">
        <v>7331423006946</v>
      </c>
      <c r="I171" s="77" t="s">
        <v>259</v>
      </c>
      <c r="J171" s="77">
        <v>7331423201594</v>
      </c>
      <c r="K171" s="77">
        <v>17331423201591</v>
      </c>
      <c r="L171" s="27" t="s">
        <v>568</v>
      </c>
      <c r="M171" s="27" t="s">
        <v>977</v>
      </c>
      <c r="N171" s="514"/>
      <c r="O171" s="514">
        <f>IF($C171="","",VLOOKUP($C171,'2017 Pricelist'!$C:$I,7,FALSE))</f>
        <v>19.989999999999998</v>
      </c>
      <c r="P171" s="35">
        <v>1</v>
      </c>
      <c r="Q171" s="187">
        <v>12</v>
      </c>
      <c r="R171" s="33">
        <f t="shared" si="89"/>
        <v>0.61949895673950595</v>
      </c>
      <c r="S171" s="33">
        <v>7.6</v>
      </c>
      <c r="T171" s="33">
        <v>7.6</v>
      </c>
      <c r="U171" s="70">
        <v>2.4</v>
      </c>
      <c r="V171" s="44">
        <v>0.72</v>
      </c>
      <c r="W171" s="33">
        <v>7.875</v>
      </c>
      <c r="X171" s="33">
        <v>2.5</v>
      </c>
      <c r="Y171" s="70">
        <v>8.5</v>
      </c>
      <c r="Z171" s="44" t="s">
        <v>259</v>
      </c>
      <c r="AA171" s="33" t="s">
        <v>259</v>
      </c>
      <c r="AB171" s="33" t="s">
        <v>259</v>
      </c>
      <c r="AC171" s="70" t="s">
        <v>259</v>
      </c>
      <c r="AD171" s="44">
        <v>9.8000000000000007</v>
      </c>
      <c r="AE171" s="33">
        <v>23.625</v>
      </c>
      <c r="AF171" s="33">
        <v>15.25</v>
      </c>
      <c r="AG171" s="70">
        <v>6.25</v>
      </c>
      <c r="AH171" s="42">
        <f t="shared" si="90"/>
        <v>1.3031005859375</v>
      </c>
      <c r="AI171" s="37" t="s">
        <v>2752</v>
      </c>
      <c r="AJ171" s="37" t="s">
        <v>2753</v>
      </c>
      <c r="AK171" s="37" t="s">
        <v>2748</v>
      </c>
      <c r="AL171" s="18" t="s">
        <v>1143</v>
      </c>
      <c r="AM171" s="18" t="s">
        <v>3011</v>
      </c>
      <c r="AN171" s="18"/>
      <c r="AO171" s="18"/>
      <c r="AP171" s="18"/>
      <c r="AQ171" s="196" t="s">
        <v>3010</v>
      </c>
      <c r="AR171" s="18" t="s">
        <v>2909</v>
      </c>
      <c r="AS171" s="94" t="s">
        <v>2908</v>
      </c>
    </row>
    <row r="172" spans="1:45" s="14" customFormat="1" x14ac:dyDescent="0.2">
      <c r="A172" s="14" t="s">
        <v>510</v>
      </c>
      <c r="B172" s="127"/>
      <c r="C172" s="33" t="s">
        <v>1048</v>
      </c>
      <c r="D172" s="15" t="s">
        <v>1739</v>
      </c>
      <c r="E172" s="19" t="s">
        <v>2407</v>
      </c>
      <c r="F172" s="15" t="s">
        <v>1859</v>
      </c>
      <c r="G172" s="15" t="s">
        <v>2558</v>
      </c>
      <c r="H172" s="76">
        <v>7331423008094</v>
      </c>
      <c r="I172" s="77" t="s">
        <v>259</v>
      </c>
      <c r="J172" s="77">
        <v>7331423200856</v>
      </c>
      <c r="K172" s="77">
        <v>17331423200853</v>
      </c>
      <c r="L172" s="27" t="s">
        <v>568</v>
      </c>
      <c r="M172" s="27" t="s">
        <v>977</v>
      </c>
      <c r="N172" s="514"/>
      <c r="O172" s="514">
        <f>IF($C172="","",VLOOKUP($C172,'2017 Pricelist'!$C:$I,7,FALSE))</f>
        <v>19.989999999999998</v>
      </c>
      <c r="P172" s="35">
        <v>1</v>
      </c>
      <c r="Q172" s="187">
        <v>12</v>
      </c>
      <c r="R172" s="33">
        <f t="shared" si="89"/>
        <v>0.61949895673950595</v>
      </c>
      <c r="S172" s="33">
        <v>7.6</v>
      </c>
      <c r="T172" s="33">
        <v>7.6</v>
      </c>
      <c r="U172" s="70">
        <v>2.4</v>
      </c>
      <c r="V172" s="44">
        <v>0.72</v>
      </c>
      <c r="W172" s="33">
        <v>7.875</v>
      </c>
      <c r="X172" s="33">
        <v>2.5</v>
      </c>
      <c r="Y172" s="70">
        <v>8.5</v>
      </c>
      <c r="Z172" s="44" t="s">
        <v>259</v>
      </c>
      <c r="AA172" s="33" t="s">
        <v>259</v>
      </c>
      <c r="AB172" s="33" t="s">
        <v>259</v>
      </c>
      <c r="AC172" s="70" t="s">
        <v>259</v>
      </c>
      <c r="AD172" s="44">
        <v>9.8000000000000007</v>
      </c>
      <c r="AE172" s="33">
        <v>23.625</v>
      </c>
      <c r="AF172" s="33">
        <v>15.25</v>
      </c>
      <c r="AG172" s="70">
        <v>6.25</v>
      </c>
      <c r="AH172" s="42">
        <f t="shared" si="90"/>
        <v>1.3031005859375</v>
      </c>
      <c r="AI172" s="37" t="s">
        <v>2752</v>
      </c>
      <c r="AJ172" s="37" t="s">
        <v>2753</v>
      </c>
      <c r="AK172" s="37" t="s">
        <v>2748</v>
      </c>
      <c r="AL172" s="18" t="s">
        <v>1143</v>
      </c>
      <c r="AM172" s="18" t="s">
        <v>3011</v>
      </c>
      <c r="AN172" s="18"/>
      <c r="AO172" s="18"/>
      <c r="AP172" s="18"/>
      <c r="AQ172" s="196" t="s">
        <v>3010</v>
      </c>
      <c r="AR172" s="18" t="s">
        <v>2909</v>
      </c>
      <c r="AS172" s="94" t="s">
        <v>2908</v>
      </c>
    </row>
    <row r="173" spans="1:45" s="14" customFormat="1" x14ac:dyDescent="0.2">
      <c r="A173" s="14" t="s">
        <v>510</v>
      </c>
      <c r="B173" s="127"/>
      <c r="C173" s="33" t="s">
        <v>1048</v>
      </c>
      <c r="D173" s="15" t="s">
        <v>1740</v>
      </c>
      <c r="E173" s="19" t="s">
        <v>2407</v>
      </c>
      <c r="F173" s="15" t="s">
        <v>1858</v>
      </c>
      <c r="G173" s="15" t="s">
        <v>2558</v>
      </c>
      <c r="H173" s="76">
        <v>7331423007387</v>
      </c>
      <c r="I173" s="77" t="s">
        <v>259</v>
      </c>
      <c r="J173" s="77">
        <v>7331423200849</v>
      </c>
      <c r="K173" s="77">
        <v>17331423200846</v>
      </c>
      <c r="L173" s="27" t="s">
        <v>568</v>
      </c>
      <c r="M173" s="27" t="s">
        <v>977</v>
      </c>
      <c r="N173" s="514"/>
      <c r="O173" s="514">
        <f>IF($C173="","",VLOOKUP($C173,'2017 Pricelist'!$C:$I,7,FALSE))</f>
        <v>19.989999999999998</v>
      </c>
      <c r="P173" s="35">
        <v>1</v>
      </c>
      <c r="Q173" s="187">
        <v>12</v>
      </c>
      <c r="R173" s="33">
        <f t="shared" si="89"/>
        <v>0.61949895673950595</v>
      </c>
      <c r="S173" s="33">
        <v>7.6</v>
      </c>
      <c r="T173" s="33">
        <v>7.6</v>
      </c>
      <c r="U173" s="70">
        <v>2.4</v>
      </c>
      <c r="V173" s="44">
        <v>0.72</v>
      </c>
      <c r="W173" s="33">
        <v>7.875</v>
      </c>
      <c r="X173" s="33">
        <v>2.5</v>
      </c>
      <c r="Y173" s="70">
        <v>8.5</v>
      </c>
      <c r="Z173" s="44" t="s">
        <v>259</v>
      </c>
      <c r="AA173" s="33" t="s">
        <v>259</v>
      </c>
      <c r="AB173" s="33" t="s">
        <v>259</v>
      </c>
      <c r="AC173" s="70" t="s">
        <v>259</v>
      </c>
      <c r="AD173" s="44">
        <v>9.8000000000000007</v>
      </c>
      <c r="AE173" s="33">
        <v>23.625</v>
      </c>
      <c r="AF173" s="33">
        <v>15.25</v>
      </c>
      <c r="AG173" s="70">
        <v>6.25</v>
      </c>
      <c r="AH173" s="42">
        <f t="shared" si="90"/>
        <v>1.3031005859375</v>
      </c>
      <c r="AI173" s="37" t="s">
        <v>2752</v>
      </c>
      <c r="AJ173" s="37" t="s">
        <v>2753</v>
      </c>
      <c r="AK173" s="37" t="s">
        <v>2748</v>
      </c>
      <c r="AL173" s="18" t="s">
        <v>1143</v>
      </c>
      <c r="AM173" s="18" t="s">
        <v>3011</v>
      </c>
      <c r="AN173" s="18"/>
      <c r="AO173" s="18"/>
      <c r="AP173" s="18"/>
      <c r="AQ173" s="196" t="s">
        <v>3010</v>
      </c>
      <c r="AR173" s="18" t="s">
        <v>2909</v>
      </c>
      <c r="AS173" s="94" t="s">
        <v>2908</v>
      </c>
    </row>
    <row r="174" spans="1:45" s="65" customFormat="1" x14ac:dyDescent="0.2">
      <c r="A174" s="14" t="s">
        <v>510</v>
      </c>
      <c r="B174" s="125"/>
      <c r="C174" s="33" t="s">
        <v>1048</v>
      </c>
      <c r="D174" s="33" t="s">
        <v>2882</v>
      </c>
      <c r="E174" s="19" t="s">
        <v>2407</v>
      </c>
      <c r="F174" s="15" t="s">
        <v>2883</v>
      </c>
      <c r="G174" s="15" t="s">
        <v>2558</v>
      </c>
      <c r="H174" s="77">
        <v>7331423010110</v>
      </c>
      <c r="I174" s="77" t="s">
        <v>259</v>
      </c>
      <c r="J174" s="77">
        <v>7331423202461</v>
      </c>
      <c r="K174" s="77">
        <v>17331423202543</v>
      </c>
      <c r="L174" s="27" t="s">
        <v>568</v>
      </c>
      <c r="M174" s="27" t="s">
        <v>977</v>
      </c>
      <c r="N174" s="514"/>
      <c r="O174" s="514">
        <f>IF($C174="","",VLOOKUP($C174,'2017 Pricelist'!$C:$I,7,FALSE))</f>
        <v>19.989999999999998</v>
      </c>
      <c r="P174" s="35">
        <v>1</v>
      </c>
      <c r="Q174" s="187">
        <v>12</v>
      </c>
      <c r="R174" s="33">
        <f t="shared" si="89"/>
        <v>0.61949895673950595</v>
      </c>
      <c r="S174" s="33">
        <v>7.6</v>
      </c>
      <c r="T174" s="33">
        <v>7.6</v>
      </c>
      <c r="U174" s="70">
        <v>2.4</v>
      </c>
      <c r="V174" s="44">
        <v>0.72</v>
      </c>
      <c r="W174" s="33">
        <v>7.875</v>
      </c>
      <c r="X174" s="33">
        <v>2.5</v>
      </c>
      <c r="Y174" s="70">
        <v>8.5</v>
      </c>
      <c r="Z174" s="44" t="s">
        <v>259</v>
      </c>
      <c r="AA174" s="33" t="s">
        <v>259</v>
      </c>
      <c r="AB174" s="33" t="s">
        <v>259</v>
      </c>
      <c r="AC174" s="70" t="s">
        <v>259</v>
      </c>
      <c r="AD174" s="44">
        <v>9.8000000000000007</v>
      </c>
      <c r="AE174" s="33">
        <v>23.625</v>
      </c>
      <c r="AF174" s="33">
        <v>15.25</v>
      </c>
      <c r="AG174" s="70">
        <v>6.25</v>
      </c>
      <c r="AH174" s="42">
        <f t="shared" si="90"/>
        <v>1.3031005859375</v>
      </c>
      <c r="AI174" s="37" t="s">
        <v>2752</v>
      </c>
      <c r="AJ174" s="37" t="s">
        <v>2753</v>
      </c>
      <c r="AK174" s="37" t="s">
        <v>2748</v>
      </c>
      <c r="AL174" s="18" t="s">
        <v>1143</v>
      </c>
      <c r="AM174" s="18" t="s">
        <v>3011</v>
      </c>
      <c r="AN174" s="18"/>
      <c r="AO174" s="18"/>
      <c r="AP174" s="18"/>
      <c r="AQ174" s="196" t="s">
        <v>3010</v>
      </c>
      <c r="AR174" s="18" t="s">
        <v>2909</v>
      </c>
      <c r="AS174" s="94" t="s">
        <v>2908</v>
      </c>
    </row>
    <row r="175" spans="1:45" s="65" customFormat="1" x14ac:dyDescent="0.2">
      <c r="A175" s="14" t="s">
        <v>510</v>
      </c>
      <c r="B175" s="125"/>
      <c r="C175" s="33" t="s">
        <v>1048</v>
      </c>
      <c r="D175" s="33" t="s">
        <v>2884</v>
      </c>
      <c r="E175" s="19" t="s">
        <v>2407</v>
      </c>
      <c r="F175" s="15" t="s">
        <v>2885</v>
      </c>
      <c r="G175" s="15" t="s">
        <v>2558</v>
      </c>
      <c r="H175" s="77">
        <v>7331423010127</v>
      </c>
      <c r="I175" s="77" t="s">
        <v>259</v>
      </c>
      <c r="J175" s="77">
        <v>7331423202478</v>
      </c>
      <c r="K175" s="77">
        <v>17331423202550</v>
      </c>
      <c r="L175" s="27" t="s">
        <v>568</v>
      </c>
      <c r="M175" s="27" t="s">
        <v>977</v>
      </c>
      <c r="N175" s="514"/>
      <c r="O175" s="514">
        <f>IF($C175="","",VLOOKUP($C175,'2017 Pricelist'!$C:$I,7,FALSE))</f>
        <v>19.989999999999998</v>
      </c>
      <c r="P175" s="35">
        <v>1</v>
      </c>
      <c r="Q175" s="187">
        <v>12</v>
      </c>
      <c r="R175" s="33">
        <f t="shared" si="89"/>
        <v>0.61949895673950595</v>
      </c>
      <c r="S175" s="33">
        <v>7.6</v>
      </c>
      <c r="T175" s="33">
        <v>7.6</v>
      </c>
      <c r="U175" s="70">
        <v>2.4</v>
      </c>
      <c r="V175" s="44">
        <v>0.72</v>
      </c>
      <c r="W175" s="33">
        <v>7.875</v>
      </c>
      <c r="X175" s="33">
        <v>2.5</v>
      </c>
      <c r="Y175" s="70">
        <v>8.5</v>
      </c>
      <c r="Z175" s="44" t="s">
        <v>259</v>
      </c>
      <c r="AA175" s="33" t="s">
        <v>259</v>
      </c>
      <c r="AB175" s="33" t="s">
        <v>259</v>
      </c>
      <c r="AC175" s="70" t="s">
        <v>259</v>
      </c>
      <c r="AD175" s="44">
        <v>9.8000000000000007</v>
      </c>
      <c r="AE175" s="33">
        <v>23.625</v>
      </c>
      <c r="AF175" s="33">
        <v>15.25</v>
      </c>
      <c r="AG175" s="70">
        <v>6.25</v>
      </c>
      <c r="AH175" s="42">
        <f t="shared" si="90"/>
        <v>1.3031005859375</v>
      </c>
      <c r="AI175" s="37" t="s">
        <v>2752</v>
      </c>
      <c r="AJ175" s="37" t="s">
        <v>2753</v>
      </c>
      <c r="AK175" s="37" t="s">
        <v>2748</v>
      </c>
      <c r="AL175" s="18" t="s">
        <v>1143</v>
      </c>
      <c r="AM175" s="18" t="s">
        <v>3011</v>
      </c>
      <c r="AN175" s="18"/>
      <c r="AO175" s="18"/>
      <c r="AP175" s="18"/>
      <c r="AQ175" s="196" t="s">
        <v>3010</v>
      </c>
      <c r="AR175" s="18" t="s">
        <v>2909</v>
      </c>
      <c r="AS175" s="94" t="s">
        <v>2908</v>
      </c>
    </row>
    <row r="176" spans="1:45" s="65" customFormat="1" x14ac:dyDescent="0.2">
      <c r="A176" s="14" t="s">
        <v>510</v>
      </c>
      <c r="B176" s="125"/>
      <c r="C176" s="33" t="s">
        <v>1048</v>
      </c>
      <c r="D176" s="33" t="s">
        <v>3800</v>
      </c>
      <c r="E176" s="19" t="s">
        <v>2407</v>
      </c>
      <c r="F176" s="15" t="s">
        <v>2887</v>
      </c>
      <c r="G176" s="15" t="s">
        <v>2558</v>
      </c>
      <c r="H176" s="77">
        <v>7331423010134</v>
      </c>
      <c r="I176" s="77" t="s">
        <v>259</v>
      </c>
      <c r="J176" s="77">
        <v>7331423202485</v>
      </c>
      <c r="K176" s="77">
        <v>17331423202567</v>
      </c>
      <c r="L176" s="27" t="s">
        <v>568</v>
      </c>
      <c r="M176" s="27" t="s">
        <v>977</v>
      </c>
      <c r="N176" s="514"/>
      <c r="O176" s="514">
        <f>IF($C176="","",VLOOKUP($C176,'2017 Pricelist'!$C:$I,7,FALSE))</f>
        <v>19.989999999999998</v>
      </c>
      <c r="P176" s="35">
        <v>1</v>
      </c>
      <c r="Q176" s="187">
        <v>12</v>
      </c>
      <c r="R176" s="33">
        <f t="shared" si="89"/>
        <v>0.61949895673950595</v>
      </c>
      <c r="S176" s="33">
        <v>7.6</v>
      </c>
      <c r="T176" s="33">
        <v>7.6</v>
      </c>
      <c r="U176" s="70">
        <v>2.4</v>
      </c>
      <c r="V176" s="44">
        <v>0.72</v>
      </c>
      <c r="W176" s="33">
        <v>7.875</v>
      </c>
      <c r="X176" s="33">
        <v>2.5</v>
      </c>
      <c r="Y176" s="70">
        <v>8.5</v>
      </c>
      <c r="Z176" s="44" t="s">
        <v>259</v>
      </c>
      <c r="AA176" s="33" t="s">
        <v>259</v>
      </c>
      <c r="AB176" s="33" t="s">
        <v>259</v>
      </c>
      <c r="AC176" s="70" t="s">
        <v>259</v>
      </c>
      <c r="AD176" s="44">
        <v>9.8000000000000007</v>
      </c>
      <c r="AE176" s="33">
        <v>23.625</v>
      </c>
      <c r="AF176" s="33">
        <v>15.25</v>
      </c>
      <c r="AG176" s="70">
        <v>6.25</v>
      </c>
      <c r="AH176" s="42">
        <f t="shared" si="90"/>
        <v>1.3031005859375</v>
      </c>
      <c r="AI176" s="37" t="s">
        <v>2752</v>
      </c>
      <c r="AJ176" s="37" t="s">
        <v>2753</v>
      </c>
      <c r="AK176" s="37" t="s">
        <v>2748</v>
      </c>
      <c r="AL176" s="18" t="s">
        <v>1143</v>
      </c>
      <c r="AM176" s="18" t="s">
        <v>3011</v>
      </c>
      <c r="AN176" s="18"/>
      <c r="AO176" s="18"/>
      <c r="AP176" s="18"/>
      <c r="AQ176" s="196" t="s">
        <v>3010</v>
      </c>
      <c r="AR176" s="18" t="s">
        <v>2909</v>
      </c>
      <c r="AS176" s="94" t="s">
        <v>2908</v>
      </c>
    </row>
    <row r="177" spans="1:45" s="37" customFormat="1" x14ac:dyDescent="0.2">
      <c r="H177" s="253"/>
      <c r="I177" s="253"/>
      <c r="J177" s="253"/>
      <c r="K177" s="253"/>
      <c r="M177" s="253"/>
      <c r="O177" s="514" t="str">
        <f>IF($C177="","",VLOOKUP($C177,'2017 Pricelist'!$C:$I,7,FALSE))</f>
        <v/>
      </c>
      <c r="Q177" s="237"/>
      <c r="R177" s="139"/>
      <c r="S177" s="139"/>
      <c r="T177" s="139"/>
      <c r="U177" s="186"/>
      <c r="V177" s="91"/>
      <c r="W177" s="139"/>
      <c r="X177" s="139"/>
      <c r="Y177" s="186"/>
      <c r="Z177" s="91"/>
      <c r="AA177" s="139"/>
      <c r="AB177" s="139"/>
      <c r="AC177" s="186"/>
      <c r="AD177" s="91"/>
      <c r="AE177" s="139"/>
      <c r="AF177" s="139"/>
      <c r="AG177" s="186"/>
      <c r="AH177" s="346"/>
    </row>
    <row r="178" spans="1:45" s="102" customFormat="1" ht="15.75" x14ac:dyDescent="0.25">
      <c r="A178" s="105" t="s">
        <v>1768</v>
      </c>
      <c r="B178" s="318"/>
      <c r="C178" s="259"/>
      <c r="D178" s="205" t="s">
        <v>529</v>
      </c>
      <c r="E178" s="206"/>
      <c r="F178" s="205"/>
      <c r="G178" s="205"/>
      <c r="H178" s="207"/>
      <c r="I178" s="207"/>
      <c r="J178" s="207"/>
      <c r="K178" s="207"/>
      <c r="L178" s="207"/>
      <c r="M178" s="207"/>
      <c r="N178" s="208"/>
      <c r="O178" s="514" t="str">
        <f>IF($C178="","",VLOOKUP($C178,'2017 Pricelist'!$C:$I,7,FALSE))</f>
        <v/>
      </c>
      <c r="P178" s="209"/>
      <c r="Q178" s="235"/>
      <c r="R178" s="205"/>
      <c r="S178" s="205"/>
      <c r="T178" s="205"/>
      <c r="U178" s="211"/>
      <c r="V178" s="210"/>
      <c r="W178" s="205"/>
      <c r="X178" s="205"/>
      <c r="Y178" s="211"/>
      <c r="Z178" s="210"/>
      <c r="AA178" s="205"/>
      <c r="AB178" s="205"/>
      <c r="AC178" s="211"/>
      <c r="AD178" s="210"/>
      <c r="AE178" s="205"/>
      <c r="AF178" s="205"/>
      <c r="AG178" s="211"/>
      <c r="AH178" s="210"/>
      <c r="AQ178" s="212"/>
      <c r="AR178" s="213"/>
    </row>
    <row r="179" spans="1:45" s="14" customFormat="1" x14ac:dyDescent="0.2">
      <c r="A179" s="14" t="s">
        <v>510</v>
      </c>
      <c r="B179" s="127"/>
      <c r="C179" s="103" t="s">
        <v>1771</v>
      </c>
      <c r="D179" s="15" t="s">
        <v>1743</v>
      </c>
      <c r="E179" s="16" t="s">
        <v>2433</v>
      </c>
      <c r="F179" s="15" t="s">
        <v>2822</v>
      </c>
      <c r="G179" s="15" t="s">
        <v>2558</v>
      </c>
      <c r="H179" s="27" t="s">
        <v>1773</v>
      </c>
      <c r="I179" s="77" t="s">
        <v>259</v>
      </c>
      <c r="J179" s="36" t="s">
        <v>2848</v>
      </c>
      <c r="K179" s="36" t="s">
        <v>2849</v>
      </c>
      <c r="L179" s="27" t="s">
        <v>568</v>
      </c>
      <c r="M179" s="27" t="s">
        <v>977</v>
      </c>
      <c r="N179" s="514"/>
      <c r="O179" s="514">
        <f>IF($C179="","",VLOOKUP($C179,'2017 Pricelist'!$C:$I,7,FALSE))</f>
        <v>39.99</v>
      </c>
      <c r="P179" s="35">
        <v>1</v>
      </c>
      <c r="Q179" s="187">
        <v>12</v>
      </c>
      <c r="R179" s="33">
        <f>CONVERT(342,"g","lbm")</f>
        <v>0.75398093667228128</v>
      </c>
      <c r="S179" s="33" t="s">
        <v>259</v>
      </c>
      <c r="T179" s="33" t="s">
        <v>259</v>
      </c>
      <c r="U179" s="186" t="s">
        <v>259</v>
      </c>
      <c r="V179" s="44">
        <f>CONVERT(400,"g","lbm")</f>
        <v>0.88184904873951031</v>
      </c>
      <c r="W179" s="33">
        <v>7.75</v>
      </c>
      <c r="X179" s="33">
        <v>2.8174999999999999</v>
      </c>
      <c r="Y179" s="70">
        <v>8.5</v>
      </c>
      <c r="Z179" s="44" t="s">
        <v>259</v>
      </c>
      <c r="AA179" s="33" t="s">
        <v>259</v>
      </c>
      <c r="AB179" s="33" t="s">
        <v>259</v>
      </c>
      <c r="AC179" s="70" t="s">
        <v>259</v>
      </c>
      <c r="AD179" s="44">
        <v>11.75</v>
      </c>
      <c r="AE179" s="33">
        <v>23.5</v>
      </c>
      <c r="AF179" s="33">
        <v>15.375</v>
      </c>
      <c r="AG179" s="70">
        <v>6.125</v>
      </c>
      <c r="AH179" s="44">
        <f>AE179*AF179*AG179/(12^3)</f>
        <v>1.2806939019097223</v>
      </c>
      <c r="AI179" s="18" t="s">
        <v>1769</v>
      </c>
      <c r="AJ179" s="18" t="s">
        <v>3013</v>
      </c>
      <c r="AK179" s="14" t="s">
        <v>1143</v>
      </c>
      <c r="AL179" s="18" t="s">
        <v>3014</v>
      </c>
      <c r="AM179" s="18"/>
      <c r="AN179" s="18"/>
      <c r="AO179" s="18"/>
      <c r="AP179" s="18"/>
      <c r="AQ179" s="18" t="s">
        <v>3012</v>
      </c>
      <c r="AR179" s="18" t="s">
        <v>2909</v>
      </c>
      <c r="AS179" s="94" t="s">
        <v>2908</v>
      </c>
    </row>
    <row r="180" spans="1:45" s="14" customFormat="1" x14ac:dyDescent="0.2">
      <c r="A180" s="14" t="s">
        <v>510</v>
      </c>
      <c r="B180" s="127"/>
      <c r="C180" s="103" t="s">
        <v>1771</v>
      </c>
      <c r="D180" s="15" t="s">
        <v>1761</v>
      </c>
      <c r="E180" s="16" t="s">
        <v>2433</v>
      </c>
      <c r="F180" s="15" t="s">
        <v>1746</v>
      </c>
      <c r="G180" s="15" t="s">
        <v>2558</v>
      </c>
      <c r="H180" s="58">
        <v>7331423008643</v>
      </c>
      <c r="I180" s="77" t="s">
        <v>259</v>
      </c>
      <c r="J180" s="66">
        <v>7331423200214</v>
      </c>
      <c r="K180" s="66">
        <v>17331423200211</v>
      </c>
      <c r="L180" s="27" t="s">
        <v>568</v>
      </c>
      <c r="M180" s="27" t="s">
        <v>977</v>
      </c>
      <c r="N180" s="514"/>
      <c r="O180" s="514">
        <f>IF($C180="","",VLOOKUP($C180,'2017 Pricelist'!$C:$I,7,FALSE))</f>
        <v>39.99</v>
      </c>
      <c r="P180" s="35">
        <v>1</v>
      </c>
      <c r="Q180" s="187">
        <v>12</v>
      </c>
      <c r="R180" s="33">
        <f>CONVERT(342,"g","lbm")</f>
        <v>0.75398093667228128</v>
      </c>
      <c r="S180" s="33" t="s">
        <v>259</v>
      </c>
      <c r="T180" s="33" t="s">
        <v>259</v>
      </c>
      <c r="U180" s="186" t="s">
        <v>259</v>
      </c>
      <c r="V180" s="44">
        <f>CONVERT(400,"g","lbm")</f>
        <v>0.88184904873951031</v>
      </c>
      <c r="W180" s="33">
        <v>7.75</v>
      </c>
      <c r="X180" s="33">
        <v>2.8174999999999999</v>
      </c>
      <c r="Y180" s="70">
        <v>8.5</v>
      </c>
      <c r="Z180" s="44" t="s">
        <v>259</v>
      </c>
      <c r="AA180" s="33" t="s">
        <v>259</v>
      </c>
      <c r="AB180" s="33" t="s">
        <v>259</v>
      </c>
      <c r="AC180" s="70" t="s">
        <v>259</v>
      </c>
      <c r="AD180" s="44">
        <v>11.75</v>
      </c>
      <c r="AE180" s="33">
        <v>23.5</v>
      </c>
      <c r="AF180" s="33">
        <v>15.375</v>
      </c>
      <c r="AG180" s="70">
        <v>6.125</v>
      </c>
      <c r="AH180" s="44">
        <f>AE180*AF180*AG180/(12^3)</f>
        <v>1.2806939019097223</v>
      </c>
      <c r="AI180" s="18" t="s">
        <v>1769</v>
      </c>
      <c r="AJ180" s="18" t="s">
        <v>3013</v>
      </c>
      <c r="AK180" s="14" t="s">
        <v>1143</v>
      </c>
      <c r="AL180" s="18" t="s">
        <v>3014</v>
      </c>
      <c r="AM180" s="18"/>
      <c r="AN180" s="18"/>
      <c r="AO180" s="18"/>
      <c r="AP180" s="18"/>
      <c r="AQ180" s="18" t="s">
        <v>3012</v>
      </c>
      <c r="AR180" s="18" t="s">
        <v>2909</v>
      </c>
      <c r="AS180" s="94" t="s">
        <v>2908</v>
      </c>
    </row>
    <row r="181" spans="1:45" s="14" customFormat="1" x14ac:dyDescent="0.2">
      <c r="A181" s="14" t="s">
        <v>510</v>
      </c>
      <c r="B181" s="127"/>
      <c r="C181" s="103" t="s">
        <v>1771</v>
      </c>
      <c r="D181" s="15" t="s">
        <v>1766</v>
      </c>
      <c r="E181" s="16" t="s">
        <v>2433</v>
      </c>
      <c r="F181" s="15" t="s">
        <v>1770</v>
      </c>
      <c r="G181" s="15" t="s">
        <v>2558</v>
      </c>
      <c r="H181" s="27" t="s">
        <v>1772</v>
      </c>
      <c r="I181" s="77" t="s">
        <v>259</v>
      </c>
      <c r="J181" s="36" t="s">
        <v>2846</v>
      </c>
      <c r="K181" s="36" t="s">
        <v>2847</v>
      </c>
      <c r="L181" s="27" t="s">
        <v>568</v>
      </c>
      <c r="M181" s="27" t="s">
        <v>977</v>
      </c>
      <c r="N181" s="514"/>
      <c r="O181" s="514">
        <f>IF($C181="","",VLOOKUP($C181,'2017 Pricelist'!$C:$I,7,FALSE))</f>
        <v>39.99</v>
      </c>
      <c r="P181" s="35">
        <v>1</v>
      </c>
      <c r="Q181" s="187">
        <v>12</v>
      </c>
      <c r="R181" s="33">
        <f>CONVERT(342,"g","lbm")</f>
        <v>0.75398093667228128</v>
      </c>
      <c r="S181" s="33" t="s">
        <v>259</v>
      </c>
      <c r="T181" s="33" t="s">
        <v>259</v>
      </c>
      <c r="U181" s="186" t="s">
        <v>259</v>
      </c>
      <c r="V181" s="44">
        <f>CONVERT(400,"g","lbm")</f>
        <v>0.88184904873951031</v>
      </c>
      <c r="W181" s="33">
        <v>7.75</v>
      </c>
      <c r="X181" s="33">
        <v>2.8174999999999999</v>
      </c>
      <c r="Y181" s="70">
        <v>8.5</v>
      </c>
      <c r="Z181" s="44" t="s">
        <v>259</v>
      </c>
      <c r="AA181" s="33" t="s">
        <v>259</v>
      </c>
      <c r="AB181" s="33" t="s">
        <v>259</v>
      </c>
      <c r="AC181" s="70" t="s">
        <v>259</v>
      </c>
      <c r="AD181" s="44">
        <v>11.75</v>
      </c>
      <c r="AE181" s="33">
        <v>23.5</v>
      </c>
      <c r="AF181" s="33">
        <v>15.375</v>
      </c>
      <c r="AG181" s="70">
        <v>6.125</v>
      </c>
      <c r="AH181" s="44">
        <f>AE181*AF181*AG181/(12^3)</f>
        <v>1.2806939019097223</v>
      </c>
      <c r="AI181" s="18" t="s">
        <v>1769</v>
      </c>
      <c r="AJ181" s="18" t="s">
        <v>3013</v>
      </c>
      <c r="AK181" s="14" t="s">
        <v>1143</v>
      </c>
      <c r="AL181" s="18" t="s">
        <v>3014</v>
      </c>
      <c r="AM181" s="18"/>
      <c r="AN181" s="18"/>
      <c r="AO181" s="18"/>
      <c r="AP181" s="18"/>
      <c r="AQ181" s="18" t="s">
        <v>3012</v>
      </c>
      <c r="AR181" s="18" t="s">
        <v>2909</v>
      </c>
      <c r="AS181" s="94" t="s">
        <v>2908</v>
      </c>
    </row>
    <row r="182" spans="1:45" s="18" customFormat="1" x14ac:dyDescent="0.2">
      <c r="B182" s="125"/>
      <c r="C182" s="103"/>
      <c r="D182" s="33"/>
      <c r="E182" s="34"/>
      <c r="F182" s="33"/>
      <c r="G182" s="33"/>
      <c r="H182" s="355"/>
      <c r="I182" s="355"/>
      <c r="J182" s="355"/>
      <c r="K182" s="355"/>
      <c r="L182" s="36"/>
      <c r="M182" s="36"/>
      <c r="N182" s="5"/>
      <c r="O182" s="514" t="str">
        <f>IF($C182="","",VLOOKUP($C182,'2017 Pricelist'!$C:$I,7,FALSE))</f>
        <v/>
      </c>
      <c r="P182" s="35"/>
      <c r="Q182" s="187"/>
      <c r="R182" s="33"/>
      <c r="S182" s="33"/>
      <c r="T182" s="33"/>
      <c r="U182" s="70"/>
      <c r="V182" s="44"/>
      <c r="W182" s="33"/>
      <c r="X182" s="33"/>
      <c r="Y182" s="70"/>
      <c r="Z182" s="44"/>
      <c r="AA182" s="33"/>
      <c r="AB182" s="33"/>
      <c r="AC182" s="70"/>
      <c r="AD182" s="44"/>
      <c r="AE182" s="33"/>
      <c r="AF182" s="33"/>
      <c r="AG182" s="70"/>
      <c r="AH182" s="44"/>
      <c r="AR182" s="63"/>
    </row>
    <row r="183" spans="1:45" s="102" customFormat="1" ht="15.75" x14ac:dyDescent="0.25">
      <c r="A183" s="352" t="s">
        <v>1767</v>
      </c>
      <c r="B183" s="352"/>
      <c r="C183" s="352"/>
      <c r="D183" s="33" t="s">
        <v>529</v>
      </c>
      <c r="E183" s="206"/>
      <c r="F183" s="205"/>
      <c r="G183" s="205"/>
      <c r="H183" s="207"/>
      <c r="I183" s="207"/>
      <c r="J183" s="207"/>
      <c r="K183" s="207"/>
      <c r="L183" s="207"/>
      <c r="M183" s="207"/>
      <c r="N183" s="208"/>
      <c r="O183" s="514" t="str">
        <f>IF($C183="","",VLOOKUP($C183,'2017 Pricelist'!$C:$I,7,FALSE))</f>
        <v/>
      </c>
      <c r="P183" s="209"/>
      <c r="Q183" s="235"/>
      <c r="R183" s="205"/>
      <c r="S183" s="205"/>
      <c r="T183" s="205"/>
      <c r="U183" s="211"/>
      <c r="V183" s="210"/>
      <c r="W183" s="205"/>
      <c r="X183" s="205"/>
      <c r="Y183" s="211"/>
      <c r="Z183" s="210"/>
      <c r="AA183" s="205"/>
      <c r="AB183" s="205"/>
      <c r="AC183" s="211"/>
      <c r="AD183" s="210"/>
      <c r="AE183" s="205"/>
      <c r="AF183" s="205"/>
      <c r="AG183" s="211"/>
      <c r="AH183" s="210"/>
      <c r="AQ183" s="212"/>
      <c r="AR183" s="213"/>
    </row>
    <row r="184" spans="1:45" s="14" customFormat="1" x14ac:dyDescent="0.2">
      <c r="A184" s="14" t="s">
        <v>510</v>
      </c>
      <c r="B184" s="127"/>
      <c r="C184" s="33" t="s">
        <v>1760</v>
      </c>
      <c r="D184" s="15" t="s">
        <v>1761</v>
      </c>
      <c r="E184" s="16" t="s">
        <v>2432</v>
      </c>
      <c r="F184" s="15" t="s">
        <v>1746</v>
      </c>
      <c r="G184" s="15" t="s">
        <v>2558</v>
      </c>
      <c r="H184" s="27" t="s">
        <v>1762</v>
      </c>
      <c r="I184" s="77" t="s">
        <v>259</v>
      </c>
      <c r="J184" s="36" t="s">
        <v>2850</v>
      </c>
      <c r="K184" s="36" t="s">
        <v>2851</v>
      </c>
      <c r="L184" s="27" t="s">
        <v>568</v>
      </c>
      <c r="M184" s="27" t="s">
        <v>977</v>
      </c>
      <c r="N184" s="514"/>
      <c r="O184" s="514">
        <f>IF($C184="","",VLOOKUP($C184,'2017 Pricelist'!$C:$I,7,FALSE))</f>
        <v>34.99</v>
      </c>
      <c r="P184" s="35">
        <v>1</v>
      </c>
      <c r="Q184" s="187">
        <v>12</v>
      </c>
      <c r="R184" s="44">
        <f>CONVERT(262,"g","lbm")</f>
        <v>0.57761112692437921</v>
      </c>
      <c r="S184" s="33" t="s">
        <v>259</v>
      </c>
      <c r="T184" s="33" t="s">
        <v>259</v>
      </c>
      <c r="U184" s="186" t="s">
        <v>259</v>
      </c>
      <c r="V184" s="44">
        <f>CONVERT(330,"g","lbm")</f>
        <v>0.72752546521009598</v>
      </c>
      <c r="W184" s="33">
        <v>6.125</v>
      </c>
      <c r="X184" s="33">
        <v>3.5</v>
      </c>
      <c r="Y184" s="70">
        <v>11.375</v>
      </c>
      <c r="Z184" s="44" t="s">
        <v>259</v>
      </c>
      <c r="AA184" s="33" t="s">
        <v>259</v>
      </c>
      <c r="AB184" s="33" t="s">
        <v>259</v>
      </c>
      <c r="AC184" s="70" t="s">
        <v>259</v>
      </c>
      <c r="AD184" s="44">
        <f>CONVERT(4470,"g","lbm")</f>
        <v>9.8546631196640266</v>
      </c>
      <c r="AE184" s="33">
        <v>31</v>
      </c>
      <c r="AF184" s="33">
        <v>12.625</v>
      </c>
      <c r="AG184" s="70">
        <v>7.75</v>
      </c>
      <c r="AH184" s="44">
        <f>AE184*AF184*AG184/(12^3)</f>
        <v>1.755298755787037</v>
      </c>
      <c r="AI184" s="18" t="s">
        <v>3015</v>
      </c>
      <c r="AJ184" s="18" t="s">
        <v>3016</v>
      </c>
      <c r="AK184" s="14" t="s">
        <v>1143</v>
      </c>
      <c r="AL184" s="18" t="s">
        <v>3017</v>
      </c>
      <c r="AM184" s="18"/>
      <c r="AN184" s="18"/>
      <c r="AO184" s="18"/>
      <c r="AP184" s="18"/>
      <c r="AQ184" s="204" t="s">
        <v>3018</v>
      </c>
      <c r="AR184" s="18" t="s">
        <v>2909</v>
      </c>
      <c r="AS184" s="94" t="s">
        <v>2908</v>
      </c>
    </row>
    <row r="185" spans="1:45" s="14" customFormat="1" x14ac:dyDescent="0.2">
      <c r="A185" s="14" t="s">
        <v>510</v>
      </c>
      <c r="B185" s="127"/>
      <c r="C185" s="33" t="s">
        <v>1760</v>
      </c>
      <c r="D185" s="15" t="s">
        <v>1743</v>
      </c>
      <c r="E185" s="16" t="s">
        <v>2432</v>
      </c>
      <c r="F185" s="15" t="s">
        <v>2822</v>
      </c>
      <c r="G185" s="15" t="s">
        <v>2558</v>
      </c>
      <c r="H185" s="27" t="s">
        <v>1763</v>
      </c>
      <c r="I185" s="77" t="s">
        <v>259</v>
      </c>
      <c r="J185" s="36" t="s">
        <v>2852</v>
      </c>
      <c r="K185" s="36" t="s">
        <v>2853</v>
      </c>
      <c r="L185" s="27" t="s">
        <v>568</v>
      </c>
      <c r="M185" s="27" t="s">
        <v>977</v>
      </c>
      <c r="N185" s="514"/>
      <c r="O185" s="514">
        <f>IF($C185="","",VLOOKUP($C185,'2017 Pricelist'!$C:$I,7,FALSE))</f>
        <v>34.99</v>
      </c>
      <c r="P185" s="35">
        <v>1</v>
      </c>
      <c r="Q185" s="187">
        <v>12</v>
      </c>
      <c r="R185" s="44">
        <f>CONVERT(262,"g","lbm")</f>
        <v>0.57761112692437921</v>
      </c>
      <c r="S185" s="33" t="s">
        <v>259</v>
      </c>
      <c r="T185" s="33" t="s">
        <v>259</v>
      </c>
      <c r="U185" s="186" t="s">
        <v>259</v>
      </c>
      <c r="V185" s="44">
        <f>CONVERT(330,"g","lbm")</f>
        <v>0.72752546521009598</v>
      </c>
      <c r="W185" s="33">
        <v>6.125</v>
      </c>
      <c r="X185" s="33">
        <v>3.5</v>
      </c>
      <c r="Y185" s="70">
        <v>11.375</v>
      </c>
      <c r="Z185" s="44" t="s">
        <v>259</v>
      </c>
      <c r="AA185" s="33" t="s">
        <v>259</v>
      </c>
      <c r="AB185" s="33" t="s">
        <v>259</v>
      </c>
      <c r="AC185" s="70" t="s">
        <v>259</v>
      </c>
      <c r="AD185" s="44">
        <f>CONVERT(4470,"g","lbm")</f>
        <v>9.8546631196640266</v>
      </c>
      <c r="AE185" s="33">
        <v>31</v>
      </c>
      <c r="AF185" s="33">
        <v>12.625</v>
      </c>
      <c r="AG185" s="70">
        <v>7.75</v>
      </c>
      <c r="AH185" s="44">
        <f>AE185*AF185*AG185/(12^3)</f>
        <v>1.755298755787037</v>
      </c>
      <c r="AI185" s="18" t="s">
        <v>3015</v>
      </c>
      <c r="AJ185" s="18" t="s">
        <v>3016</v>
      </c>
      <c r="AK185" s="14" t="s">
        <v>1143</v>
      </c>
      <c r="AL185" s="18" t="s">
        <v>3017</v>
      </c>
      <c r="AM185" s="18"/>
      <c r="AN185" s="18"/>
      <c r="AO185" s="18"/>
      <c r="AP185" s="18"/>
      <c r="AQ185" s="204" t="s">
        <v>3018</v>
      </c>
      <c r="AR185" s="18" t="s">
        <v>2909</v>
      </c>
      <c r="AS185" s="94" t="s">
        <v>2908</v>
      </c>
    </row>
    <row r="186" spans="1:45" s="14" customFormat="1" x14ac:dyDescent="0.2">
      <c r="A186" s="14" t="s">
        <v>510</v>
      </c>
      <c r="B186" s="127"/>
      <c r="C186" s="33" t="s">
        <v>1760</v>
      </c>
      <c r="D186" s="15" t="s">
        <v>1766</v>
      </c>
      <c r="E186" s="16" t="s">
        <v>2432</v>
      </c>
      <c r="F186" s="15" t="s">
        <v>1770</v>
      </c>
      <c r="G186" s="15" t="s">
        <v>2558</v>
      </c>
      <c r="H186" s="27" t="s">
        <v>1764</v>
      </c>
      <c r="I186" s="77" t="s">
        <v>259</v>
      </c>
      <c r="J186" s="36" t="s">
        <v>2854</v>
      </c>
      <c r="K186" s="36" t="s">
        <v>2855</v>
      </c>
      <c r="L186" s="27" t="s">
        <v>568</v>
      </c>
      <c r="M186" s="27" t="s">
        <v>977</v>
      </c>
      <c r="N186" s="514"/>
      <c r="O186" s="514">
        <f>IF($C186="","",VLOOKUP($C186,'2017 Pricelist'!$C:$I,7,FALSE))</f>
        <v>34.99</v>
      </c>
      <c r="P186" s="35">
        <v>1</v>
      </c>
      <c r="Q186" s="187">
        <v>12</v>
      </c>
      <c r="R186" s="44">
        <f>CONVERT(262,"g","lbm")</f>
        <v>0.57761112692437921</v>
      </c>
      <c r="S186" s="33" t="s">
        <v>259</v>
      </c>
      <c r="T186" s="33" t="s">
        <v>259</v>
      </c>
      <c r="U186" s="186" t="s">
        <v>259</v>
      </c>
      <c r="V186" s="44">
        <f>CONVERT(330,"g","lbm")</f>
        <v>0.72752546521009598</v>
      </c>
      <c r="W186" s="33">
        <v>6.125</v>
      </c>
      <c r="X186" s="33">
        <v>3.5</v>
      </c>
      <c r="Y186" s="70">
        <v>11.375</v>
      </c>
      <c r="Z186" s="44" t="s">
        <v>259</v>
      </c>
      <c r="AA186" s="33" t="s">
        <v>259</v>
      </c>
      <c r="AB186" s="33" t="s">
        <v>259</v>
      </c>
      <c r="AC186" s="70" t="s">
        <v>259</v>
      </c>
      <c r="AD186" s="44">
        <f>CONVERT(4470,"g","lbm")</f>
        <v>9.8546631196640266</v>
      </c>
      <c r="AE186" s="33">
        <v>31</v>
      </c>
      <c r="AF186" s="33">
        <v>12.625</v>
      </c>
      <c r="AG186" s="70">
        <v>7.75</v>
      </c>
      <c r="AH186" s="44">
        <f>AE186*AF186*AG186/(12^3)</f>
        <v>1.755298755787037</v>
      </c>
      <c r="AI186" s="18" t="s">
        <v>3015</v>
      </c>
      <c r="AJ186" s="18" t="s">
        <v>3016</v>
      </c>
      <c r="AK186" s="14" t="s">
        <v>1143</v>
      </c>
      <c r="AL186" s="18" t="s">
        <v>3017</v>
      </c>
      <c r="AM186" s="18"/>
      <c r="AN186" s="18"/>
      <c r="AO186" s="18"/>
      <c r="AP186" s="18"/>
      <c r="AQ186" s="204" t="s">
        <v>3018</v>
      </c>
      <c r="AR186" s="18" t="s">
        <v>2909</v>
      </c>
      <c r="AS186" s="94" t="s">
        <v>2908</v>
      </c>
    </row>
    <row r="187" spans="1:45" s="14" customFormat="1" x14ac:dyDescent="0.2">
      <c r="B187" s="127"/>
      <c r="C187" s="33"/>
      <c r="D187" s="15"/>
      <c r="E187" s="16"/>
      <c r="F187" s="15"/>
      <c r="G187" s="15"/>
      <c r="H187" s="27"/>
      <c r="I187" s="77"/>
      <c r="J187" s="36"/>
      <c r="K187" s="36"/>
      <c r="L187" s="27"/>
      <c r="M187" s="27"/>
      <c r="N187" s="514"/>
      <c r="O187" s="514"/>
      <c r="P187" s="35"/>
      <c r="Q187" s="187"/>
      <c r="R187" s="33"/>
      <c r="S187" s="33"/>
      <c r="T187" s="33"/>
      <c r="U187" s="186"/>
      <c r="V187" s="44"/>
      <c r="W187" s="33"/>
      <c r="X187" s="33"/>
      <c r="Y187" s="70"/>
      <c r="Z187" s="44"/>
      <c r="AA187" s="33"/>
      <c r="AB187" s="33"/>
      <c r="AC187" s="70"/>
      <c r="AD187" s="44"/>
      <c r="AE187" s="33"/>
      <c r="AF187" s="33"/>
      <c r="AG187" s="70"/>
      <c r="AH187" s="44"/>
      <c r="AI187" s="18"/>
      <c r="AJ187" s="18"/>
      <c r="AL187" s="18"/>
      <c r="AM187" s="18"/>
      <c r="AN187" s="18"/>
      <c r="AO187" s="18"/>
      <c r="AP187" s="18"/>
      <c r="AQ187" s="204"/>
      <c r="AR187" s="18"/>
      <c r="AS187" s="94"/>
    </row>
    <row r="188" spans="1:45" s="14" customFormat="1" ht="15.75" x14ac:dyDescent="0.25">
      <c r="A188" s="105" t="s">
        <v>5418</v>
      </c>
      <c r="B188" s="127"/>
      <c r="C188" s="33"/>
      <c r="D188" s="15"/>
      <c r="E188" s="16"/>
      <c r="F188" s="15"/>
      <c r="G188" s="15"/>
      <c r="H188" s="27"/>
      <c r="I188" s="77"/>
      <c r="J188" s="36"/>
      <c r="K188" s="36"/>
      <c r="L188" s="27"/>
      <c r="M188" s="27"/>
      <c r="N188" s="514"/>
      <c r="O188" s="514"/>
      <c r="P188" s="35"/>
      <c r="Q188" s="187"/>
      <c r="R188" s="33"/>
      <c r="S188" s="33"/>
      <c r="T188" s="33"/>
      <c r="U188" s="186"/>
      <c r="V188" s="44"/>
      <c r="W188" s="33"/>
      <c r="X188" s="33"/>
      <c r="Y188" s="70"/>
      <c r="Z188" s="44"/>
      <c r="AA188" s="33"/>
      <c r="AB188" s="33"/>
      <c r="AC188" s="70"/>
      <c r="AD188" s="44"/>
      <c r="AE188" s="33"/>
      <c r="AF188" s="33"/>
      <c r="AG188" s="70"/>
      <c r="AH188" s="44"/>
      <c r="AI188" s="18"/>
      <c r="AJ188" s="18"/>
      <c r="AL188" s="18"/>
      <c r="AM188" s="18"/>
      <c r="AN188" s="18"/>
      <c r="AO188" s="18"/>
      <c r="AP188" s="18"/>
      <c r="AQ188" s="204"/>
      <c r="AR188" s="18"/>
      <c r="AS188" s="94"/>
    </row>
    <row r="189" spans="1:45" s="14" customFormat="1" x14ac:dyDescent="0.2">
      <c r="A189" s="14" t="s">
        <v>510</v>
      </c>
      <c r="B189" s="127"/>
      <c r="C189" s="33" t="s">
        <v>4894</v>
      </c>
      <c r="D189" s="15"/>
      <c r="E189" s="16" t="s">
        <v>5419</v>
      </c>
      <c r="F189" s="15" t="s">
        <v>1747</v>
      </c>
      <c r="G189" s="15" t="s">
        <v>2558</v>
      </c>
      <c r="H189" s="47">
        <v>7331423010295</v>
      </c>
      <c r="I189" s="77" t="s">
        <v>259</v>
      </c>
      <c r="J189" s="36"/>
      <c r="K189" s="36"/>
      <c r="L189" s="27"/>
      <c r="M189" s="27" t="s">
        <v>977</v>
      </c>
      <c r="N189" s="514"/>
      <c r="O189" s="514">
        <v>19.989999999999998</v>
      </c>
      <c r="P189" s="35">
        <v>1</v>
      </c>
      <c r="Q189" s="187">
        <v>12</v>
      </c>
      <c r="R189" s="33">
        <v>0.68</v>
      </c>
      <c r="S189" s="33">
        <v>7.7</v>
      </c>
      <c r="T189" s="33">
        <v>2.4500000000000002</v>
      </c>
      <c r="U189" s="186">
        <v>7.3</v>
      </c>
      <c r="V189" s="44">
        <v>0.7</v>
      </c>
      <c r="W189" s="33">
        <v>7.7</v>
      </c>
      <c r="X189" s="33">
        <v>2.5</v>
      </c>
      <c r="Y189" s="70">
        <v>7.4</v>
      </c>
      <c r="Z189" s="44"/>
      <c r="AA189" s="33"/>
      <c r="AB189" s="33"/>
      <c r="AC189" s="70"/>
      <c r="AD189" s="44"/>
      <c r="AE189" s="33"/>
      <c r="AF189" s="33"/>
      <c r="AG189" s="70"/>
      <c r="AH189" s="44"/>
      <c r="AI189" s="18" t="s">
        <v>5421</v>
      </c>
      <c r="AJ189" s="18" t="s">
        <v>5422</v>
      </c>
      <c r="AK189" s="14" t="s">
        <v>1143</v>
      </c>
      <c r="AL189" s="18" t="s">
        <v>5423</v>
      </c>
      <c r="AM189" s="18"/>
      <c r="AN189" s="18"/>
      <c r="AO189" s="18"/>
      <c r="AP189" s="18"/>
      <c r="AQ189" s="656" t="s">
        <v>5420</v>
      </c>
      <c r="AR189" s="18" t="s">
        <v>2909</v>
      </c>
      <c r="AS189" s="94" t="s">
        <v>2908</v>
      </c>
    </row>
    <row r="190" spans="1:45" s="18" customFormat="1" x14ac:dyDescent="0.2">
      <c r="B190" s="125"/>
      <c r="C190" s="33"/>
      <c r="D190" s="33"/>
      <c r="E190" s="34"/>
      <c r="F190" s="33"/>
      <c r="G190" s="33"/>
      <c r="H190" s="36"/>
      <c r="I190" s="36"/>
      <c r="J190" s="36"/>
      <c r="K190" s="36"/>
      <c r="L190" s="36"/>
      <c r="M190" s="36"/>
      <c r="N190" s="5"/>
      <c r="O190" s="514" t="str">
        <f>IF($C190="","",VLOOKUP($C190,'2017 Pricelist'!$C:$I,7,FALSE))</f>
        <v/>
      </c>
      <c r="P190" s="35"/>
      <c r="Q190" s="187"/>
      <c r="R190" s="33"/>
      <c r="S190" s="33"/>
      <c r="T190" s="33"/>
      <c r="U190" s="70"/>
      <c r="V190" s="44"/>
      <c r="W190" s="33"/>
      <c r="X190" s="33"/>
      <c r="Y190" s="70"/>
      <c r="Z190" s="44"/>
      <c r="AA190" s="33"/>
      <c r="AB190" s="33"/>
      <c r="AC190" s="70"/>
      <c r="AD190" s="44"/>
      <c r="AE190" s="33"/>
      <c r="AF190" s="33"/>
      <c r="AG190" s="70"/>
      <c r="AH190" s="44"/>
      <c r="AQ190" s="204"/>
      <c r="AR190" s="63"/>
    </row>
    <row r="191" spans="1:45" s="102" customFormat="1" ht="15.75" x14ac:dyDescent="0.25">
      <c r="A191" s="105" t="s">
        <v>3029</v>
      </c>
      <c r="B191" s="318"/>
      <c r="C191" s="259"/>
      <c r="D191" s="33" t="s">
        <v>529</v>
      </c>
      <c r="E191" s="206"/>
      <c r="F191" s="205"/>
      <c r="G191" s="33"/>
      <c r="H191" s="214"/>
      <c r="I191" s="214"/>
      <c r="J191" s="214"/>
      <c r="K191" s="214"/>
      <c r="L191" s="207"/>
      <c r="M191" s="207"/>
      <c r="N191" s="208"/>
      <c r="O191" s="514" t="str">
        <f>IF($C191="","",VLOOKUP($C191,'2017 Pricelist'!$C:$I,7,FALSE))</f>
        <v/>
      </c>
      <c r="P191" s="209"/>
      <c r="Q191" s="235"/>
      <c r="R191" s="205"/>
      <c r="S191" s="205"/>
      <c r="T191" s="205"/>
      <c r="U191" s="211"/>
      <c r="V191" s="210"/>
      <c r="W191" s="205"/>
      <c r="X191" s="205"/>
      <c r="Y191" s="211"/>
      <c r="Z191" s="210"/>
      <c r="AA191" s="205"/>
      <c r="AB191" s="205"/>
      <c r="AC191" s="211"/>
      <c r="AD191" s="210"/>
      <c r="AE191" s="205"/>
      <c r="AF191" s="205"/>
      <c r="AG191" s="211"/>
      <c r="AH191" s="210"/>
      <c r="AQ191" s="212"/>
      <c r="AR191" s="213"/>
    </row>
    <row r="192" spans="1:45" s="14" customFormat="1" x14ac:dyDescent="0.2">
      <c r="A192" s="14" t="s">
        <v>510</v>
      </c>
      <c r="B192" s="127"/>
      <c r="C192" s="103" t="s">
        <v>1847</v>
      </c>
      <c r="D192" s="15" t="s">
        <v>2839</v>
      </c>
      <c r="E192" s="14" t="s">
        <v>2434</v>
      </c>
      <c r="F192" s="15" t="s">
        <v>2857</v>
      </c>
      <c r="G192" s="15" t="s">
        <v>2864</v>
      </c>
      <c r="H192" s="69">
        <v>7331423008810</v>
      </c>
      <c r="I192" s="355">
        <v>7331423100668</v>
      </c>
      <c r="J192" s="355">
        <v>7331423200894</v>
      </c>
      <c r="K192" s="355">
        <v>17331423200891</v>
      </c>
      <c r="L192" s="27" t="s">
        <v>568</v>
      </c>
      <c r="M192" s="27" t="s">
        <v>977</v>
      </c>
      <c r="N192" s="514"/>
      <c r="O192" s="514">
        <f>IF($C192="","",VLOOKUP($C192,'2017 Pricelist'!$C:$I,7,FALSE))</f>
        <v>9.99</v>
      </c>
      <c r="P192" s="35">
        <v>6</v>
      </c>
      <c r="Q192" s="187">
        <v>36</v>
      </c>
      <c r="R192" s="33">
        <f>CONVERT(134,"g","lbm")</f>
        <v>0.29541943132773596</v>
      </c>
      <c r="S192" s="33">
        <v>5.9</v>
      </c>
      <c r="T192" s="33">
        <v>6.3</v>
      </c>
      <c r="U192" s="70">
        <v>0.5</v>
      </c>
      <c r="V192" s="44">
        <v>0.3</v>
      </c>
      <c r="W192" s="33">
        <v>6.25</v>
      </c>
      <c r="X192" s="33">
        <v>0.625</v>
      </c>
      <c r="Y192" s="70">
        <v>9.125</v>
      </c>
      <c r="Z192" s="44">
        <v>1.9</v>
      </c>
      <c r="AA192" s="33">
        <v>8.5</v>
      </c>
      <c r="AB192" s="33">
        <v>3.125</v>
      </c>
      <c r="AC192" s="70">
        <v>6.75</v>
      </c>
      <c r="AD192" s="44">
        <v>12.05</v>
      </c>
      <c r="AE192" s="33">
        <v>16.125</v>
      </c>
      <c r="AF192" s="33">
        <v>10</v>
      </c>
      <c r="AG192" s="70">
        <v>6.75</v>
      </c>
      <c r="AH192" s="44">
        <f>AE192*AF192*AG192/(12^3)</f>
        <v>0.6298828125</v>
      </c>
      <c r="AI192" s="14" t="s">
        <v>3028</v>
      </c>
      <c r="AJ192" s="18" t="s">
        <v>1846</v>
      </c>
      <c r="AK192" s="18" t="s">
        <v>3020</v>
      </c>
      <c r="AL192" s="18" t="s">
        <v>3023</v>
      </c>
      <c r="AM192" s="18" t="s">
        <v>1635</v>
      </c>
      <c r="AN192" s="14" t="s">
        <v>3026</v>
      </c>
      <c r="AO192" s="18" t="s">
        <v>3024</v>
      </c>
      <c r="AP192" s="18"/>
      <c r="AQ192" s="204" t="s">
        <v>3025</v>
      </c>
      <c r="AR192" s="18" t="s">
        <v>2909</v>
      </c>
      <c r="AS192" s="94" t="s">
        <v>2908</v>
      </c>
    </row>
    <row r="193" spans="1:45" s="14" customFormat="1" x14ac:dyDescent="0.2">
      <c r="A193" s="14" t="s">
        <v>510</v>
      </c>
      <c r="B193" s="125"/>
      <c r="C193" s="103" t="s">
        <v>4222</v>
      </c>
      <c r="D193" s="15"/>
      <c r="E193" t="s">
        <v>4239</v>
      </c>
      <c r="F193" s="15" t="s">
        <v>1858</v>
      </c>
      <c r="G193" s="15"/>
      <c r="H193" s="108">
        <v>7331423010226</v>
      </c>
      <c r="I193" s="109"/>
      <c r="J193" s="109"/>
      <c r="K193" s="109"/>
      <c r="L193" s="27" t="s">
        <v>568</v>
      </c>
      <c r="M193" s="27" t="s">
        <v>977</v>
      </c>
      <c r="N193" s="514"/>
      <c r="O193" s="514">
        <f>IF($C193="","",VLOOKUP($C193,'2017 Pricelist'!$C:$I,7,FALSE))</f>
        <v>4.99</v>
      </c>
      <c r="P193" s="35">
        <v>6</v>
      </c>
      <c r="Q193" s="187">
        <v>36</v>
      </c>
      <c r="R193" s="33">
        <v>0.1</v>
      </c>
      <c r="S193" s="33">
        <v>5.9</v>
      </c>
      <c r="T193" s="33">
        <v>6.3</v>
      </c>
      <c r="U193" s="70">
        <v>0.12</v>
      </c>
      <c r="V193" s="44">
        <v>0.12</v>
      </c>
      <c r="W193" s="33">
        <v>6.9</v>
      </c>
      <c r="X193" s="33">
        <v>6.6</v>
      </c>
      <c r="Y193" s="70">
        <v>0.16</v>
      </c>
      <c r="Z193" s="120"/>
      <c r="AA193" s="121"/>
      <c r="AB193" s="121"/>
      <c r="AC193" s="122"/>
      <c r="AD193" s="120"/>
      <c r="AE193" s="121"/>
      <c r="AF193" s="121"/>
      <c r="AG193" s="122"/>
      <c r="AH193" s="120"/>
      <c r="AI193" t="s">
        <v>4244</v>
      </c>
      <c r="AJ193" t="s">
        <v>4245</v>
      </c>
      <c r="AK193" t="s">
        <v>4246</v>
      </c>
      <c r="AL193" t="s">
        <v>4247</v>
      </c>
      <c r="AM193" t="s">
        <v>4248</v>
      </c>
      <c r="AN193"/>
      <c r="AO193" s="18"/>
      <c r="AP193" s="18"/>
      <c r="AQ193" s="489" t="s">
        <v>4249</v>
      </c>
      <c r="AR193" s="18" t="s">
        <v>2909</v>
      </c>
      <c r="AS193" s="94" t="s">
        <v>2908</v>
      </c>
    </row>
    <row r="194" spans="1:45" s="14" customFormat="1" x14ac:dyDescent="0.2">
      <c r="A194" s="14" t="s">
        <v>510</v>
      </c>
      <c r="B194" s="125"/>
      <c r="C194" s="103" t="s">
        <v>4222</v>
      </c>
      <c r="D194" s="15"/>
      <c r="E194" t="s">
        <v>4240</v>
      </c>
      <c r="F194" s="15" t="s">
        <v>1859</v>
      </c>
      <c r="G194" s="15"/>
      <c r="H194" s="108">
        <v>7331423010233</v>
      </c>
      <c r="I194" s="109"/>
      <c r="J194" s="109"/>
      <c r="K194" s="109"/>
      <c r="L194" s="27" t="s">
        <v>568</v>
      </c>
      <c r="M194" s="27" t="s">
        <v>977</v>
      </c>
      <c r="N194" s="514"/>
      <c r="O194" s="514">
        <f>IF($C194="","",VLOOKUP($C194,'2017 Pricelist'!$C:$I,7,FALSE))</f>
        <v>4.99</v>
      </c>
      <c r="P194" s="35">
        <v>6</v>
      </c>
      <c r="Q194" s="187">
        <v>36</v>
      </c>
      <c r="R194" s="33">
        <v>0.1</v>
      </c>
      <c r="S194" s="33">
        <v>5.9</v>
      </c>
      <c r="T194" s="33">
        <v>6.3</v>
      </c>
      <c r="U194" s="70">
        <v>0.12</v>
      </c>
      <c r="V194" s="44">
        <v>0.12</v>
      </c>
      <c r="W194" s="33">
        <v>6.9</v>
      </c>
      <c r="X194" s="33">
        <v>6.6</v>
      </c>
      <c r="Y194" s="70">
        <v>0.16</v>
      </c>
      <c r="Z194" s="120"/>
      <c r="AA194" s="121"/>
      <c r="AB194" s="121"/>
      <c r="AC194" s="122"/>
      <c r="AD194" s="120"/>
      <c r="AE194" s="121"/>
      <c r="AF194" s="121"/>
      <c r="AG194" s="122"/>
      <c r="AH194" s="120"/>
      <c r="AI194" t="s">
        <v>4244</v>
      </c>
      <c r="AJ194" t="s">
        <v>4245</v>
      </c>
      <c r="AK194" t="s">
        <v>4246</v>
      </c>
      <c r="AL194" t="s">
        <v>4247</v>
      </c>
      <c r="AM194" t="s">
        <v>4248</v>
      </c>
      <c r="AO194" s="18"/>
      <c r="AP194" s="18"/>
      <c r="AQ194" s="489" t="s">
        <v>4249</v>
      </c>
      <c r="AR194" s="18" t="s">
        <v>2909</v>
      </c>
      <c r="AS194" s="94" t="s">
        <v>2908</v>
      </c>
    </row>
    <row r="195" spans="1:45" s="14" customFormat="1" x14ac:dyDescent="0.2">
      <c r="A195" s="14" t="s">
        <v>510</v>
      </c>
      <c r="B195" s="125"/>
      <c r="C195" s="103" t="s">
        <v>4222</v>
      </c>
      <c r="D195" s="15"/>
      <c r="E195" t="s">
        <v>4241</v>
      </c>
      <c r="F195" s="15" t="s">
        <v>1018</v>
      </c>
      <c r="G195" s="15"/>
      <c r="H195" s="108">
        <v>7331423010240</v>
      </c>
      <c r="I195" s="109"/>
      <c r="J195" s="109"/>
      <c r="K195" s="109"/>
      <c r="L195" s="27" t="s">
        <v>568</v>
      </c>
      <c r="M195" s="27" t="s">
        <v>977</v>
      </c>
      <c r="N195" s="514"/>
      <c r="O195" s="514">
        <f>IF($C195="","",VLOOKUP($C195,'2017 Pricelist'!$C:$I,7,FALSE))</f>
        <v>4.99</v>
      </c>
      <c r="P195" s="35">
        <v>6</v>
      </c>
      <c r="Q195" s="187">
        <v>36</v>
      </c>
      <c r="R195" s="33">
        <v>0.1</v>
      </c>
      <c r="S195" s="33">
        <v>5.9</v>
      </c>
      <c r="T195" s="33">
        <v>6.3</v>
      </c>
      <c r="U195" s="70">
        <v>0.12</v>
      </c>
      <c r="V195" s="44">
        <v>0.12</v>
      </c>
      <c r="W195" s="33">
        <v>6.9</v>
      </c>
      <c r="X195" s="33">
        <v>6.6</v>
      </c>
      <c r="Y195" s="70">
        <v>0.16</v>
      </c>
      <c r="Z195" s="120"/>
      <c r="AA195" s="121"/>
      <c r="AB195" s="121"/>
      <c r="AC195" s="122"/>
      <c r="AD195" s="120"/>
      <c r="AE195" s="121"/>
      <c r="AF195" s="121"/>
      <c r="AG195" s="122"/>
      <c r="AH195" s="120"/>
      <c r="AI195" t="s">
        <v>4244</v>
      </c>
      <c r="AJ195" t="s">
        <v>4245</v>
      </c>
      <c r="AK195" t="s">
        <v>4246</v>
      </c>
      <c r="AL195" t="s">
        <v>4247</v>
      </c>
      <c r="AM195" t="s">
        <v>4248</v>
      </c>
      <c r="AO195" s="18"/>
      <c r="AP195" s="18"/>
      <c r="AQ195" s="489" t="s">
        <v>4249</v>
      </c>
      <c r="AR195" s="18" t="s">
        <v>2909</v>
      </c>
      <c r="AS195" s="94" t="s">
        <v>2908</v>
      </c>
    </row>
    <row r="196" spans="1:45" s="14" customFormat="1" x14ac:dyDescent="0.2">
      <c r="A196" s="14" t="s">
        <v>510</v>
      </c>
      <c r="B196" s="125"/>
      <c r="C196" s="103" t="s">
        <v>4222</v>
      </c>
      <c r="D196" s="15"/>
      <c r="E196" t="s">
        <v>4242</v>
      </c>
      <c r="F196" s="15" t="s">
        <v>218</v>
      </c>
      <c r="G196" s="15"/>
      <c r="H196" s="108">
        <v>7331423010257</v>
      </c>
      <c r="I196" s="109"/>
      <c r="J196" s="109"/>
      <c r="K196" s="109"/>
      <c r="L196" s="27" t="s">
        <v>568</v>
      </c>
      <c r="M196" s="27" t="s">
        <v>977</v>
      </c>
      <c r="N196" s="514"/>
      <c r="O196" s="514">
        <f>IF($C196="","",VLOOKUP($C196,'2017 Pricelist'!$C:$I,7,FALSE))</f>
        <v>4.99</v>
      </c>
      <c r="P196" s="35">
        <v>6</v>
      </c>
      <c r="Q196" s="187">
        <v>36</v>
      </c>
      <c r="R196" s="33">
        <v>0.1</v>
      </c>
      <c r="S196" s="33">
        <v>5.9</v>
      </c>
      <c r="T196" s="33">
        <v>6.3</v>
      </c>
      <c r="U196" s="70">
        <v>0.12</v>
      </c>
      <c r="V196" s="44">
        <v>0.12</v>
      </c>
      <c r="W196" s="33">
        <v>6.9</v>
      </c>
      <c r="X196" s="33">
        <v>6.6</v>
      </c>
      <c r="Y196" s="70">
        <v>0.16</v>
      </c>
      <c r="Z196" s="120"/>
      <c r="AA196" s="121"/>
      <c r="AB196" s="121"/>
      <c r="AC196" s="122"/>
      <c r="AD196" s="120"/>
      <c r="AE196" s="121"/>
      <c r="AF196" s="121"/>
      <c r="AG196" s="122"/>
      <c r="AH196" s="120"/>
      <c r="AI196" t="s">
        <v>4244</v>
      </c>
      <c r="AJ196" t="s">
        <v>4245</v>
      </c>
      <c r="AK196" t="s">
        <v>4246</v>
      </c>
      <c r="AL196" t="s">
        <v>4247</v>
      </c>
      <c r="AM196" t="s">
        <v>4248</v>
      </c>
      <c r="AO196" s="18"/>
      <c r="AP196" s="18"/>
      <c r="AQ196" s="489" t="s">
        <v>4249</v>
      </c>
      <c r="AR196" s="18" t="s">
        <v>2909</v>
      </c>
      <c r="AS196" s="94" t="s">
        <v>2908</v>
      </c>
    </row>
    <row r="197" spans="1:45" s="14" customFormat="1" x14ac:dyDescent="0.2">
      <c r="A197" s="14" t="s">
        <v>510</v>
      </c>
      <c r="B197" s="125"/>
      <c r="C197" s="103" t="s">
        <v>4222</v>
      </c>
      <c r="D197" s="15"/>
      <c r="E197" t="s">
        <v>4243</v>
      </c>
      <c r="F197" s="15" t="s">
        <v>1332</v>
      </c>
      <c r="G197" s="15"/>
      <c r="H197" s="108">
        <v>7331423010264</v>
      </c>
      <c r="I197" s="109"/>
      <c r="J197" s="109"/>
      <c r="K197" s="109"/>
      <c r="L197" s="27" t="s">
        <v>568</v>
      </c>
      <c r="M197" s="27" t="s">
        <v>977</v>
      </c>
      <c r="N197" s="514"/>
      <c r="O197" s="514">
        <f>IF($C197="","",VLOOKUP($C197,'2017 Pricelist'!$C:$I,7,FALSE))</f>
        <v>4.99</v>
      </c>
      <c r="P197" s="35">
        <v>6</v>
      </c>
      <c r="Q197" s="187">
        <v>36</v>
      </c>
      <c r="R197" s="33">
        <v>0.1</v>
      </c>
      <c r="S197" s="33">
        <v>5.9</v>
      </c>
      <c r="T197" s="33">
        <v>6.3</v>
      </c>
      <c r="U197" s="70">
        <v>0.12</v>
      </c>
      <c r="V197" s="44">
        <v>0.12</v>
      </c>
      <c r="W197" s="33">
        <v>6.9</v>
      </c>
      <c r="X197" s="33">
        <v>6.6</v>
      </c>
      <c r="Y197" s="70">
        <v>0.16</v>
      </c>
      <c r="Z197" s="120"/>
      <c r="AA197" s="121"/>
      <c r="AB197" s="121"/>
      <c r="AC197" s="122"/>
      <c r="AD197" s="120"/>
      <c r="AE197" s="121"/>
      <c r="AF197" s="121"/>
      <c r="AG197" s="122"/>
      <c r="AH197" s="120"/>
      <c r="AI197" t="s">
        <v>4244</v>
      </c>
      <c r="AJ197" t="s">
        <v>4245</v>
      </c>
      <c r="AK197" t="s">
        <v>4246</v>
      </c>
      <c r="AL197" t="s">
        <v>4247</v>
      </c>
      <c r="AM197" t="s">
        <v>4248</v>
      </c>
      <c r="AO197" s="18"/>
      <c r="AP197" s="18"/>
      <c r="AQ197" s="489" t="s">
        <v>4249</v>
      </c>
      <c r="AR197" s="18" t="s">
        <v>2909</v>
      </c>
      <c r="AS197" s="94" t="s">
        <v>2908</v>
      </c>
    </row>
    <row r="198" spans="1:45" s="102" customFormat="1" x14ac:dyDescent="0.2">
      <c r="B198" s="321"/>
      <c r="C198" s="259"/>
      <c r="D198" s="33" t="s">
        <v>529</v>
      </c>
      <c r="E198" s="14"/>
      <c r="F198" s="205"/>
      <c r="G198" s="205"/>
      <c r="H198" s="260"/>
      <c r="I198" s="260"/>
      <c r="J198" s="260"/>
      <c r="K198" s="260"/>
      <c r="L198" s="207"/>
      <c r="M198" s="207"/>
      <c r="N198" s="208"/>
      <c r="O198" s="514" t="str">
        <f>IF($C198="","",VLOOKUP($C198,'2017 Pricelist'!$C:$I,7,FALSE))</f>
        <v/>
      </c>
      <c r="P198" s="209"/>
      <c r="Q198" s="235"/>
      <c r="R198" s="205"/>
      <c r="S198" s="205"/>
      <c r="T198" s="205"/>
      <c r="U198" s="211"/>
      <c r="V198" s="210"/>
      <c r="W198" s="205"/>
      <c r="X198" s="205"/>
      <c r="Y198" s="211"/>
      <c r="Z198" s="210"/>
      <c r="AA198" s="205"/>
      <c r="AB198" s="205"/>
      <c r="AC198" s="211"/>
      <c r="AD198" s="210"/>
      <c r="AE198" s="205"/>
      <c r="AF198" s="205"/>
      <c r="AG198" s="211"/>
      <c r="AH198" s="210"/>
      <c r="AQ198" s="212"/>
      <c r="AR198" s="213"/>
    </row>
    <row r="199" spans="1:45" s="105" customFormat="1" ht="15.75" x14ac:dyDescent="0.25">
      <c r="A199" s="105" t="s">
        <v>2860</v>
      </c>
      <c r="B199" s="318"/>
      <c r="C199" s="153"/>
      <c r="D199" s="33" t="s">
        <v>529</v>
      </c>
      <c r="E199" s="153"/>
      <c r="F199" s="155"/>
      <c r="G199" s="155"/>
      <c r="H199" s="193"/>
      <c r="I199" s="193"/>
      <c r="J199" s="193"/>
      <c r="K199" s="193"/>
      <c r="L199" s="163"/>
      <c r="M199" s="162"/>
      <c r="N199" s="164"/>
      <c r="O199" s="514" t="str">
        <f>IF($C199="","",VLOOKUP($C199,'2017 Pricelist'!$C:$I,7,FALSE))</f>
        <v/>
      </c>
      <c r="P199" s="165"/>
      <c r="Q199" s="234"/>
      <c r="R199" s="155"/>
      <c r="S199" s="155"/>
      <c r="T199" s="155"/>
      <c r="U199" s="156"/>
      <c r="V199" s="154"/>
      <c r="W199" s="155"/>
      <c r="X199" s="155"/>
      <c r="Y199" s="156"/>
      <c r="Z199" s="154"/>
      <c r="AA199" s="155"/>
      <c r="AB199" s="155"/>
      <c r="AC199" s="156"/>
      <c r="AD199" s="154"/>
      <c r="AE199" s="155"/>
      <c r="AF199" s="155"/>
      <c r="AG199" s="156"/>
      <c r="AH199" s="154"/>
      <c r="AI199" s="157"/>
      <c r="AJ199" s="157"/>
      <c r="AK199" s="157"/>
      <c r="AL199" s="158"/>
      <c r="AM199" s="158"/>
      <c r="AN199" s="158"/>
      <c r="AO199" s="158"/>
      <c r="AP199" s="158"/>
      <c r="AQ199" s="158"/>
      <c r="AR199" s="159"/>
    </row>
    <row r="200" spans="1:45" s="14" customFormat="1" x14ac:dyDescent="0.2">
      <c r="A200" s="18" t="s">
        <v>510</v>
      </c>
      <c r="B200" s="125"/>
      <c r="C200" s="19" t="s">
        <v>1051</v>
      </c>
      <c r="D200" s="15" t="s">
        <v>1776</v>
      </c>
      <c r="E200" s="19" t="s">
        <v>5425</v>
      </c>
      <c r="F200" s="15" t="s">
        <v>1774</v>
      </c>
      <c r="G200" s="15" t="s">
        <v>2547</v>
      </c>
      <c r="H200" s="30">
        <v>7331423008117</v>
      </c>
      <c r="I200" s="47">
        <v>7331423100699</v>
      </c>
      <c r="J200" s="47">
        <v>7331423200924</v>
      </c>
      <c r="K200" s="47">
        <v>17331423200921</v>
      </c>
      <c r="L200" s="27" t="s">
        <v>568</v>
      </c>
      <c r="M200" s="27" t="s">
        <v>977</v>
      </c>
      <c r="N200" s="514"/>
      <c r="O200" s="514">
        <f>IF($C200="","",VLOOKUP($C200,'2017 Pricelist'!$C:$I,7,FALSE))</f>
        <v>8.99</v>
      </c>
      <c r="P200" s="35">
        <v>12</v>
      </c>
      <c r="Q200" s="187">
        <v>72</v>
      </c>
      <c r="R200" s="33">
        <f>CONVERT(76,"g","lbm")</f>
        <v>0.16755131926050695</v>
      </c>
      <c r="S200" s="33">
        <v>4</v>
      </c>
      <c r="T200" s="33">
        <v>4</v>
      </c>
      <c r="U200" s="70">
        <v>2.375</v>
      </c>
      <c r="V200" s="44">
        <f>CONVERT(80,"g","lbm")</f>
        <v>0.17636980974790206</v>
      </c>
      <c r="W200" s="33">
        <v>4.25</v>
      </c>
      <c r="X200" s="33">
        <v>2.5</v>
      </c>
      <c r="Y200" s="70">
        <v>5.125</v>
      </c>
      <c r="Z200" s="44">
        <f>CONVERT(1080,"g","lbm")</f>
        <v>2.3809924315966779</v>
      </c>
      <c r="AA200" s="33">
        <v>11.0625</v>
      </c>
      <c r="AB200" s="33">
        <v>4.75</v>
      </c>
      <c r="AC200" s="70">
        <v>9.75</v>
      </c>
      <c r="AD200" s="44">
        <v>15.35</v>
      </c>
      <c r="AE200" s="33">
        <v>15</v>
      </c>
      <c r="AF200" s="33">
        <v>11.375</v>
      </c>
      <c r="AG200" s="70">
        <v>20</v>
      </c>
      <c r="AH200" s="42">
        <f t="shared" ref="AH200:AH205" si="91">AE200*AF200*AG200/(12^3)</f>
        <v>1.9748263888888888</v>
      </c>
      <c r="AI200" s="18" t="s">
        <v>3031</v>
      </c>
      <c r="AJ200" s="37" t="s">
        <v>1055</v>
      </c>
      <c r="AK200" s="37" t="s">
        <v>5424</v>
      </c>
      <c r="AL200" s="37" t="s">
        <v>3020</v>
      </c>
      <c r="AM200" s="37" t="s">
        <v>3021</v>
      </c>
      <c r="AN200" s="37" t="s">
        <v>2748</v>
      </c>
      <c r="AO200" s="37" t="s">
        <v>3030</v>
      </c>
      <c r="AP200" s="40" t="s">
        <v>3022</v>
      </c>
      <c r="AQ200" s="217" t="s">
        <v>1056</v>
      </c>
      <c r="AR200" s="18" t="s">
        <v>2909</v>
      </c>
      <c r="AS200" s="94" t="s">
        <v>2908</v>
      </c>
    </row>
    <row r="201" spans="1:45" s="14" customFormat="1" x14ac:dyDescent="0.2">
      <c r="A201" s="18" t="s">
        <v>510</v>
      </c>
      <c r="B201" s="125"/>
      <c r="C201" s="19" t="s">
        <v>1051</v>
      </c>
      <c r="D201" s="15" t="s">
        <v>1775</v>
      </c>
      <c r="E201" s="19" t="s">
        <v>5425</v>
      </c>
      <c r="F201" s="15" t="s">
        <v>1780</v>
      </c>
      <c r="G201" s="15" t="s">
        <v>2547</v>
      </c>
      <c r="H201" s="30">
        <v>7331423008124</v>
      </c>
      <c r="I201" s="47">
        <v>7331423100682</v>
      </c>
      <c r="J201" s="47">
        <v>7331423200917</v>
      </c>
      <c r="K201" s="47">
        <v>17331423200914</v>
      </c>
      <c r="L201" s="27" t="s">
        <v>568</v>
      </c>
      <c r="M201" s="27" t="s">
        <v>977</v>
      </c>
      <c r="N201" s="514"/>
      <c r="O201" s="514">
        <f>IF($C201="","",VLOOKUP($C201,'2017 Pricelist'!$C:$I,7,FALSE))</f>
        <v>8.99</v>
      </c>
      <c r="P201" s="35">
        <v>12</v>
      </c>
      <c r="Q201" s="187">
        <v>72</v>
      </c>
      <c r="R201" s="33">
        <f>CONVERT(76,"g","lbm")</f>
        <v>0.16755131926050695</v>
      </c>
      <c r="S201" s="33">
        <v>4</v>
      </c>
      <c r="T201" s="33">
        <v>4</v>
      </c>
      <c r="U201" s="70">
        <v>2.375</v>
      </c>
      <c r="V201" s="44">
        <f>CONVERT(80,"g","lbm")</f>
        <v>0.17636980974790206</v>
      </c>
      <c r="W201" s="33">
        <v>4.25</v>
      </c>
      <c r="X201" s="33">
        <v>2.5</v>
      </c>
      <c r="Y201" s="70">
        <v>5.125</v>
      </c>
      <c r="Z201" s="44">
        <f>CONVERT(1080,"g","lbm")</f>
        <v>2.3809924315966779</v>
      </c>
      <c r="AA201" s="33">
        <v>11.0625</v>
      </c>
      <c r="AB201" s="33">
        <v>4.75</v>
      </c>
      <c r="AC201" s="70">
        <v>9.75</v>
      </c>
      <c r="AD201" s="44">
        <v>15.35</v>
      </c>
      <c r="AE201" s="33">
        <v>15</v>
      </c>
      <c r="AF201" s="33">
        <v>11.375</v>
      </c>
      <c r="AG201" s="70">
        <v>20</v>
      </c>
      <c r="AH201" s="42">
        <f t="shared" si="91"/>
        <v>1.9748263888888888</v>
      </c>
      <c r="AI201" s="18" t="s">
        <v>3031</v>
      </c>
      <c r="AJ201" s="37" t="s">
        <v>1055</v>
      </c>
      <c r="AK201" s="37" t="s">
        <v>5424</v>
      </c>
      <c r="AL201" s="37" t="s">
        <v>3020</v>
      </c>
      <c r="AM201" s="37" t="s">
        <v>3021</v>
      </c>
      <c r="AN201" s="37" t="s">
        <v>2748</v>
      </c>
      <c r="AO201" s="37" t="s">
        <v>3030</v>
      </c>
      <c r="AP201" s="40" t="s">
        <v>3022</v>
      </c>
      <c r="AQ201" s="217" t="s">
        <v>1056</v>
      </c>
      <c r="AR201" s="18" t="s">
        <v>2909</v>
      </c>
      <c r="AS201" s="94" t="s">
        <v>2908</v>
      </c>
    </row>
    <row r="202" spans="1:45" s="14" customFormat="1" ht="13.5" customHeight="1" x14ac:dyDescent="0.2">
      <c r="A202" s="18" t="s">
        <v>510</v>
      </c>
      <c r="B202" s="125"/>
      <c r="C202" s="19" t="s">
        <v>1051</v>
      </c>
      <c r="D202" s="15" t="s">
        <v>2861</v>
      </c>
      <c r="E202" s="19" t="s">
        <v>5425</v>
      </c>
      <c r="F202" s="14" t="s">
        <v>2863</v>
      </c>
      <c r="G202" s="15" t="s">
        <v>2547</v>
      </c>
      <c r="H202" s="30">
        <v>7331423006809</v>
      </c>
      <c r="I202" s="47">
        <v>7331423006809</v>
      </c>
      <c r="J202" s="47">
        <v>7331423200931</v>
      </c>
      <c r="K202" s="47">
        <v>17331423200938</v>
      </c>
      <c r="L202" s="27" t="s">
        <v>568</v>
      </c>
      <c r="M202" s="27" t="s">
        <v>977</v>
      </c>
      <c r="N202" s="514"/>
      <c r="O202" s="514">
        <f>IF($C202="","",VLOOKUP($C202,'2017 Pricelist'!$C:$I,7,FALSE))</f>
        <v>8.99</v>
      </c>
      <c r="P202" s="35">
        <v>12</v>
      </c>
      <c r="Q202" s="187">
        <v>72</v>
      </c>
      <c r="R202" s="33">
        <f>CONVERT(76,"g","lbm")</f>
        <v>0.16755131926050695</v>
      </c>
      <c r="S202" s="33">
        <v>4</v>
      </c>
      <c r="T202" s="33">
        <v>4</v>
      </c>
      <c r="U202" s="70">
        <v>2.375</v>
      </c>
      <c r="V202" s="44">
        <f>CONVERT(80,"g","lbm")</f>
        <v>0.17636980974790206</v>
      </c>
      <c r="W202" s="33">
        <v>4.25</v>
      </c>
      <c r="X202" s="33">
        <v>2.5</v>
      </c>
      <c r="Y202" s="70">
        <v>5.125</v>
      </c>
      <c r="Z202" s="44">
        <f>CONVERT(1080,"g","lbm")</f>
        <v>2.3809924315966779</v>
      </c>
      <c r="AA202" s="33">
        <v>11.0625</v>
      </c>
      <c r="AB202" s="33">
        <v>4.75</v>
      </c>
      <c r="AC202" s="70">
        <v>9.75</v>
      </c>
      <c r="AD202" s="44">
        <v>15.35</v>
      </c>
      <c r="AE202" s="33">
        <v>15</v>
      </c>
      <c r="AF202" s="33">
        <v>11.375</v>
      </c>
      <c r="AG202" s="70">
        <v>20</v>
      </c>
      <c r="AH202" s="42">
        <f t="shared" si="91"/>
        <v>1.9748263888888888</v>
      </c>
      <c r="AI202" s="18" t="s">
        <v>3031</v>
      </c>
      <c r="AJ202" s="37" t="s">
        <v>1055</v>
      </c>
      <c r="AK202" s="37" t="s">
        <v>5424</v>
      </c>
      <c r="AL202" s="37" t="s">
        <v>3020</v>
      </c>
      <c r="AM202" s="37" t="s">
        <v>3021</v>
      </c>
      <c r="AN202" s="37" t="s">
        <v>2748</v>
      </c>
      <c r="AO202" s="37" t="s">
        <v>3030</v>
      </c>
      <c r="AP202" s="40" t="s">
        <v>3022</v>
      </c>
      <c r="AQ202" s="217" t="s">
        <v>1056</v>
      </c>
      <c r="AR202" s="18" t="s">
        <v>2909</v>
      </c>
      <c r="AS202" s="94" t="s">
        <v>2908</v>
      </c>
    </row>
    <row r="203" spans="1:45" s="14" customFormat="1" x14ac:dyDescent="0.2">
      <c r="A203" s="14" t="s">
        <v>510</v>
      </c>
      <c r="B203" s="127"/>
      <c r="C203" s="18" t="s">
        <v>1053</v>
      </c>
      <c r="D203" s="15" t="s">
        <v>1776</v>
      </c>
      <c r="E203" s="14" t="s">
        <v>5426</v>
      </c>
      <c r="F203" s="15" t="s">
        <v>1774</v>
      </c>
      <c r="G203" s="15" t="s">
        <v>2547</v>
      </c>
      <c r="H203" s="48">
        <v>7331423008155</v>
      </c>
      <c r="I203" s="48">
        <v>7331423100743</v>
      </c>
      <c r="J203" s="48">
        <v>7331423200979</v>
      </c>
      <c r="K203" s="48">
        <v>17331423200976</v>
      </c>
      <c r="L203" s="27" t="s">
        <v>568</v>
      </c>
      <c r="M203" s="49" t="s">
        <v>977</v>
      </c>
      <c r="N203" s="514"/>
      <c r="O203" s="514">
        <f>IF($C203="","",VLOOKUP($C203,'2017 Pricelist'!$C:$I,7,FALSE))</f>
        <v>9.99</v>
      </c>
      <c r="P203" s="18">
        <v>12</v>
      </c>
      <c r="Q203" s="187">
        <v>72</v>
      </c>
      <c r="R203" s="33">
        <f>CONVERT(114,"g","lbm")</f>
        <v>0.25132697889076044</v>
      </c>
      <c r="S203" s="33">
        <f>CONVERT(168,"mm","in")</f>
        <v>6.6141732283464574</v>
      </c>
      <c r="T203" s="33">
        <f>CONVERT(70,"mm","in")</f>
        <v>2.7559055118110236</v>
      </c>
      <c r="U203" s="70">
        <v>2.5</v>
      </c>
      <c r="V203" s="44">
        <f>CONVERT(120,"g","lbm")</f>
        <v>0.26455471462185309</v>
      </c>
      <c r="W203" s="33">
        <v>6.75</v>
      </c>
      <c r="X203" s="33">
        <v>2.5</v>
      </c>
      <c r="Y203" s="70">
        <v>3.75</v>
      </c>
      <c r="Z203" s="44">
        <f>CONVERT(1590,"g","lbm")</f>
        <v>3.5053499687395533</v>
      </c>
      <c r="AA203" s="33">
        <v>11.25</v>
      </c>
      <c r="AB203" s="33">
        <v>6.875</v>
      </c>
      <c r="AC203" s="70">
        <v>8.75</v>
      </c>
      <c r="AD203" s="44">
        <v>15.3</v>
      </c>
      <c r="AE203" s="33">
        <v>20.5625</v>
      </c>
      <c r="AF203" s="33">
        <v>11.5</v>
      </c>
      <c r="AG203" s="70">
        <v>17.375</v>
      </c>
      <c r="AH203" s="42">
        <f t="shared" si="91"/>
        <v>2.3776878074363426</v>
      </c>
      <c r="AI203" s="18" t="s">
        <v>3033</v>
      </c>
      <c r="AJ203" s="37" t="s">
        <v>1055</v>
      </c>
      <c r="AK203" s="37" t="s">
        <v>5424</v>
      </c>
      <c r="AL203" s="37" t="s">
        <v>3020</v>
      </c>
      <c r="AM203" s="37" t="s">
        <v>3027</v>
      </c>
      <c r="AN203" s="37" t="s">
        <v>2748</v>
      </c>
      <c r="AO203" s="37" t="s">
        <v>3030</v>
      </c>
      <c r="AP203" s="18" t="s">
        <v>3032</v>
      </c>
      <c r="AQ203" s="18" t="s">
        <v>1057</v>
      </c>
      <c r="AR203" s="18" t="s">
        <v>2909</v>
      </c>
      <c r="AS203" s="94" t="s">
        <v>2908</v>
      </c>
    </row>
    <row r="204" spans="1:45" s="14" customFormat="1" x14ac:dyDescent="0.2">
      <c r="A204" s="14" t="s">
        <v>510</v>
      </c>
      <c r="B204" s="127"/>
      <c r="C204" s="18" t="s">
        <v>1053</v>
      </c>
      <c r="D204" s="15" t="s">
        <v>1775</v>
      </c>
      <c r="E204" s="14" t="s">
        <v>5426</v>
      </c>
      <c r="F204" s="15" t="s">
        <v>1780</v>
      </c>
      <c r="G204" s="15" t="s">
        <v>2547</v>
      </c>
      <c r="H204" s="48">
        <v>7331423008162</v>
      </c>
      <c r="I204" s="48">
        <v>7331423100736</v>
      </c>
      <c r="J204" s="48">
        <v>7331423200962</v>
      </c>
      <c r="K204" s="48">
        <v>17331423200969</v>
      </c>
      <c r="L204" s="27" t="s">
        <v>568</v>
      </c>
      <c r="M204" s="49" t="s">
        <v>977</v>
      </c>
      <c r="N204" s="514"/>
      <c r="O204" s="514">
        <f>IF($C204="","",VLOOKUP($C204,'2017 Pricelist'!$C:$I,7,FALSE))</f>
        <v>9.99</v>
      </c>
      <c r="P204" s="18">
        <v>12</v>
      </c>
      <c r="Q204" s="187">
        <v>72</v>
      </c>
      <c r="R204" s="33">
        <f>CONVERT(114,"g","lbm")</f>
        <v>0.25132697889076044</v>
      </c>
      <c r="S204" s="33">
        <f>CONVERT(168,"mm","in")</f>
        <v>6.6141732283464574</v>
      </c>
      <c r="T204" s="33">
        <f>CONVERT(70,"mm","in")</f>
        <v>2.7559055118110236</v>
      </c>
      <c r="U204" s="70">
        <v>2.5</v>
      </c>
      <c r="V204" s="44">
        <f>CONVERT(120,"g","lbm")</f>
        <v>0.26455471462185309</v>
      </c>
      <c r="W204" s="33">
        <v>6.75</v>
      </c>
      <c r="X204" s="33">
        <v>2.5</v>
      </c>
      <c r="Y204" s="70">
        <v>3.75</v>
      </c>
      <c r="Z204" s="44">
        <f>CONVERT(1590,"g","lbm")</f>
        <v>3.5053499687395533</v>
      </c>
      <c r="AA204" s="33">
        <v>11.25</v>
      </c>
      <c r="AB204" s="33">
        <v>6.875</v>
      </c>
      <c r="AC204" s="70">
        <v>8.75</v>
      </c>
      <c r="AD204" s="44">
        <v>15.3</v>
      </c>
      <c r="AE204" s="33">
        <v>20.5625</v>
      </c>
      <c r="AF204" s="33">
        <v>11.5</v>
      </c>
      <c r="AG204" s="70">
        <v>17.375</v>
      </c>
      <c r="AH204" s="42">
        <f t="shared" si="91"/>
        <v>2.3776878074363426</v>
      </c>
      <c r="AI204" s="18" t="s">
        <v>3033</v>
      </c>
      <c r="AJ204" s="37" t="s">
        <v>1055</v>
      </c>
      <c r="AK204" s="37" t="s">
        <v>5424</v>
      </c>
      <c r="AL204" s="37" t="s">
        <v>3020</v>
      </c>
      <c r="AM204" s="37" t="s">
        <v>3027</v>
      </c>
      <c r="AN204" s="37" t="s">
        <v>2748</v>
      </c>
      <c r="AO204" s="37" t="s">
        <v>3030</v>
      </c>
      <c r="AP204" s="18" t="s">
        <v>3032</v>
      </c>
      <c r="AQ204" s="18" t="s">
        <v>1057</v>
      </c>
      <c r="AR204" s="18" t="s">
        <v>2909</v>
      </c>
      <c r="AS204" s="94" t="s">
        <v>2908</v>
      </c>
    </row>
    <row r="205" spans="1:45" s="14" customFormat="1" x14ac:dyDescent="0.2">
      <c r="A205" s="14" t="s">
        <v>510</v>
      </c>
      <c r="B205" s="127"/>
      <c r="C205" s="18" t="s">
        <v>1053</v>
      </c>
      <c r="D205" s="15" t="s">
        <v>2861</v>
      </c>
      <c r="E205" s="14" t="s">
        <v>5426</v>
      </c>
      <c r="F205" s="14" t="s">
        <v>2863</v>
      </c>
      <c r="G205" s="15" t="s">
        <v>2547</v>
      </c>
      <c r="H205" s="48">
        <v>7331423007189</v>
      </c>
      <c r="I205" s="48">
        <v>7331423100750</v>
      </c>
      <c r="J205" s="48">
        <v>7331423200986</v>
      </c>
      <c r="K205" s="48">
        <v>17331423200983</v>
      </c>
      <c r="L205" s="27" t="s">
        <v>568</v>
      </c>
      <c r="M205" s="49" t="s">
        <v>977</v>
      </c>
      <c r="N205" s="514"/>
      <c r="O205" s="514">
        <f>IF($C205="","",VLOOKUP($C205,'2017 Pricelist'!$C:$I,7,FALSE))</f>
        <v>9.99</v>
      </c>
      <c r="P205" s="18">
        <v>12</v>
      </c>
      <c r="Q205" s="187">
        <v>72</v>
      </c>
      <c r="R205" s="33">
        <f>CONVERT(114,"g","lbm")</f>
        <v>0.25132697889076044</v>
      </c>
      <c r="S205" s="33">
        <f>CONVERT(168,"mm","in")</f>
        <v>6.6141732283464574</v>
      </c>
      <c r="T205" s="33">
        <f>CONVERT(70,"mm","in")</f>
        <v>2.7559055118110236</v>
      </c>
      <c r="U205" s="70">
        <v>2.5</v>
      </c>
      <c r="V205" s="44">
        <f>CONVERT(120,"g","lbm")</f>
        <v>0.26455471462185309</v>
      </c>
      <c r="W205" s="33">
        <v>6.75</v>
      </c>
      <c r="X205" s="33">
        <v>2.5</v>
      </c>
      <c r="Y205" s="70">
        <v>3.75</v>
      </c>
      <c r="Z205" s="44">
        <f>CONVERT(1590,"g","lbm")</f>
        <v>3.5053499687395533</v>
      </c>
      <c r="AA205" s="33">
        <v>11.25</v>
      </c>
      <c r="AB205" s="33">
        <v>6.875</v>
      </c>
      <c r="AC205" s="70">
        <v>8.75</v>
      </c>
      <c r="AD205" s="44">
        <v>15.3</v>
      </c>
      <c r="AE205" s="33">
        <v>20.5625</v>
      </c>
      <c r="AF205" s="33">
        <v>11.5</v>
      </c>
      <c r="AG205" s="70">
        <v>17.375</v>
      </c>
      <c r="AH205" s="42">
        <f t="shared" si="91"/>
        <v>2.3776878074363426</v>
      </c>
      <c r="AI205" s="18" t="s">
        <v>3033</v>
      </c>
      <c r="AJ205" s="37" t="s">
        <v>1055</v>
      </c>
      <c r="AK205" s="37" t="s">
        <v>5424</v>
      </c>
      <c r="AL205" s="37" t="s">
        <v>3020</v>
      </c>
      <c r="AM205" s="37" t="s">
        <v>3027</v>
      </c>
      <c r="AN205" s="37" t="s">
        <v>2748</v>
      </c>
      <c r="AO205" s="37" t="s">
        <v>3030</v>
      </c>
      <c r="AP205" s="18" t="s">
        <v>3032</v>
      </c>
      <c r="AQ205" s="18" t="s">
        <v>1057</v>
      </c>
      <c r="AR205" s="18" t="s">
        <v>2909</v>
      </c>
      <c r="AS205" s="94" t="s">
        <v>2908</v>
      </c>
    </row>
    <row r="206" spans="1:45" s="18" customFormat="1" x14ac:dyDescent="0.2">
      <c r="B206" s="125"/>
      <c r="D206" s="33" t="s">
        <v>529</v>
      </c>
      <c r="H206" s="48"/>
      <c r="I206" s="48"/>
      <c r="J206" s="48"/>
      <c r="K206" s="48"/>
      <c r="L206" s="194"/>
      <c r="M206" s="194"/>
      <c r="N206" s="5"/>
      <c r="O206" s="514" t="str">
        <f>IF($C206="","",VLOOKUP($C206,'2017 Pricelist'!$C:$I,7,FALSE))</f>
        <v/>
      </c>
      <c r="Q206" s="187"/>
      <c r="R206" s="33"/>
      <c r="S206" s="33"/>
      <c r="T206" s="33"/>
      <c r="U206" s="70"/>
      <c r="V206" s="44"/>
      <c r="W206" s="33"/>
      <c r="X206" s="33"/>
      <c r="Y206" s="70"/>
      <c r="Z206" s="44"/>
      <c r="AA206" s="33"/>
      <c r="AB206" s="33"/>
      <c r="AC206" s="70"/>
      <c r="AD206" s="44"/>
      <c r="AE206" s="33"/>
      <c r="AF206" s="33"/>
      <c r="AG206" s="70"/>
      <c r="AH206" s="44"/>
    </row>
    <row r="207" spans="1:45" s="105" customFormat="1" ht="16.5" customHeight="1" x14ac:dyDescent="0.25">
      <c r="A207" s="105" t="s">
        <v>2859</v>
      </c>
      <c r="B207" s="318"/>
      <c r="C207" s="155"/>
      <c r="D207" s="33" t="s">
        <v>529</v>
      </c>
      <c r="E207" s="192"/>
      <c r="H207" s="160"/>
      <c r="I207" s="160"/>
      <c r="J207" s="160"/>
      <c r="K207" s="160"/>
      <c r="L207" s="162"/>
      <c r="M207" s="193"/>
      <c r="N207" s="164"/>
      <c r="O207" s="514" t="str">
        <f>IF($C207="","",VLOOKUP($C207,'2017 Pricelist'!$C:$I,7,FALSE))</f>
        <v/>
      </c>
      <c r="P207" s="165"/>
      <c r="Q207" s="234"/>
      <c r="R207" s="155"/>
      <c r="S207" s="155"/>
      <c r="T207" s="155"/>
      <c r="U207" s="156"/>
      <c r="V207" s="154"/>
      <c r="W207" s="155"/>
      <c r="X207" s="155"/>
      <c r="Y207" s="156"/>
      <c r="Z207" s="154"/>
      <c r="AA207" s="155"/>
      <c r="AB207" s="155"/>
      <c r="AC207" s="156"/>
      <c r="AD207" s="154"/>
      <c r="AE207" s="155"/>
      <c r="AF207" s="155"/>
      <c r="AG207" s="156"/>
      <c r="AH207" s="154"/>
      <c r="AI207" s="157"/>
      <c r="AJ207" s="157"/>
      <c r="AK207" s="157"/>
      <c r="AL207" s="157"/>
      <c r="AM207" s="157"/>
      <c r="AN207" s="157"/>
      <c r="AO207" s="157"/>
      <c r="AP207" s="157"/>
      <c r="AQ207" s="195"/>
    </row>
    <row r="208" spans="1:45" s="14" customFormat="1" x14ac:dyDescent="0.2">
      <c r="A208" s="14" t="s">
        <v>510</v>
      </c>
      <c r="B208" s="127"/>
      <c r="C208" s="33" t="s">
        <v>1016</v>
      </c>
      <c r="D208" s="33" t="s">
        <v>383</v>
      </c>
      <c r="E208" s="16" t="s">
        <v>1541</v>
      </c>
      <c r="F208" s="15" t="s">
        <v>484</v>
      </c>
      <c r="G208" s="15" t="s">
        <v>2547</v>
      </c>
      <c r="H208" s="77">
        <v>7331423001583</v>
      </c>
      <c r="I208" s="77">
        <v>7331423100439</v>
      </c>
      <c r="J208" s="77">
        <v>7331423200665</v>
      </c>
      <c r="K208" s="77">
        <v>17331423200662</v>
      </c>
      <c r="L208" s="27" t="s">
        <v>568</v>
      </c>
      <c r="M208" s="27" t="s">
        <v>977</v>
      </c>
      <c r="N208" s="514"/>
      <c r="O208" s="514">
        <f>IF($C208="","",VLOOKUP($C208,'2017 Pricelist'!$C:$I,7,FALSE))</f>
        <v>9.99</v>
      </c>
      <c r="P208" s="35">
        <v>6</v>
      </c>
      <c r="Q208" s="187">
        <v>72</v>
      </c>
      <c r="R208" s="33">
        <f t="shared" ref="R208:R213" si="92">CONVERT(40,"g","lbm")</f>
        <v>8.8184904873951031E-2</v>
      </c>
      <c r="S208" s="33">
        <v>2.8</v>
      </c>
      <c r="T208" s="33">
        <v>2.8</v>
      </c>
      <c r="U208" s="70">
        <v>1.2</v>
      </c>
      <c r="V208" s="44">
        <f t="shared" ref="V208:V213" si="93">CONVERT(55,"g","lbm")</f>
        <v>0.12125424420168267</v>
      </c>
      <c r="W208" s="33">
        <v>4</v>
      </c>
      <c r="X208" s="33">
        <v>1</v>
      </c>
      <c r="Y208" s="70">
        <v>7.8125</v>
      </c>
      <c r="Z208" s="44">
        <f t="shared" ref="Z208:Z213" si="94">CONVERT(395,"g","lbm")</f>
        <v>0.87082593563026645</v>
      </c>
      <c r="AA208" s="33">
        <v>4.125</v>
      </c>
      <c r="AB208" s="33">
        <v>4.6875</v>
      </c>
      <c r="AC208" s="70">
        <v>8.5</v>
      </c>
      <c r="AD208" s="44">
        <v>18.2</v>
      </c>
      <c r="AE208" s="33">
        <v>14.25</v>
      </c>
      <c r="AF208" s="33">
        <v>8.875</v>
      </c>
      <c r="AG208" s="70">
        <v>17.5</v>
      </c>
      <c r="AH208" s="42">
        <f t="shared" ref="AH208:AH213" si="95">AE208*AF208*AG208/(12^3)</f>
        <v>1.2807888454861112</v>
      </c>
      <c r="AI208" s="24" t="s">
        <v>2743</v>
      </c>
      <c r="AJ208" s="18" t="s">
        <v>2744</v>
      </c>
      <c r="AK208" s="19" t="s">
        <v>2745</v>
      </c>
      <c r="AL208" s="19" t="s">
        <v>2746</v>
      </c>
      <c r="AM208" s="37" t="s">
        <v>2747</v>
      </c>
      <c r="AN208" s="37" t="s">
        <v>2748</v>
      </c>
      <c r="AO208" s="24" t="s">
        <v>3034</v>
      </c>
      <c r="AP208" s="19" t="s">
        <v>3035</v>
      </c>
      <c r="AQ208" s="38" t="s">
        <v>3036</v>
      </c>
      <c r="AR208" s="18" t="s">
        <v>2909</v>
      </c>
      <c r="AS208" s="94" t="s">
        <v>2908</v>
      </c>
    </row>
    <row r="209" spans="1:45" s="14" customFormat="1" x14ac:dyDescent="0.2">
      <c r="A209" s="14" t="s">
        <v>510</v>
      </c>
      <c r="B209" s="127"/>
      <c r="C209" s="33" t="s">
        <v>1016</v>
      </c>
      <c r="D209" s="33" t="s">
        <v>371</v>
      </c>
      <c r="E209" s="16" t="s">
        <v>1541</v>
      </c>
      <c r="F209" s="15" t="s">
        <v>218</v>
      </c>
      <c r="G209" s="15" t="s">
        <v>2547</v>
      </c>
      <c r="H209" s="77">
        <v>7331423001637</v>
      </c>
      <c r="I209" s="77">
        <v>7331423100453</v>
      </c>
      <c r="J209" s="77">
        <v>7331423200689</v>
      </c>
      <c r="K209" s="77">
        <v>17331423200686</v>
      </c>
      <c r="L209" s="27" t="s">
        <v>568</v>
      </c>
      <c r="M209" s="27" t="s">
        <v>977</v>
      </c>
      <c r="N209" s="514"/>
      <c r="O209" s="514">
        <f>IF($C209="","",VLOOKUP($C209,'2017 Pricelist'!$C:$I,7,FALSE))</f>
        <v>9.99</v>
      </c>
      <c r="P209" s="35">
        <v>6</v>
      </c>
      <c r="Q209" s="187">
        <v>72</v>
      </c>
      <c r="R209" s="33">
        <f t="shared" si="92"/>
        <v>8.8184904873951031E-2</v>
      </c>
      <c r="S209" s="33">
        <v>2.8</v>
      </c>
      <c r="T209" s="33">
        <v>2.8</v>
      </c>
      <c r="U209" s="70">
        <v>1.2</v>
      </c>
      <c r="V209" s="44">
        <f t="shared" si="93"/>
        <v>0.12125424420168267</v>
      </c>
      <c r="W209" s="33">
        <v>4</v>
      </c>
      <c r="X209" s="33">
        <v>1</v>
      </c>
      <c r="Y209" s="70">
        <v>7.8125</v>
      </c>
      <c r="Z209" s="44">
        <f t="shared" si="94"/>
        <v>0.87082593563026645</v>
      </c>
      <c r="AA209" s="33">
        <v>4.125</v>
      </c>
      <c r="AB209" s="33">
        <v>4.6875</v>
      </c>
      <c r="AC209" s="70">
        <v>8.5</v>
      </c>
      <c r="AD209" s="44">
        <v>18.2</v>
      </c>
      <c r="AE209" s="33">
        <v>14.25</v>
      </c>
      <c r="AF209" s="33">
        <v>8.875</v>
      </c>
      <c r="AG209" s="70">
        <v>17.5</v>
      </c>
      <c r="AH209" s="42">
        <f t="shared" si="95"/>
        <v>1.2807888454861112</v>
      </c>
      <c r="AI209" s="24" t="s">
        <v>2743</v>
      </c>
      <c r="AJ209" s="18" t="s">
        <v>2744</v>
      </c>
      <c r="AK209" s="19" t="s">
        <v>2745</v>
      </c>
      <c r="AL209" s="19" t="s">
        <v>2746</v>
      </c>
      <c r="AM209" s="37" t="s">
        <v>2747</v>
      </c>
      <c r="AN209" s="37" t="s">
        <v>2748</v>
      </c>
      <c r="AO209" s="24" t="s">
        <v>3034</v>
      </c>
      <c r="AP209" s="19" t="s">
        <v>3035</v>
      </c>
      <c r="AQ209" s="38" t="s">
        <v>3036</v>
      </c>
      <c r="AR209" s="18" t="s">
        <v>2909</v>
      </c>
      <c r="AS209" s="94" t="s">
        <v>2908</v>
      </c>
    </row>
    <row r="210" spans="1:45" s="14" customFormat="1" x14ac:dyDescent="0.2">
      <c r="A210" s="14" t="s">
        <v>510</v>
      </c>
      <c r="B210" s="127"/>
      <c r="C210" s="33" t="s">
        <v>1016</v>
      </c>
      <c r="D210" s="33" t="s">
        <v>374</v>
      </c>
      <c r="E210" s="16" t="s">
        <v>1541</v>
      </c>
      <c r="F210" s="15" t="s">
        <v>219</v>
      </c>
      <c r="G210" s="15" t="s">
        <v>2547</v>
      </c>
      <c r="H210" s="77">
        <v>7331423001651</v>
      </c>
      <c r="I210" s="77">
        <v>7331423100460</v>
      </c>
      <c r="J210" s="77">
        <v>7331423200696</v>
      </c>
      <c r="K210" s="77">
        <v>17331423200693</v>
      </c>
      <c r="L210" s="27" t="s">
        <v>568</v>
      </c>
      <c r="M210" s="27" t="s">
        <v>977</v>
      </c>
      <c r="N210" s="514"/>
      <c r="O210" s="514">
        <f>IF($C210="","",VLOOKUP($C210,'2017 Pricelist'!$C:$I,7,FALSE))</f>
        <v>9.99</v>
      </c>
      <c r="P210" s="35">
        <v>6</v>
      </c>
      <c r="Q210" s="187">
        <v>72</v>
      </c>
      <c r="R210" s="33">
        <f t="shared" si="92"/>
        <v>8.8184904873951031E-2</v>
      </c>
      <c r="S210" s="33">
        <v>2.8</v>
      </c>
      <c r="T210" s="33">
        <v>2.8</v>
      </c>
      <c r="U210" s="70">
        <v>1.2</v>
      </c>
      <c r="V210" s="44">
        <f t="shared" si="93"/>
        <v>0.12125424420168267</v>
      </c>
      <c r="W210" s="33">
        <v>4</v>
      </c>
      <c r="X210" s="33">
        <v>1</v>
      </c>
      <c r="Y210" s="70">
        <v>7.8125</v>
      </c>
      <c r="Z210" s="44">
        <f t="shared" si="94"/>
        <v>0.87082593563026645</v>
      </c>
      <c r="AA210" s="33">
        <v>4.125</v>
      </c>
      <c r="AB210" s="33">
        <v>4.6875</v>
      </c>
      <c r="AC210" s="70">
        <v>8.5</v>
      </c>
      <c r="AD210" s="44">
        <v>18.2</v>
      </c>
      <c r="AE210" s="33">
        <v>14.25</v>
      </c>
      <c r="AF210" s="33">
        <v>8.875</v>
      </c>
      <c r="AG210" s="70">
        <v>17.5</v>
      </c>
      <c r="AH210" s="42">
        <f t="shared" si="95"/>
        <v>1.2807888454861112</v>
      </c>
      <c r="AI210" s="24" t="s">
        <v>2743</v>
      </c>
      <c r="AJ210" s="18" t="s">
        <v>2744</v>
      </c>
      <c r="AK210" s="19" t="s">
        <v>2745</v>
      </c>
      <c r="AL210" s="19" t="s">
        <v>2746</v>
      </c>
      <c r="AM210" s="37" t="s">
        <v>2747</v>
      </c>
      <c r="AN210" s="37" t="s">
        <v>2748</v>
      </c>
      <c r="AO210" s="24" t="s">
        <v>3034</v>
      </c>
      <c r="AP210" s="19" t="s">
        <v>3035</v>
      </c>
      <c r="AQ210" s="38" t="s">
        <v>3036</v>
      </c>
      <c r="AR210" s="18" t="s">
        <v>2909</v>
      </c>
      <c r="AS210" s="94" t="s">
        <v>2908</v>
      </c>
    </row>
    <row r="211" spans="1:45" s="14" customFormat="1" x14ac:dyDescent="0.2">
      <c r="A211" s="14" t="s">
        <v>510</v>
      </c>
      <c r="B211" s="127"/>
      <c r="C211" s="33" t="s">
        <v>1016</v>
      </c>
      <c r="D211" s="33" t="s">
        <v>1017</v>
      </c>
      <c r="E211" s="16" t="s">
        <v>1541</v>
      </c>
      <c r="F211" s="15" t="s">
        <v>1018</v>
      </c>
      <c r="G211" s="15" t="s">
        <v>2547</v>
      </c>
      <c r="H211" s="77">
        <v>7331423005925</v>
      </c>
      <c r="I211" s="77">
        <v>7331423100446</v>
      </c>
      <c r="J211" s="77">
        <v>7331423200672</v>
      </c>
      <c r="K211" s="77">
        <v>17331423200679</v>
      </c>
      <c r="L211" s="27" t="s">
        <v>568</v>
      </c>
      <c r="M211" s="27" t="s">
        <v>977</v>
      </c>
      <c r="N211" s="514"/>
      <c r="O211" s="514">
        <f>IF($C211="","",VLOOKUP($C211,'2017 Pricelist'!$C:$I,7,FALSE))</f>
        <v>9.99</v>
      </c>
      <c r="P211" s="35">
        <v>6</v>
      </c>
      <c r="Q211" s="187">
        <v>72</v>
      </c>
      <c r="R211" s="33">
        <f t="shared" si="92"/>
        <v>8.8184904873951031E-2</v>
      </c>
      <c r="S211" s="33">
        <v>2.8</v>
      </c>
      <c r="T211" s="33">
        <v>2.8</v>
      </c>
      <c r="U211" s="70">
        <v>1.2</v>
      </c>
      <c r="V211" s="44">
        <f t="shared" si="93"/>
        <v>0.12125424420168267</v>
      </c>
      <c r="W211" s="33">
        <v>4</v>
      </c>
      <c r="X211" s="33">
        <v>1</v>
      </c>
      <c r="Y211" s="70">
        <v>7.8125</v>
      </c>
      <c r="Z211" s="44">
        <f t="shared" si="94"/>
        <v>0.87082593563026645</v>
      </c>
      <c r="AA211" s="33">
        <v>4.125</v>
      </c>
      <c r="AB211" s="33">
        <v>4.6875</v>
      </c>
      <c r="AC211" s="70">
        <v>8.5</v>
      </c>
      <c r="AD211" s="44">
        <v>18.2</v>
      </c>
      <c r="AE211" s="33">
        <v>14.25</v>
      </c>
      <c r="AF211" s="33">
        <v>8.875</v>
      </c>
      <c r="AG211" s="70">
        <v>17.5</v>
      </c>
      <c r="AH211" s="42">
        <f t="shared" si="95"/>
        <v>1.2807888454861112</v>
      </c>
      <c r="AI211" s="24" t="s">
        <v>2743</v>
      </c>
      <c r="AJ211" s="18" t="s">
        <v>2744</v>
      </c>
      <c r="AK211" s="19" t="s">
        <v>2745</v>
      </c>
      <c r="AL211" s="19" t="s">
        <v>2746</v>
      </c>
      <c r="AM211" s="37" t="s">
        <v>2747</v>
      </c>
      <c r="AN211" s="37" t="s">
        <v>2748</v>
      </c>
      <c r="AO211" s="24" t="s">
        <v>3034</v>
      </c>
      <c r="AP211" s="19" t="s">
        <v>3035</v>
      </c>
      <c r="AQ211" s="38" t="s">
        <v>3036</v>
      </c>
      <c r="AR211" s="18" t="s">
        <v>2909</v>
      </c>
      <c r="AS211" s="94" t="s">
        <v>2908</v>
      </c>
    </row>
    <row r="212" spans="1:45" s="14" customFormat="1" x14ac:dyDescent="0.2">
      <c r="A212" s="14" t="s">
        <v>510</v>
      </c>
      <c r="B212" s="127"/>
      <c r="C212" s="33" t="s">
        <v>1016</v>
      </c>
      <c r="D212" s="33" t="s">
        <v>1739</v>
      </c>
      <c r="E212" s="16" t="s">
        <v>1541</v>
      </c>
      <c r="F212" s="15" t="s">
        <v>1859</v>
      </c>
      <c r="G212" s="15" t="s">
        <v>2547</v>
      </c>
      <c r="H212" s="77">
        <v>7331423008032</v>
      </c>
      <c r="I212" s="77">
        <v>7331423100422</v>
      </c>
      <c r="J212" s="77">
        <v>7331423200658</v>
      </c>
      <c r="K212" s="77">
        <v>17331423200655</v>
      </c>
      <c r="L212" s="27" t="s">
        <v>568</v>
      </c>
      <c r="M212" s="27" t="s">
        <v>977</v>
      </c>
      <c r="N212" s="514"/>
      <c r="O212" s="514">
        <f>IF($C212="","",VLOOKUP($C212,'2017 Pricelist'!$C:$I,7,FALSE))</f>
        <v>9.99</v>
      </c>
      <c r="P212" s="35">
        <v>6</v>
      </c>
      <c r="Q212" s="187">
        <v>72</v>
      </c>
      <c r="R212" s="33">
        <f t="shared" si="92"/>
        <v>8.8184904873951031E-2</v>
      </c>
      <c r="S212" s="33">
        <v>2.8</v>
      </c>
      <c r="T212" s="33">
        <v>2.8</v>
      </c>
      <c r="U212" s="70">
        <v>1.2</v>
      </c>
      <c r="V212" s="44">
        <f t="shared" si="93"/>
        <v>0.12125424420168267</v>
      </c>
      <c r="W212" s="33">
        <v>4</v>
      </c>
      <c r="X212" s="33">
        <v>1</v>
      </c>
      <c r="Y212" s="70">
        <v>7.8125</v>
      </c>
      <c r="Z212" s="44">
        <f t="shared" si="94"/>
        <v>0.87082593563026645</v>
      </c>
      <c r="AA212" s="33">
        <v>4.125</v>
      </c>
      <c r="AB212" s="33">
        <v>4.6875</v>
      </c>
      <c r="AC212" s="70">
        <v>8.5</v>
      </c>
      <c r="AD212" s="44">
        <v>18.2</v>
      </c>
      <c r="AE212" s="33">
        <v>14.25</v>
      </c>
      <c r="AF212" s="33">
        <v>8.875</v>
      </c>
      <c r="AG212" s="70">
        <v>17.5</v>
      </c>
      <c r="AH212" s="42">
        <f t="shared" si="95"/>
        <v>1.2807888454861112</v>
      </c>
      <c r="AI212" s="24" t="s">
        <v>2743</v>
      </c>
      <c r="AJ212" s="18" t="s">
        <v>2744</v>
      </c>
      <c r="AK212" s="19" t="s">
        <v>2745</v>
      </c>
      <c r="AL212" s="19" t="s">
        <v>2746</v>
      </c>
      <c r="AM212" s="37" t="s">
        <v>2747</v>
      </c>
      <c r="AN212" s="37" t="s">
        <v>2748</v>
      </c>
      <c r="AO212" s="24" t="s">
        <v>3034</v>
      </c>
      <c r="AP212" s="19" t="s">
        <v>3035</v>
      </c>
      <c r="AQ212" s="38" t="s">
        <v>3036</v>
      </c>
      <c r="AR212" s="18" t="s">
        <v>2909</v>
      </c>
      <c r="AS212" s="94" t="s">
        <v>2908</v>
      </c>
    </row>
    <row r="213" spans="1:45" s="14" customFormat="1" x14ac:dyDescent="0.2">
      <c r="A213" s="14" t="s">
        <v>510</v>
      </c>
      <c r="B213" s="127"/>
      <c r="C213" s="33" t="s">
        <v>1016</v>
      </c>
      <c r="D213" s="33" t="s">
        <v>1740</v>
      </c>
      <c r="E213" s="16" t="s">
        <v>1541</v>
      </c>
      <c r="F213" s="15" t="s">
        <v>1858</v>
      </c>
      <c r="G213" s="15" t="s">
        <v>2547</v>
      </c>
      <c r="H213" s="77">
        <v>7331423008025</v>
      </c>
      <c r="I213" s="77">
        <v>7331423100415</v>
      </c>
      <c r="J213" s="77">
        <v>7331423200641</v>
      </c>
      <c r="K213" s="77">
        <v>17331423200648</v>
      </c>
      <c r="L213" s="27" t="s">
        <v>568</v>
      </c>
      <c r="M213" s="27" t="s">
        <v>977</v>
      </c>
      <c r="N213" s="514"/>
      <c r="O213" s="514">
        <f>IF($C213="","",VLOOKUP($C213,'2017 Pricelist'!$C:$I,7,FALSE))</f>
        <v>9.99</v>
      </c>
      <c r="P213" s="35">
        <v>6</v>
      </c>
      <c r="Q213" s="187">
        <v>72</v>
      </c>
      <c r="R213" s="33">
        <f t="shared" si="92"/>
        <v>8.8184904873951031E-2</v>
      </c>
      <c r="S213" s="33">
        <v>2.8</v>
      </c>
      <c r="T213" s="33">
        <v>2.8</v>
      </c>
      <c r="U213" s="70">
        <v>1.2</v>
      </c>
      <c r="V213" s="44">
        <f t="shared" si="93"/>
        <v>0.12125424420168267</v>
      </c>
      <c r="W213" s="33">
        <v>4</v>
      </c>
      <c r="X213" s="33">
        <v>1</v>
      </c>
      <c r="Y213" s="70">
        <v>7.8125</v>
      </c>
      <c r="Z213" s="44">
        <f t="shared" si="94"/>
        <v>0.87082593563026645</v>
      </c>
      <c r="AA213" s="33">
        <v>4.125</v>
      </c>
      <c r="AB213" s="33">
        <v>4.6875</v>
      </c>
      <c r="AC213" s="70">
        <v>8.5</v>
      </c>
      <c r="AD213" s="44">
        <v>18.2</v>
      </c>
      <c r="AE213" s="33">
        <v>14.25</v>
      </c>
      <c r="AF213" s="33">
        <v>8.875</v>
      </c>
      <c r="AG213" s="70">
        <v>17.5</v>
      </c>
      <c r="AH213" s="42">
        <f t="shared" si="95"/>
        <v>1.2807888454861112</v>
      </c>
      <c r="AI213" s="24" t="s">
        <v>2743</v>
      </c>
      <c r="AJ213" s="18" t="s">
        <v>2744</v>
      </c>
      <c r="AK213" s="19" t="s">
        <v>2745</v>
      </c>
      <c r="AL213" s="19" t="s">
        <v>2746</v>
      </c>
      <c r="AM213" s="37" t="s">
        <v>2747</v>
      </c>
      <c r="AN213" s="37" t="s">
        <v>2748</v>
      </c>
      <c r="AO213" s="24" t="s">
        <v>3034</v>
      </c>
      <c r="AP213" s="19" t="s">
        <v>3035</v>
      </c>
      <c r="AQ213" s="38" t="s">
        <v>3036</v>
      </c>
      <c r="AR213" s="18" t="s">
        <v>2909</v>
      </c>
      <c r="AS213" s="94" t="s">
        <v>2908</v>
      </c>
    </row>
    <row r="214" spans="1:45" s="18" customFormat="1" x14ac:dyDescent="0.2">
      <c r="B214" s="125"/>
      <c r="C214" s="33"/>
      <c r="D214" s="33" t="s">
        <v>529</v>
      </c>
      <c r="E214" s="19"/>
      <c r="F214" s="33"/>
      <c r="G214" s="33"/>
      <c r="H214" s="77"/>
      <c r="I214" s="77"/>
      <c r="J214" s="77"/>
      <c r="K214" s="77"/>
      <c r="L214" s="36"/>
      <c r="M214" s="36"/>
      <c r="N214" s="5"/>
      <c r="O214" s="514" t="str">
        <f>IF($C214="","",VLOOKUP($C214,'2017 Pricelist'!$C:$I,7,FALSE))</f>
        <v/>
      </c>
      <c r="P214" s="35"/>
      <c r="Q214" s="187"/>
      <c r="R214" s="33"/>
      <c r="S214" s="33"/>
      <c r="T214" s="33"/>
      <c r="U214" s="70"/>
      <c r="V214" s="44"/>
      <c r="W214" s="33"/>
      <c r="X214" s="33"/>
      <c r="Y214" s="70"/>
      <c r="Z214" s="44"/>
      <c r="AA214" s="33"/>
      <c r="AB214" s="33"/>
      <c r="AC214" s="70"/>
      <c r="AD214" s="44"/>
      <c r="AE214" s="33"/>
      <c r="AF214" s="33"/>
      <c r="AG214" s="70"/>
      <c r="AH214" s="44"/>
      <c r="AI214" s="37"/>
      <c r="AJ214" s="37"/>
      <c r="AK214" s="37"/>
      <c r="AQ214" s="196"/>
      <c r="AR214" s="94"/>
    </row>
    <row r="215" spans="1:45" s="215" customFormat="1" ht="15.75" x14ac:dyDescent="0.25">
      <c r="A215" s="105" t="s">
        <v>3298</v>
      </c>
      <c r="B215" s="318"/>
      <c r="C215" s="259"/>
      <c r="D215" s="33" t="s">
        <v>529</v>
      </c>
      <c r="H215" s="261"/>
      <c r="I215" s="261"/>
      <c r="J215" s="261"/>
      <c r="K215" s="261"/>
      <c r="M215" s="261"/>
      <c r="O215" s="514" t="str">
        <f>IF($C215="","",VLOOKUP($C215,'2017 Pricelist'!$C:$I,7,FALSE))</f>
        <v/>
      </c>
      <c r="Q215" s="236"/>
      <c r="R215" s="244"/>
      <c r="S215" s="244"/>
      <c r="T215" s="244"/>
      <c r="U215" s="245"/>
      <c r="V215" s="210"/>
      <c r="W215" s="205"/>
      <c r="X215" s="205"/>
      <c r="Y215" s="211"/>
      <c r="Z215" s="210"/>
      <c r="AA215" s="205"/>
      <c r="AB215" s="205"/>
      <c r="AC215" s="211"/>
      <c r="AD215" s="210"/>
      <c r="AE215" s="205"/>
      <c r="AF215" s="205"/>
      <c r="AG215" s="211"/>
      <c r="AH215" s="44"/>
    </row>
    <row r="216" spans="1:45" s="14" customFormat="1" ht="14.25" x14ac:dyDescent="0.2">
      <c r="A216" s="14" t="s">
        <v>510</v>
      </c>
      <c r="B216" s="125"/>
      <c r="C216" s="33" t="s">
        <v>3297</v>
      </c>
      <c r="D216" s="33" t="s">
        <v>370</v>
      </c>
      <c r="E216" s="16" t="s">
        <v>2890</v>
      </c>
      <c r="F216" s="33" t="s">
        <v>2892</v>
      </c>
      <c r="G216" s="33" t="s">
        <v>2558</v>
      </c>
      <c r="H216" s="36" t="s">
        <v>2893</v>
      </c>
      <c r="I216" s="36"/>
      <c r="J216" s="36"/>
      <c r="K216" s="36"/>
      <c r="L216" s="36" t="s">
        <v>568</v>
      </c>
      <c r="M216" s="27" t="s">
        <v>977</v>
      </c>
      <c r="N216" s="514"/>
      <c r="O216" s="514">
        <f>IF($C216="","",VLOOKUP($C216,'2017 Pricelist'!$C:$I,7,FALSE))</f>
        <v>29.990000000000002</v>
      </c>
      <c r="P216" s="123">
        <v>1</v>
      </c>
      <c r="Q216" s="188">
        <v>12</v>
      </c>
      <c r="R216" s="120">
        <f>CONVERT(381,"g","lbm")</f>
        <v>0.83996121892438358</v>
      </c>
      <c r="S216" s="121"/>
      <c r="T216" s="121"/>
      <c r="U216" s="122"/>
      <c r="V216" s="120">
        <f>CONVERT(436,"g","lbm")</f>
        <v>0.96121546312606621</v>
      </c>
      <c r="W216" s="121">
        <f>CONVERT(92,"mm","in")</f>
        <v>3.6220472440944884</v>
      </c>
      <c r="X216" s="121">
        <f>CONVERT(95,"mm","in")</f>
        <v>3.7401574803149606</v>
      </c>
      <c r="Y216" s="122">
        <f>CONVERT(288,"mm","in")</f>
        <v>11.338582677165354</v>
      </c>
      <c r="Z216" s="120"/>
      <c r="AA216" s="121"/>
      <c r="AB216" s="121"/>
      <c r="AC216" s="122"/>
      <c r="AD216" s="120">
        <f>CONVERT(5632,"g","lbm")</f>
        <v>12.416434606252304</v>
      </c>
      <c r="AE216" s="121">
        <f>CONVERT(295,"mm","in")</f>
        <v>11.614173228346457</v>
      </c>
      <c r="AF216" s="121">
        <f>CONVERT(380,"mm","in")</f>
        <v>14.960629921259843</v>
      </c>
      <c r="AG216" s="122">
        <f>CONVERT(300,"mm","in")</f>
        <v>11.811023622047244</v>
      </c>
      <c r="AH216" s="44">
        <f>AE216*AF216*AG216/(12^3)</f>
        <v>1.1876322418436613</v>
      </c>
      <c r="AI216" s="18" t="s">
        <v>3048</v>
      </c>
      <c r="AJ216" s="18" t="s">
        <v>3049</v>
      </c>
      <c r="AK216" s="18" t="s">
        <v>3050</v>
      </c>
      <c r="AL216" s="18" t="s">
        <v>3051</v>
      </c>
      <c r="AM216" s="18" t="s">
        <v>3052</v>
      </c>
      <c r="AN216" s="18" t="s">
        <v>3046</v>
      </c>
      <c r="AO216" s="18" t="s">
        <v>3054</v>
      </c>
      <c r="AP216" s="18" t="s">
        <v>3053</v>
      </c>
      <c r="AQ216" s="204" t="s">
        <v>3047</v>
      </c>
      <c r="AR216" s="18" t="s">
        <v>2909</v>
      </c>
      <c r="AS216" s="94" t="s">
        <v>2908</v>
      </c>
    </row>
    <row r="217" spans="1:45" s="14" customFormat="1" ht="14.25" x14ac:dyDescent="0.2">
      <c r="A217" s="14" t="s">
        <v>510</v>
      </c>
      <c r="B217" s="125"/>
      <c r="C217" s="33" t="s">
        <v>3297</v>
      </c>
      <c r="D217" s="33" t="s">
        <v>373</v>
      </c>
      <c r="E217" s="16" t="s">
        <v>2890</v>
      </c>
      <c r="F217" s="33" t="s">
        <v>3711</v>
      </c>
      <c r="G217" s="33" t="s">
        <v>2558</v>
      </c>
      <c r="H217" s="36" t="s">
        <v>2894</v>
      </c>
      <c r="I217" s="36"/>
      <c r="J217" s="36"/>
      <c r="K217" s="36"/>
      <c r="L217" s="36" t="s">
        <v>568</v>
      </c>
      <c r="M217" s="27" t="s">
        <v>977</v>
      </c>
      <c r="N217" s="514"/>
      <c r="O217" s="514">
        <f>IF($C217="","",VLOOKUP($C217,'2017 Pricelist'!$C:$I,7,FALSE))</f>
        <v>29.990000000000002</v>
      </c>
      <c r="P217" s="123">
        <v>1</v>
      </c>
      <c r="Q217" s="188">
        <v>12</v>
      </c>
      <c r="R217" s="120">
        <f t="shared" ref="R217:R218" si="96">CONVERT(381,"g","lbm")</f>
        <v>0.83996121892438358</v>
      </c>
      <c r="S217" s="121"/>
      <c r="T217" s="121"/>
      <c r="U217" s="122"/>
      <c r="V217" s="120">
        <f>CONVERT(436,"g","lbm")</f>
        <v>0.96121546312606621</v>
      </c>
      <c r="W217" s="121">
        <f>CONVERT(92,"mm","in")</f>
        <v>3.6220472440944884</v>
      </c>
      <c r="X217" s="121">
        <f>CONVERT(95,"mm","in")</f>
        <v>3.7401574803149606</v>
      </c>
      <c r="Y217" s="122">
        <f>CONVERT(288,"mm","in")</f>
        <v>11.338582677165354</v>
      </c>
      <c r="Z217" s="120"/>
      <c r="AA217" s="121"/>
      <c r="AB217" s="121"/>
      <c r="AC217" s="122"/>
      <c r="AD217" s="120">
        <f>CONVERT(5632,"g","lbm")</f>
        <v>12.416434606252304</v>
      </c>
      <c r="AE217" s="121">
        <f>CONVERT(295,"mm","in")</f>
        <v>11.614173228346457</v>
      </c>
      <c r="AF217" s="121">
        <f>CONVERT(380,"mm","in")</f>
        <v>14.960629921259843</v>
      </c>
      <c r="AG217" s="122">
        <f>CONVERT(300,"mm","in")</f>
        <v>11.811023622047244</v>
      </c>
      <c r="AH217" s="44">
        <f>AE217*AF217*AG217/(12^3)</f>
        <v>1.1876322418436613</v>
      </c>
      <c r="AI217" s="18" t="s">
        <v>3048</v>
      </c>
      <c r="AJ217" s="18" t="s">
        <v>3049</v>
      </c>
      <c r="AK217" s="18" t="s">
        <v>3050</v>
      </c>
      <c r="AL217" s="18" t="s">
        <v>3051</v>
      </c>
      <c r="AM217" s="18" t="s">
        <v>3052</v>
      </c>
      <c r="AN217" s="18" t="s">
        <v>3046</v>
      </c>
      <c r="AO217" s="18" t="s">
        <v>3054</v>
      </c>
      <c r="AP217" s="18" t="s">
        <v>3053</v>
      </c>
      <c r="AQ217" s="204" t="s">
        <v>3047</v>
      </c>
      <c r="AR217" s="18" t="s">
        <v>2909</v>
      </c>
      <c r="AS217" s="94" t="s">
        <v>2908</v>
      </c>
    </row>
    <row r="218" spans="1:45" s="14" customFormat="1" ht="14.25" x14ac:dyDescent="0.2">
      <c r="A218" s="14" t="s">
        <v>510</v>
      </c>
      <c r="B218" s="125"/>
      <c r="C218" s="33" t="s">
        <v>3297</v>
      </c>
      <c r="D218" s="33" t="s">
        <v>3762</v>
      </c>
      <c r="E218" s="16" t="s">
        <v>2890</v>
      </c>
      <c r="F218" s="33" t="s">
        <v>3345</v>
      </c>
      <c r="G218" s="33" t="s">
        <v>2558</v>
      </c>
      <c r="H218" s="36" t="s">
        <v>2895</v>
      </c>
      <c r="I218" s="36"/>
      <c r="J218" s="36"/>
      <c r="K218" s="36"/>
      <c r="L218" s="36" t="s">
        <v>568</v>
      </c>
      <c r="M218" s="27" t="s">
        <v>977</v>
      </c>
      <c r="N218" s="514"/>
      <c r="O218" s="514">
        <f>IF($C218="","",VLOOKUP($C218,'2017 Pricelist'!$C:$I,7,FALSE))</f>
        <v>29.990000000000002</v>
      </c>
      <c r="P218" s="123">
        <v>1</v>
      </c>
      <c r="Q218" s="188">
        <v>12</v>
      </c>
      <c r="R218" s="120">
        <f t="shared" si="96"/>
        <v>0.83996121892438358</v>
      </c>
      <c r="S218" s="121"/>
      <c r="T218" s="121"/>
      <c r="U218" s="122"/>
      <c r="V218" s="120">
        <f>CONVERT(436,"g","lbm")</f>
        <v>0.96121546312606621</v>
      </c>
      <c r="W218" s="121">
        <f>CONVERT(92,"mm","in")</f>
        <v>3.6220472440944884</v>
      </c>
      <c r="X218" s="121">
        <f>CONVERT(95,"mm","in")</f>
        <v>3.7401574803149606</v>
      </c>
      <c r="Y218" s="122">
        <f>CONVERT(288,"mm","in")</f>
        <v>11.338582677165354</v>
      </c>
      <c r="Z218" s="120"/>
      <c r="AA218" s="121"/>
      <c r="AB218" s="121"/>
      <c r="AC218" s="122"/>
      <c r="AD218" s="120">
        <f>CONVERT(5632,"g","lbm")</f>
        <v>12.416434606252304</v>
      </c>
      <c r="AE218" s="121">
        <f>CONVERT(295,"mm","in")</f>
        <v>11.614173228346457</v>
      </c>
      <c r="AF218" s="121">
        <f>CONVERT(380,"mm","in")</f>
        <v>14.960629921259843</v>
      </c>
      <c r="AG218" s="122">
        <f>CONVERT(300,"mm","in")</f>
        <v>11.811023622047244</v>
      </c>
      <c r="AH218" s="44">
        <f>AE218*AF218*AG218/(12^3)</f>
        <v>1.1876322418436613</v>
      </c>
      <c r="AI218" s="18" t="s">
        <v>3048</v>
      </c>
      <c r="AJ218" s="18" t="s">
        <v>3049</v>
      </c>
      <c r="AK218" s="18" t="s">
        <v>3050</v>
      </c>
      <c r="AL218" s="18" t="s">
        <v>3051</v>
      </c>
      <c r="AM218" s="18" t="s">
        <v>3052</v>
      </c>
      <c r="AN218" s="18" t="s">
        <v>3046</v>
      </c>
      <c r="AO218" s="18" t="s">
        <v>3054</v>
      </c>
      <c r="AP218" s="18" t="s">
        <v>3053</v>
      </c>
      <c r="AQ218" s="204" t="s">
        <v>3047</v>
      </c>
      <c r="AR218" s="18" t="s">
        <v>2909</v>
      </c>
      <c r="AS218" s="94" t="s">
        <v>2908</v>
      </c>
    </row>
    <row r="219" spans="1:45" s="18" customFormat="1" x14ac:dyDescent="0.2">
      <c r="B219" s="125"/>
      <c r="C219" s="33"/>
      <c r="D219" s="33" t="s">
        <v>529</v>
      </c>
      <c r="E219" s="19"/>
      <c r="F219" s="33"/>
      <c r="G219" s="33"/>
      <c r="H219" s="77"/>
      <c r="I219" s="77"/>
      <c r="J219" s="77"/>
      <c r="K219" s="77"/>
      <c r="L219" s="36"/>
      <c r="M219" s="36"/>
      <c r="N219" s="5"/>
      <c r="O219" s="5"/>
      <c r="P219" s="35"/>
      <c r="Q219" s="187"/>
      <c r="R219" s="33"/>
      <c r="S219" s="33"/>
      <c r="T219" s="33"/>
      <c r="U219" s="70"/>
      <c r="V219" s="44"/>
      <c r="W219" s="33"/>
      <c r="X219" s="33"/>
      <c r="Y219" s="70"/>
      <c r="Z219" s="44"/>
      <c r="AA219" s="33"/>
      <c r="AB219" s="33"/>
      <c r="AC219" s="70"/>
      <c r="AD219" s="44"/>
      <c r="AE219" s="33"/>
      <c r="AF219" s="33"/>
      <c r="AG219" s="70"/>
      <c r="AH219" s="44"/>
      <c r="AI219" s="37"/>
      <c r="AJ219" s="37"/>
      <c r="AK219" s="37"/>
      <c r="AQ219" s="196"/>
      <c r="AR219" s="94"/>
    </row>
    <row r="220" spans="1:45" s="215" customFormat="1" ht="15.75" x14ac:dyDescent="0.25">
      <c r="A220" s="105" t="s">
        <v>1919</v>
      </c>
      <c r="B220" s="318"/>
      <c r="C220" s="259"/>
      <c r="D220" s="33" t="s">
        <v>529</v>
      </c>
      <c r="H220" s="261"/>
      <c r="I220" s="261"/>
      <c r="J220" s="261"/>
      <c r="K220" s="261"/>
      <c r="M220" s="261"/>
      <c r="Q220" s="236"/>
      <c r="R220" s="244"/>
      <c r="S220" s="244"/>
      <c r="T220" s="244"/>
      <c r="U220" s="245"/>
      <c r="V220" s="210"/>
      <c r="W220" s="205"/>
      <c r="X220" s="205"/>
      <c r="Y220" s="211"/>
      <c r="Z220" s="210"/>
      <c r="AA220" s="205"/>
      <c r="AB220" s="205"/>
      <c r="AC220" s="211"/>
      <c r="AD220" s="210"/>
      <c r="AE220" s="205"/>
      <c r="AF220" s="205"/>
      <c r="AG220" s="211"/>
      <c r="AH220" s="44"/>
    </row>
    <row r="221" spans="1:45" x14ac:dyDescent="0.2">
      <c r="A221" s="14" t="s">
        <v>510</v>
      </c>
      <c r="B221" s="127"/>
      <c r="C221" s="104" t="s">
        <v>1925</v>
      </c>
      <c r="D221" s="15" t="s">
        <v>529</v>
      </c>
      <c r="E221" s="67" t="s">
        <v>2872</v>
      </c>
      <c r="F221" s="18" t="s">
        <v>2831</v>
      </c>
      <c r="G221" s="20" t="s">
        <v>2522</v>
      </c>
      <c r="H221" s="108">
        <v>7331423009923</v>
      </c>
      <c r="I221" s="109">
        <v>7331423100491</v>
      </c>
      <c r="J221" s="109">
        <v>7331423201907</v>
      </c>
      <c r="K221" s="109">
        <v>17331423202017</v>
      </c>
      <c r="L221" s="27" t="s">
        <v>568</v>
      </c>
      <c r="M221" s="10" t="s">
        <v>977</v>
      </c>
      <c r="N221" s="514"/>
      <c r="O221" s="514">
        <f>IF($C221="","",VLOOKUP($C221,'2017 Pricelist'!$C:$I,7,FALSE))</f>
        <v>7.99</v>
      </c>
      <c r="P221" s="35">
        <v>36</v>
      </c>
      <c r="Q221" s="237">
        <f>36*6</f>
        <v>216</v>
      </c>
      <c r="R221" s="44">
        <v>0.1</v>
      </c>
      <c r="S221" s="33">
        <v>2.5625</v>
      </c>
      <c r="T221" s="33">
        <v>1.25</v>
      </c>
      <c r="U221" s="70">
        <v>8.3125</v>
      </c>
      <c r="V221" s="44">
        <f>CONVERT(1025,"g","lbm")</f>
        <v>2.2597381873949951</v>
      </c>
      <c r="W221" s="33">
        <v>9.25</v>
      </c>
      <c r="X221" s="33">
        <v>5.875</v>
      </c>
      <c r="Y221" s="70">
        <v>7</v>
      </c>
      <c r="Z221" s="44" t="s">
        <v>259</v>
      </c>
      <c r="AA221" s="33" t="s">
        <v>259</v>
      </c>
      <c r="AB221" s="33" t="s">
        <v>259</v>
      </c>
      <c r="AC221" s="70" t="s">
        <v>259</v>
      </c>
      <c r="AD221" s="44">
        <v>14.2</v>
      </c>
      <c r="AE221" s="33">
        <v>12.25</v>
      </c>
      <c r="AF221" s="33">
        <v>9.625</v>
      </c>
      <c r="AG221" s="70">
        <v>12</v>
      </c>
      <c r="AH221" s="44">
        <f t="shared" ref="AH221:AH227" si="97">AE221*AF221*AG221/(12^3)</f>
        <v>0.81879340277777779</v>
      </c>
      <c r="AI221" s="37" t="s">
        <v>3039</v>
      </c>
      <c r="AJ221" s="18" t="s">
        <v>2987</v>
      </c>
      <c r="AK221" s="37" t="s">
        <v>1849</v>
      </c>
      <c r="AL221" s="37" t="s">
        <v>2988</v>
      </c>
      <c r="AM221" s="37" t="s">
        <v>2961</v>
      </c>
      <c r="AN221" s="37" t="s">
        <v>1635</v>
      </c>
      <c r="AO221" s="37" t="s">
        <v>2962</v>
      </c>
      <c r="AP221" s="37" t="s">
        <v>2989</v>
      </c>
      <c r="AQ221" s="12" t="s">
        <v>2990</v>
      </c>
      <c r="AR221" s="18" t="s">
        <v>2909</v>
      </c>
      <c r="AS221" s="94" t="s">
        <v>2908</v>
      </c>
    </row>
    <row r="222" spans="1:45" x14ac:dyDescent="0.2">
      <c r="A222" s="14" t="s">
        <v>510</v>
      </c>
      <c r="B222" s="127"/>
      <c r="C222" s="216" t="s">
        <v>1926</v>
      </c>
      <c r="D222" s="15" t="s">
        <v>529</v>
      </c>
      <c r="E222" s="67" t="s">
        <v>2873</v>
      </c>
      <c r="F222" s="20" t="s">
        <v>1114</v>
      </c>
      <c r="G222" s="20" t="s">
        <v>2522</v>
      </c>
      <c r="H222" s="108">
        <v>7331423001668</v>
      </c>
      <c r="I222" s="109">
        <v>7331423100583</v>
      </c>
      <c r="J222" s="109">
        <v>7331423202195</v>
      </c>
      <c r="K222" s="109">
        <v>17331423202024</v>
      </c>
      <c r="L222" s="27" t="s">
        <v>2789</v>
      </c>
      <c r="M222" s="10" t="s">
        <v>975</v>
      </c>
      <c r="N222" s="514"/>
      <c r="O222" s="514">
        <f>IF($C222="","",VLOOKUP($C222,'2017 Pricelist'!$C:$I,7,FALSE))</f>
        <v>16.989999999999998</v>
      </c>
      <c r="P222" s="37">
        <v>18</v>
      </c>
      <c r="Q222" s="237">
        <f>18*4</f>
        <v>72</v>
      </c>
      <c r="R222" s="44">
        <v>7.0000000000000007E-2</v>
      </c>
      <c r="S222" s="33">
        <v>2.5</v>
      </c>
      <c r="T222" s="33">
        <v>1</v>
      </c>
      <c r="U222" s="70">
        <v>7.625</v>
      </c>
      <c r="V222" s="44">
        <v>2.8</v>
      </c>
      <c r="W222" s="33">
        <v>9.6</v>
      </c>
      <c r="X222" s="33">
        <v>8.6999999999999993</v>
      </c>
      <c r="Y222" s="70">
        <v>9.4</v>
      </c>
      <c r="Z222" s="44" t="s">
        <v>259</v>
      </c>
      <c r="AA222" s="33" t="s">
        <v>259</v>
      </c>
      <c r="AB222" s="33" t="s">
        <v>259</v>
      </c>
      <c r="AC222" s="70" t="s">
        <v>259</v>
      </c>
      <c r="AD222" s="44">
        <v>13.5</v>
      </c>
      <c r="AE222" s="33">
        <v>15.75</v>
      </c>
      <c r="AF222" s="33">
        <v>20.5</v>
      </c>
      <c r="AG222" s="70">
        <v>11.5</v>
      </c>
      <c r="AH222" s="44">
        <f t="shared" si="97"/>
        <v>2.1487630208333335</v>
      </c>
      <c r="AI222" s="37" t="s">
        <v>3041</v>
      </c>
      <c r="AJ222" s="12" t="s">
        <v>62</v>
      </c>
      <c r="AK222" s="241" t="s">
        <v>2949</v>
      </c>
      <c r="AL222" s="241" t="s">
        <v>2950</v>
      </c>
      <c r="AM222" s="12" t="s">
        <v>2951</v>
      </c>
      <c r="AN222" s="241" t="s">
        <v>2952</v>
      </c>
      <c r="AO222" s="37" t="s">
        <v>3040</v>
      </c>
      <c r="AP222" s="12" t="s">
        <v>2954</v>
      </c>
      <c r="AQ222" s="12" t="s">
        <v>2955</v>
      </c>
      <c r="AR222" s="94" t="s">
        <v>2908</v>
      </c>
    </row>
    <row r="223" spans="1:45" x14ac:dyDescent="0.2">
      <c r="A223" s="14" t="s">
        <v>510</v>
      </c>
      <c r="B223" s="127"/>
      <c r="C223" s="216" t="s">
        <v>1927</v>
      </c>
      <c r="D223" s="15"/>
      <c r="E223" s="67" t="s">
        <v>2874</v>
      </c>
      <c r="F223" s="33" t="s">
        <v>2776</v>
      </c>
      <c r="G223" s="20" t="s">
        <v>2522</v>
      </c>
      <c r="H223" s="109">
        <v>7331423009916</v>
      </c>
      <c r="I223" s="109">
        <v>7331423100590</v>
      </c>
      <c r="J223" s="109">
        <v>7331423201174</v>
      </c>
      <c r="K223" s="109">
        <v>17331423202031</v>
      </c>
      <c r="L223" s="27" t="s">
        <v>568</v>
      </c>
      <c r="M223" s="10" t="s">
        <v>977</v>
      </c>
      <c r="N223" s="514"/>
      <c r="O223" s="514">
        <f>IF($C223="","",VLOOKUP($C223,'2017 Pricelist'!$C:$I,7,FALSE))</f>
        <v>2.99</v>
      </c>
      <c r="P223" s="35">
        <v>120</v>
      </c>
      <c r="Q223" s="237">
        <f>120*6</f>
        <v>720</v>
      </c>
      <c r="R223" s="99">
        <f>CONVERT(10,"g","lbm")</f>
        <v>2.2046226218487758E-2</v>
      </c>
      <c r="S223" s="100">
        <v>6.5</v>
      </c>
      <c r="T223" s="100">
        <v>1.375</v>
      </c>
      <c r="U223" s="101">
        <v>0.75</v>
      </c>
      <c r="V223" s="44">
        <v>3.2</v>
      </c>
      <c r="W223" s="33">
        <v>10.5</v>
      </c>
      <c r="X223" s="33">
        <v>6.75</v>
      </c>
      <c r="Y223" s="70">
        <v>8.3125</v>
      </c>
      <c r="Z223" s="44" t="s">
        <v>259</v>
      </c>
      <c r="AA223" s="33" t="s">
        <v>259</v>
      </c>
      <c r="AB223" s="33" t="s">
        <v>259</v>
      </c>
      <c r="AC223" s="70" t="s">
        <v>259</v>
      </c>
      <c r="AD223" s="44">
        <v>20.05</v>
      </c>
      <c r="AE223" s="33">
        <v>14.25</v>
      </c>
      <c r="AF223" s="33">
        <v>11</v>
      </c>
      <c r="AG223" s="70">
        <v>14.25</v>
      </c>
      <c r="AH223" s="44">
        <f t="shared" si="97"/>
        <v>1.2926432291666667</v>
      </c>
      <c r="AI223" s="37" t="s">
        <v>3042</v>
      </c>
      <c r="AJ223" s="37" t="s">
        <v>2959</v>
      </c>
      <c r="AK223" s="37" t="s">
        <v>1849</v>
      </c>
      <c r="AL223" s="37" t="s">
        <v>2960</v>
      </c>
      <c r="AM223" s="37" t="s">
        <v>2961</v>
      </c>
      <c r="AN223" s="37" t="s">
        <v>1635</v>
      </c>
      <c r="AO223" s="37" t="s">
        <v>2962</v>
      </c>
      <c r="AP223" s="37" t="s">
        <v>2963</v>
      </c>
      <c r="AQ223" s="37" t="s">
        <v>481</v>
      </c>
      <c r="AR223" s="18" t="s">
        <v>2909</v>
      </c>
      <c r="AS223" s="94" t="s">
        <v>2908</v>
      </c>
    </row>
    <row r="224" spans="1:45" x14ac:dyDescent="0.2">
      <c r="A224" s="14" t="s">
        <v>510</v>
      </c>
      <c r="B224" s="127"/>
      <c r="C224" s="216" t="s">
        <v>1922</v>
      </c>
      <c r="D224" s="15"/>
      <c r="E224" s="67" t="s">
        <v>2875</v>
      </c>
      <c r="F224" s="33" t="s">
        <v>2776</v>
      </c>
      <c r="G224" s="20" t="s">
        <v>2522</v>
      </c>
      <c r="H224" s="108">
        <v>7331423009862</v>
      </c>
      <c r="I224" s="109">
        <v>7331423100392</v>
      </c>
      <c r="J224" s="109">
        <v>7331423200948</v>
      </c>
      <c r="K224" s="109">
        <v>17331423201980</v>
      </c>
      <c r="L224" s="27" t="s">
        <v>1044</v>
      </c>
      <c r="M224" s="10" t="s">
        <v>977</v>
      </c>
      <c r="N224" s="514"/>
      <c r="O224" s="7">
        <v>4.99</v>
      </c>
      <c r="P224" s="37">
        <v>24</v>
      </c>
      <c r="Q224" s="237">
        <f>24*6</f>
        <v>144</v>
      </c>
      <c r="R224" s="44">
        <f>CONVERT(18,"g","lbm")</f>
        <v>3.9683207193277961E-2</v>
      </c>
      <c r="S224" s="33">
        <v>1.9</v>
      </c>
      <c r="T224" s="33">
        <v>0.8</v>
      </c>
      <c r="U224" s="70">
        <v>3.9</v>
      </c>
      <c r="V224" s="44">
        <f>CONVERT(595,"g","lbm")</f>
        <v>1.3117504600000216</v>
      </c>
      <c r="W224" s="33">
        <v>10.5</v>
      </c>
      <c r="X224" s="33">
        <v>6.875</v>
      </c>
      <c r="Y224" s="70">
        <v>8.25</v>
      </c>
      <c r="Z224" s="44" t="s">
        <v>259</v>
      </c>
      <c r="AA224" s="33" t="s">
        <v>259</v>
      </c>
      <c r="AB224" s="33" t="s">
        <v>259</v>
      </c>
      <c r="AC224" s="70" t="s">
        <v>259</v>
      </c>
      <c r="AD224" s="44">
        <v>8.5500000000000007</v>
      </c>
      <c r="AE224" s="33">
        <v>14.5</v>
      </c>
      <c r="AF224" s="33">
        <v>10.875</v>
      </c>
      <c r="AG224" s="70">
        <v>14.375</v>
      </c>
      <c r="AH224" s="44">
        <f t="shared" si="97"/>
        <v>1.3117811414930556</v>
      </c>
      <c r="AI224" s="37" t="s">
        <v>3043</v>
      </c>
      <c r="AJ224" s="37" t="s">
        <v>1854</v>
      </c>
      <c r="AK224" s="37" t="s">
        <v>1753</v>
      </c>
      <c r="AL224" s="37" t="s">
        <v>1855</v>
      </c>
      <c r="AM224" s="37" t="s">
        <v>1856</v>
      </c>
      <c r="AN224" s="37" t="s">
        <v>1857</v>
      </c>
      <c r="AO224" s="37" t="s">
        <v>2944</v>
      </c>
      <c r="AP224" s="37"/>
      <c r="AQ224" s="37" t="s">
        <v>2943</v>
      </c>
      <c r="AR224" s="18" t="s">
        <v>2909</v>
      </c>
      <c r="AS224" s="94" t="s">
        <v>2908</v>
      </c>
    </row>
    <row r="225" spans="1:45" x14ac:dyDescent="0.2">
      <c r="A225" s="14" t="s">
        <v>510</v>
      </c>
      <c r="B225" s="127"/>
      <c r="C225" s="216" t="s">
        <v>1920</v>
      </c>
      <c r="D225" s="15"/>
      <c r="E225" s="67" t="s">
        <v>2876</v>
      </c>
      <c r="F225" s="33" t="s">
        <v>2764</v>
      </c>
      <c r="G225" s="20" t="s">
        <v>2522</v>
      </c>
      <c r="H225" s="108">
        <v>7331423009893</v>
      </c>
      <c r="I225" s="109">
        <v>7331423100309</v>
      </c>
      <c r="J225" s="109">
        <v>7331423200832</v>
      </c>
      <c r="K225" s="109">
        <v>17331423201966</v>
      </c>
      <c r="L225" s="27" t="s">
        <v>1044</v>
      </c>
      <c r="M225" s="10" t="s">
        <v>977</v>
      </c>
      <c r="N225" s="514"/>
      <c r="O225" s="7">
        <v>14.99</v>
      </c>
      <c r="P225" s="35">
        <v>16</v>
      </c>
      <c r="Q225" s="237">
        <f>16*6</f>
        <v>96</v>
      </c>
      <c r="R225" s="33">
        <f>CONVERT(27,"g","lbm")</f>
        <v>5.9524810789916942E-2</v>
      </c>
      <c r="S225" s="33">
        <f>CONVERT(24,"mm","in")</f>
        <v>0.94488188976377963</v>
      </c>
      <c r="T225" s="33">
        <f>CONVERT(14,"mm","in")</f>
        <v>0.55118110236220474</v>
      </c>
      <c r="U225" s="70">
        <f>CONVERT(77,"mm","in")</f>
        <v>3.0314960629921264</v>
      </c>
      <c r="V225" s="44">
        <v>1.7</v>
      </c>
      <c r="W225" s="33">
        <v>9.375</v>
      </c>
      <c r="X225" s="33">
        <v>5.875</v>
      </c>
      <c r="Y225" s="70">
        <v>7.25</v>
      </c>
      <c r="Z225" s="44" t="s">
        <v>259</v>
      </c>
      <c r="AA225" s="33" t="s">
        <v>259</v>
      </c>
      <c r="AB225" s="33" t="s">
        <v>259</v>
      </c>
      <c r="AC225" s="70" t="s">
        <v>259</v>
      </c>
      <c r="AD225" s="44">
        <v>10.8</v>
      </c>
      <c r="AE225" s="33">
        <v>12.375</v>
      </c>
      <c r="AF225" s="33">
        <v>9.75</v>
      </c>
      <c r="AG225" s="70">
        <v>11.875</v>
      </c>
      <c r="AH225" s="44">
        <f t="shared" si="97"/>
        <v>0.82916259765625</v>
      </c>
      <c r="AI225" s="37" t="s">
        <v>3044</v>
      </c>
      <c r="AJ225" s="37" t="s">
        <v>2906</v>
      </c>
      <c r="AK225" s="37" t="s">
        <v>2916</v>
      </c>
      <c r="AL225" s="37" t="s">
        <v>2917</v>
      </c>
      <c r="AM225" s="18" t="s">
        <v>2918</v>
      </c>
      <c r="AN225" s="40" t="s">
        <v>2919</v>
      </c>
      <c r="AO225" s="40" t="s">
        <v>2920</v>
      </c>
      <c r="AP225" s="40" t="s">
        <v>2921</v>
      </c>
      <c r="AQ225" s="37" t="s">
        <v>2924</v>
      </c>
      <c r="AR225" s="18" t="s">
        <v>2909</v>
      </c>
      <c r="AS225" s="94" t="s">
        <v>2908</v>
      </c>
    </row>
    <row r="226" spans="1:45" s="37" customFormat="1" x14ac:dyDescent="0.2">
      <c r="A226" s="18" t="s">
        <v>510</v>
      </c>
      <c r="C226" s="37" t="s">
        <v>2868</v>
      </c>
      <c r="E226" s="37" t="s">
        <v>2880</v>
      </c>
      <c r="F226" s="33" t="s">
        <v>2764</v>
      </c>
      <c r="G226" s="37" t="s">
        <v>2522</v>
      </c>
      <c r="H226" s="109">
        <v>7331423010103</v>
      </c>
      <c r="I226" s="109">
        <v>7331423101702</v>
      </c>
      <c r="J226" s="109">
        <v>7331423202409</v>
      </c>
      <c r="K226" s="109">
        <v>17331423202482</v>
      </c>
      <c r="L226" s="36" t="s">
        <v>568</v>
      </c>
      <c r="M226" s="253" t="s">
        <v>977</v>
      </c>
      <c r="N226" s="514"/>
      <c r="O226" s="514">
        <f>IF($C226="","",VLOOKUP($C226,'2017 Pricelist'!$C:$I,7,FALSE))</f>
        <v>2.99</v>
      </c>
      <c r="P226" s="140">
        <v>80</v>
      </c>
      <c r="Q226" s="189"/>
      <c r="R226" s="99">
        <f>CONVERT(10,"g","lbm")</f>
        <v>2.2046226218487758E-2</v>
      </c>
      <c r="S226" s="100">
        <v>6.5</v>
      </c>
      <c r="T226" s="100">
        <v>1.375</v>
      </c>
      <c r="U226" s="101">
        <v>0.75</v>
      </c>
      <c r="V226" s="44">
        <f>CONVERT(0.0098,"kg","lbm")</f>
        <v>2.1605301694118003E-2</v>
      </c>
      <c r="W226" s="33">
        <f>CONVERT(37,"mm","in")</f>
        <v>1.4566929133858268</v>
      </c>
      <c r="X226" s="33">
        <f>CONVERT(15,"mm","in")</f>
        <v>0.59055118110236215</v>
      </c>
      <c r="Y226" s="70">
        <f>CONVERT(170,"mm","in")</f>
        <v>6.6929133858267713</v>
      </c>
      <c r="Z226" s="264"/>
      <c r="AA226" s="224"/>
      <c r="AB226" s="224"/>
      <c r="AC226" s="265"/>
      <c r="AD226" s="264"/>
      <c r="AE226" s="224"/>
      <c r="AF226" s="224"/>
      <c r="AG226" s="265"/>
      <c r="AH226" s="44">
        <f t="shared" si="97"/>
        <v>0</v>
      </c>
      <c r="AI226" s="37" t="s">
        <v>3045</v>
      </c>
      <c r="AJ226" s="37" t="s">
        <v>2959</v>
      </c>
      <c r="AK226" s="37" t="s">
        <v>1849</v>
      </c>
      <c r="AL226" s="37" t="s">
        <v>2960</v>
      </c>
      <c r="AM226" s="37" t="s">
        <v>2961</v>
      </c>
      <c r="AN226" s="37" t="s">
        <v>1635</v>
      </c>
      <c r="AO226" s="37" t="s">
        <v>2962</v>
      </c>
      <c r="AP226" s="37" t="s">
        <v>2963</v>
      </c>
      <c r="AQ226" s="37" t="s">
        <v>481</v>
      </c>
      <c r="AR226" s="18" t="s">
        <v>2909</v>
      </c>
      <c r="AS226" s="94" t="s">
        <v>2908</v>
      </c>
    </row>
    <row r="227" spans="1:45" s="37" customFormat="1" x14ac:dyDescent="0.2">
      <c r="A227" s="18" t="s">
        <v>510</v>
      </c>
      <c r="C227" s="37" t="s">
        <v>2869</v>
      </c>
      <c r="E227" s="37" t="s">
        <v>2880</v>
      </c>
      <c r="F227" s="33" t="s">
        <v>2881</v>
      </c>
      <c r="G227" s="37" t="s">
        <v>2522</v>
      </c>
      <c r="H227" s="109">
        <v>7331423010097</v>
      </c>
      <c r="I227" s="109">
        <v>7331423101696</v>
      </c>
      <c r="J227" s="109">
        <v>7331423202393</v>
      </c>
      <c r="K227" s="109">
        <v>17331423202475</v>
      </c>
      <c r="L227" s="36" t="s">
        <v>568</v>
      </c>
      <c r="M227" s="253" t="s">
        <v>977</v>
      </c>
      <c r="N227" s="514"/>
      <c r="O227" s="514">
        <f>IF($C227="","",VLOOKUP($C227,'2017 Pricelist'!$C:$I,7,FALSE))</f>
        <v>2.99</v>
      </c>
      <c r="P227" s="140">
        <v>80</v>
      </c>
      <c r="Q227" s="189"/>
      <c r="R227" s="99">
        <f>CONVERT(10,"g","lbm")</f>
        <v>2.2046226218487758E-2</v>
      </c>
      <c r="S227" s="100">
        <v>6.5</v>
      </c>
      <c r="T227" s="100">
        <v>1.375</v>
      </c>
      <c r="U227" s="101">
        <v>0.75</v>
      </c>
      <c r="V227" s="44">
        <f>CONVERT(0.0098,"kg","lbm")</f>
        <v>2.1605301694118003E-2</v>
      </c>
      <c r="W227" s="33">
        <f>CONVERT(37,"mm","in")</f>
        <v>1.4566929133858268</v>
      </c>
      <c r="X227" s="33">
        <f>CONVERT(15,"mm","in")</f>
        <v>0.59055118110236215</v>
      </c>
      <c r="Y227" s="70">
        <f>CONVERT(170,"mm","in")</f>
        <v>6.6929133858267713</v>
      </c>
      <c r="Z227" s="264"/>
      <c r="AA227" s="224"/>
      <c r="AB227" s="224"/>
      <c r="AC227" s="265"/>
      <c r="AD227" s="264"/>
      <c r="AE227" s="224"/>
      <c r="AF227" s="224"/>
      <c r="AG227" s="265"/>
      <c r="AH227" s="44">
        <f t="shared" si="97"/>
        <v>0</v>
      </c>
      <c r="AI227" s="37" t="s">
        <v>3045</v>
      </c>
      <c r="AJ227" s="37" t="s">
        <v>2959</v>
      </c>
      <c r="AK227" s="37" t="s">
        <v>1849</v>
      </c>
      <c r="AL227" s="37" t="s">
        <v>2960</v>
      </c>
      <c r="AM227" s="37" t="s">
        <v>2961</v>
      </c>
      <c r="AN227" s="37" t="s">
        <v>1635</v>
      </c>
      <c r="AO227" s="37" t="s">
        <v>2962</v>
      </c>
      <c r="AP227" s="37" t="s">
        <v>2963</v>
      </c>
      <c r="AQ227" s="37" t="s">
        <v>481</v>
      </c>
      <c r="AR227" s="18" t="s">
        <v>2909</v>
      </c>
      <c r="AS227" s="94" t="s">
        <v>2908</v>
      </c>
    </row>
    <row r="228" spans="1:45" s="37" customFormat="1" x14ac:dyDescent="0.2">
      <c r="A228" s="18"/>
      <c r="B228" s="125"/>
      <c r="C228" s="216"/>
      <c r="D228" s="33" t="s">
        <v>529</v>
      </c>
      <c r="E228" s="217"/>
      <c r="H228" s="109"/>
      <c r="I228" s="109"/>
      <c r="J228" s="109"/>
      <c r="K228" s="109"/>
      <c r="L228" s="36"/>
      <c r="M228" s="253"/>
      <c r="N228" s="218"/>
      <c r="O228" s="218"/>
      <c r="Q228" s="237"/>
      <c r="R228" s="139"/>
      <c r="S228" s="139"/>
      <c r="T228" s="139"/>
      <c r="U228" s="186"/>
      <c r="V228" s="44"/>
      <c r="W228" s="33"/>
      <c r="X228" s="33"/>
      <c r="Y228" s="70"/>
      <c r="Z228" s="44"/>
      <c r="AA228" s="33"/>
      <c r="AB228" s="33"/>
      <c r="AC228" s="70"/>
      <c r="AD228" s="44"/>
      <c r="AE228" s="33"/>
      <c r="AF228" s="33"/>
      <c r="AG228" s="70"/>
      <c r="AH228" s="44"/>
    </row>
    <row r="229" spans="1:45" s="215" customFormat="1" ht="15.75" x14ac:dyDescent="0.2">
      <c r="A229" s="351" t="s">
        <v>2761</v>
      </c>
      <c r="B229" s="351"/>
      <c r="C229" s="351"/>
      <c r="D229" s="205" t="s">
        <v>529</v>
      </c>
      <c r="E229" s="356"/>
      <c r="H229" s="260"/>
      <c r="I229" s="260"/>
      <c r="J229" s="260"/>
      <c r="K229" s="260"/>
      <c r="L229" s="207"/>
      <c r="M229" s="261"/>
      <c r="Q229" s="236"/>
      <c r="R229" s="244"/>
      <c r="S229" s="244"/>
      <c r="T229" s="244"/>
      <c r="U229" s="245"/>
      <c r="V229" s="210"/>
      <c r="W229" s="205"/>
      <c r="X229" s="205"/>
      <c r="Y229" s="211"/>
      <c r="Z229" s="210"/>
      <c r="AA229" s="205"/>
      <c r="AB229" s="205"/>
      <c r="AC229" s="211"/>
      <c r="AD229" s="210"/>
      <c r="AE229" s="205"/>
      <c r="AF229" s="205"/>
      <c r="AG229" s="211"/>
      <c r="AH229" s="44"/>
    </row>
    <row r="230" spans="1:45" x14ac:dyDescent="0.2">
      <c r="A230" s="14" t="s">
        <v>510</v>
      </c>
      <c r="B230" s="125"/>
      <c r="C230" s="216" t="s">
        <v>3801</v>
      </c>
      <c r="D230" s="15"/>
      <c r="E230" s="67" t="s">
        <v>3802</v>
      </c>
      <c r="F230" s="33"/>
      <c r="G230" s="20" t="s">
        <v>2522</v>
      </c>
      <c r="H230" s="109">
        <v>7331423009978</v>
      </c>
      <c r="I230" s="109"/>
      <c r="J230" s="109"/>
      <c r="K230" s="109"/>
      <c r="L230" s="27" t="s">
        <v>1044</v>
      </c>
      <c r="M230" s="10" t="s">
        <v>977</v>
      </c>
      <c r="N230" s="514"/>
      <c r="O230" s="514">
        <f>IF($C230="","",VLOOKUP($C230,'2017 Pricelist'!$C:$I,7,FALSE))</f>
        <v>14.99</v>
      </c>
      <c r="P230" s="35">
        <v>16</v>
      </c>
      <c r="Q230" s="237">
        <f>16*6</f>
        <v>96</v>
      </c>
      <c r="R230" s="33">
        <f>CONVERT(27,"g","lbm")</f>
        <v>5.9524810789916942E-2</v>
      </c>
      <c r="S230" s="33">
        <f>CONVERT(24,"mm","in")</f>
        <v>0.94488188976377963</v>
      </c>
      <c r="T230" s="33">
        <f>CONVERT(14,"mm","in")</f>
        <v>0.55118110236220474</v>
      </c>
      <c r="U230" s="70">
        <f>CONVERT(77,"mm","in")</f>
        <v>3.0314960629921264</v>
      </c>
      <c r="V230" s="44">
        <v>1.7</v>
      </c>
      <c r="W230" s="33">
        <v>9.375</v>
      </c>
      <c r="X230" s="33">
        <v>5.875</v>
      </c>
      <c r="Y230" s="70">
        <v>7.25</v>
      </c>
      <c r="Z230" s="44" t="s">
        <v>259</v>
      </c>
      <c r="AA230" s="33" t="s">
        <v>259</v>
      </c>
      <c r="AB230" s="33" t="s">
        <v>259</v>
      </c>
      <c r="AC230" s="70" t="s">
        <v>259</v>
      </c>
      <c r="AD230" s="44">
        <v>10.8</v>
      </c>
      <c r="AE230" s="33">
        <v>12.375</v>
      </c>
      <c r="AF230" s="33">
        <v>9.75</v>
      </c>
      <c r="AG230" s="70">
        <v>11.875</v>
      </c>
      <c r="AH230" s="44">
        <f t="shared" ref="AH230:AH233" si="98">AE230*AF230*AG230/(12^3)</f>
        <v>0.82916259765625</v>
      </c>
      <c r="AI230" s="37" t="s">
        <v>3803</v>
      </c>
      <c r="AJ230" s="37" t="s">
        <v>2906</v>
      </c>
      <c r="AK230" s="37" t="s">
        <v>2916</v>
      </c>
      <c r="AL230" s="37" t="s">
        <v>2917</v>
      </c>
      <c r="AM230" s="18" t="s">
        <v>2918</v>
      </c>
      <c r="AN230" s="40" t="s">
        <v>2919</v>
      </c>
      <c r="AO230" s="40" t="s">
        <v>2920</v>
      </c>
      <c r="AP230" s="40" t="s">
        <v>2921</v>
      </c>
      <c r="AQ230" s="37" t="s">
        <v>2924</v>
      </c>
      <c r="AR230" s="18" t="s">
        <v>2909</v>
      </c>
      <c r="AS230" s="94" t="s">
        <v>2908</v>
      </c>
    </row>
    <row r="231" spans="1:45" x14ac:dyDescent="0.2">
      <c r="A231" s="14" t="s">
        <v>510</v>
      </c>
      <c r="B231" s="125"/>
      <c r="C231" s="216" t="s">
        <v>3801</v>
      </c>
      <c r="D231" s="15" t="s">
        <v>5447</v>
      </c>
      <c r="E231" s="67" t="s">
        <v>5448</v>
      </c>
      <c r="F231" s="33" t="s">
        <v>5451</v>
      </c>
      <c r="H231" s="109">
        <v>7331423010202</v>
      </c>
      <c r="I231" s="109"/>
      <c r="J231" s="109"/>
      <c r="K231" s="109"/>
      <c r="L231" s="27" t="s">
        <v>5452</v>
      </c>
      <c r="M231" s="10" t="s">
        <v>977</v>
      </c>
      <c r="N231" s="514"/>
      <c r="O231" s="514">
        <f>IF($C231="","",VLOOKUP($C231,'2017 Pricelist'!$C:$I,7,FALSE))</f>
        <v>14.99</v>
      </c>
      <c r="P231" s="35">
        <v>17</v>
      </c>
      <c r="Q231" s="237">
        <f t="shared" ref="Q231:Q233" si="99">16*6</f>
        <v>96</v>
      </c>
      <c r="R231" s="33">
        <f t="shared" ref="R231:R233" si="100">CONVERT(27,"g","lbm")</f>
        <v>5.9524810789916942E-2</v>
      </c>
      <c r="S231" s="33">
        <f t="shared" ref="S231:S233" si="101">CONVERT(24,"mm","in")</f>
        <v>0.94488188976377963</v>
      </c>
      <c r="T231" s="33">
        <f t="shared" ref="T231:T233" si="102">CONVERT(14,"mm","in")</f>
        <v>0.55118110236220474</v>
      </c>
      <c r="U231" s="70">
        <f t="shared" ref="U231:U233" si="103">CONVERT(77,"mm","in")</f>
        <v>3.0314960629921264</v>
      </c>
      <c r="V231" s="44">
        <v>1.7</v>
      </c>
      <c r="W231" s="33">
        <v>9.375</v>
      </c>
      <c r="X231" s="33">
        <v>5.875</v>
      </c>
      <c r="Y231" s="70">
        <v>7.25</v>
      </c>
      <c r="Z231" s="44" t="s">
        <v>259</v>
      </c>
      <c r="AA231" s="33" t="s">
        <v>259</v>
      </c>
      <c r="AB231" s="33" t="s">
        <v>259</v>
      </c>
      <c r="AC231" s="70" t="s">
        <v>259</v>
      </c>
      <c r="AD231" s="44">
        <v>10.8</v>
      </c>
      <c r="AE231" s="33">
        <v>12.375</v>
      </c>
      <c r="AF231" s="33">
        <v>9.75</v>
      </c>
      <c r="AG231" s="70">
        <v>11.875</v>
      </c>
      <c r="AH231" s="44">
        <f t="shared" si="98"/>
        <v>0.82916259765625</v>
      </c>
      <c r="AI231" s="37"/>
      <c r="AJ231" s="37" t="s">
        <v>2906</v>
      </c>
      <c r="AK231" s="37" t="s">
        <v>2916</v>
      </c>
      <c r="AL231" s="37" t="s">
        <v>2917</v>
      </c>
      <c r="AM231" s="18" t="s">
        <v>2918</v>
      </c>
      <c r="AN231" s="40" t="s">
        <v>2919</v>
      </c>
      <c r="AO231" s="40" t="s">
        <v>2920</v>
      </c>
      <c r="AP231" s="40" t="s">
        <v>2921</v>
      </c>
      <c r="AQ231" s="37" t="s">
        <v>2924</v>
      </c>
      <c r="AR231" s="18" t="s">
        <v>2909</v>
      </c>
      <c r="AS231" s="94" t="s">
        <v>2908</v>
      </c>
    </row>
    <row r="232" spans="1:45" x14ac:dyDescent="0.2">
      <c r="A232" s="14" t="s">
        <v>510</v>
      </c>
      <c r="B232" s="125"/>
      <c r="C232" s="216" t="s">
        <v>3801</v>
      </c>
      <c r="D232" s="15" t="s">
        <v>1740</v>
      </c>
      <c r="E232" s="67" t="s">
        <v>5449</v>
      </c>
      <c r="F232" s="33" t="s">
        <v>1858</v>
      </c>
      <c r="H232" s="109">
        <v>7331423010189</v>
      </c>
      <c r="I232" s="109"/>
      <c r="J232" s="109"/>
      <c r="K232" s="109"/>
      <c r="L232" s="27" t="s">
        <v>5453</v>
      </c>
      <c r="M232" s="10" t="s">
        <v>977</v>
      </c>
      <c r="N232" s="514"/>
      <c r="O232" s="514">
        <f>IF($C232="","",VLOOKUP($C232,'2017 Pricelist'!$C:$I,7,FALSE))</f>
        <v>14.99</v>
      </c>
      <c r="P232" s="35">
        <v>18</v>
      </c>
      <c r="Q232" s="237">
        <f t="shared" si="99"/>
        <v>96</v>
      </c>
      <c r="R232" s="33">
        <f t="shared" si="100"/>
        <v>5.9524810789916942E-2</v>
      </c>
      <c r="S232" s="33">
        <f t="shared" si="101"/>
        <v>0.94488188976377963</v>
      </c>
      <c r="T232" s="33">
        <f t="shared" si="102"/>
        <v>0.55118110236220474</v>
      </c>
      <c r="U232" s="70">
        <f t="shared" si="103"/>
        <v>3.0314960629921264</v>
      </c>
      <c r="V232" s="44">
        <v>1.7</v>
      </c>
      <c r="W232" s="33">
        <v>9.375</v>
      </c>
      <c r="X232" s="33">
        <v>5.875</v>
      </c>
      <c r="Y232" s="70">
        <v>7.25</v>
      </c>
      <c r="Z232" s="44" t="s">
        <v>259</v>
      </c>
      <c r="AA232" s="33" t="s">
        <v>259</v>
      </c>
      <c r="AB232" s="33" t="s">
        <v>259</v>
      </c>
      <c r="AC232" s="70" t="s">
        <v>259</v>
      </c>
      <c r="AD232" s="44">
        <v>10.8</v>
      </c>
      <c r="AE232" s="33">
        <v>12.375</v>
      </c>
      <c r="AF232" s="33">
        <v>9.75</v>
      </c>
      <c r="AG232" s="70">
        <v>11.875</v>
      </c>
      <c r="AH232" s="44">
        <f t="shared" si="98"/>
        <v>0.82916259765625</v>
      </c>
      <c r="AI232" s="37"/>
      <c r="AJ232" s="37" t="s">
        <v>2906</v>
      </c>
      <c r="AK232" s="37" t="s">
        <v>2916</v>
      </c>
      <c r="AL232" s="37" t="s">
        <v>2917</v>
      </c>
      <c r="AM232" s="18" t="s">
        <v>2918</v>
      </c>
      <c r="AN232" s="40" t="s">
        <v>2919</v>
      </c>
      <c r="AO232" s="40" t="s">
        <v>2920</v>
      </c>
      <c r="AP232" s="40" t="s">
        <v>2921</v>
      </c>
      <c r="AQ232" s="37" t="s">
        <v>2924</v>
      </c>
      <c r="AR232" s="18" t="s">
        <v>2909</v>
      </c>
      <c r="AS232" s="94" t="s">
        <v>2908</v>
      </c>
    </row>
    <row r="233" spans="1:45" x14ac:dyDescent="0.2">
      <c r="A233" s="14" t="s">
        <v>510</v>
      </c>
      <c r="B233" s="125"/>
      <c r="C233" s="216" t="s">
        <v>3801</v>
      </c>
      <c r="D233" s="15" t="s">
        <v>371</v>
      </c>
      <c r="E233" s="67" t="s">
        <v>5450</v>
      </c>
      <c r="F233" s="33" t="s">
        <v>218</v>
      </c>
      <c r="H233" s="109">
        <v>7331423010196</v>
      </c>
      <c r="I233" s="109"/>
      <c r="J233" s="109"/>
      <c r="K233" s="109"/>
      <c r="L233" s="27" t="s">
        <v>5454</v>
      </c>
      <c r="M233" s="10" t="s">
        <v>977</v>
      </c>
      <c r="N233" s="514"/>
      <c r="O233" s="514">
        <f>IF($C233="","",VLOOKUP($C233,'2017 Pricelist'!$C:$I,7,FALSE))</f>
        <v>14.99</v>
      </c>
      <c r="P233" s="35">
        <v>19</v>
      </c>
      <c r="Q233" s="237">
        <f t="shared" si="99"/>
        <v>96</v>
      </c>
      <c r="R233" s="33">
        <f t="shared" si="100"/>
        <v>5.9524810789916942E-2</v>
      </c>
      <c r="S233" s="33">
        <f t="shared" si="101"/>
        <v>0.94488188976377963</v>
      </c>
      <c r="T233" s="33">
        <f t="shared" si="102"/>
        <v>0.55118110236220474</v>
      </c>
      <c r="U233" s="70">
        <f t="shared" si="103"/>
        <v>3.0314960629921264</v>
      </c>
      <c r="V233" s="44">
        <v>1.7</v>
      </c>
      <c r="W233" s="33">
        <v>9.375</v>
      </c>
      <c r="X233" s="33">
        <v>5.875</v>
      </c>
      <c r="Y233" s="70">
        <v>7.25</v>
      </c>
      <c r="Z233" s="44" t="s">
        <v>259</v>
      </c>
      <c r="AA233" s="33" t="s">
        <v>259</v>
      </c>
      <c r="AB233" s="33" t="s">
        <v>259</v>
      </c>
      <c r="AC233" s="70" t="s">
        <v>259</v>
      </c>
      <c r="AD233" s="44">
        <v>10.8</v>
      </c>
      <c r="AE233" s="33">
        <v>12.375</v>
      </c>
      <c r="AF233" s="33">
        <v>9.75</v>
      </c>
      <c r="AG233" s="70">
        <v>11.875</v>
      </c>
      <c r="AH233" s="44">
        <f t="shared" si="98"/>
        <v>0.82916259765625</v>
      </c>
      <c r="AI233" s="37"/>
      <c r="AJ233" s="37" t="s">
        <v>2906</v>
      </c>
      <c r="AK233" s="37" t="s">
        <v>2916</v>
      </c>
      <c r="AL233" s="37" t="s">
        <v>2917</v>
      </c>
      <c r="AM233" s="18" t="s">
        <v>2918</v>
      </c>
      <c r="AN233" s="40" t="s">
        <v>2919</v>
      </c>
      <c r="AO233" s="40" t="s">
        <v>2920</v>
      </c>
      <c r="AP233" s="40" t="s">
        <v>2921</v>
      </c>
      <c r="AQ233" s="37" t="s">
        <v>2924</v>
      </c>
      <c r="AR233" s="18" t="s">
        <v>2909</v>
      </c>
      <c r="AS233" s="94" t="s">
        <v>2908</v>
      </c>
    </row>
    <row r="234" spans="1:45" s="37" customFormat="1" x14ac:dyDescent="0.2">
      <c r="A234" s="18"/>
      <c r="B234" s="125"/>
      <c r="C234" s="216"/>
      <c r="D234" s="33"/>
      <c r="E234" s="217"/>
      <c r="H234" s="109"/>
      <c r="I234" s="109"/>
      <c r="J234" s="109"/>
      <c r="K234" s="109"/>
      <c r="L234" s="36"/>
      <c r="M234" s="253"/>
      <c r="N234" s="218"/>
      <c r="O234" s="218"/>
      <c r="Q234" s="237"/>
      <c r="R234" s="139"/>
      <c r="S234" s="139"/>
      <c r="T234" s="139"/>
      <c r="U234" s="186"/>
      <c r="V234" s="44"/>
      <c r="W234" s="33"/>
      <c r="X234" s="33"/>
      <c r="Y234" s="70"/>
      <c r="Z234" s="44"/>
      <c r="AA234" s="33"/>
      <c r="AB234" s="33"/>
      <c r="AC234" s="70"/>
      <c r="AD234" s="44"/>
      <c r="AE234" s="33"/>
      <c r="AF234" s="33"/>
      <c r="AG234" s="70"/>
      <c r="AH234" s="44"/>
    </row>
    <row r="235" spans="1:45" s="102" customFormat="1" ht="15.75" x14ac:dyDescent="0.25">
      <c r="A235" s="105" t="s">
        <v>1513</v>
      </c>
      <c r="B235" s="318"/>
      <c r="C235" s="205"/>
      <c r="D235" s="205" t="s">
        <v>529</v>
      </c>
      <c r="E235" s="206"/>
      <c r="H235" s="262"/>
      <c r="I235" s="262"/>
      <c r="J235" s="262"/>
      <c r="K235" s="262"/>
      <c r="L235" s="207"/>
      <c r="M235" s="207"/>
      <c r="N235" s="208"/>
      <c r="O235" s="208"/>
      <c r="P235" s="209"/>
      <c r="Q235" s="235"/>
      <c r="R235" s="205"/>
      <c r="S235" s="205"/>
      <c r="T235" s="205"/>
      <c r="U235" s="211"/>
      <c r="V235" s="899" t="s">
        <v>1520</v>
      </c>
      <c r="W235" s="900"/>
      <c r="X235" s="900"/>
      <c r="Y235" s="901"/>
      <c r="Z235" s="896" t="s">
        <v>1521</v>
      </c>
      <c r="AA235" s="897"/>
      <c r="AB235" s="897"/>
      <c r="AC235" s="897"/>
      <c r="AD235" s="896" t="s">
        <v>1522</v>
      </c>
      <c r="AE235" s="897"/>
      <c r="AF235" s="897"/>
      <c r="AG235" s="898"/>
      <c r="AH235" s="44"/>
      <c r="AQ235" s="215"/>
      <c r="AR235" s="263"/>
    </row>
    <row r="236" spans="1:45" x14ac:dyDescent="0.2">
      <c r="A236" s="14" t="s">
        <v>510</v>
      </c>
      <c r="B236" s="127"/>
      <c r="C236" s="37" t="s">
        <v>1951</v>
      </c>
      <c r="D236" s="15" t="s">
        <v>1741</v>
      </c>
      <c r="E236" s="20" t="s">
        <v>1953</v>
      </c>
      <c r="F236" s="18" t="s">
        <v>1747</v>
      </c>
      <c r="G236" s="14" t="s">
        <v>2522</v>
      </c>
      <c r="H236" s="27" t="s">
        <v>259</v>
      </c>
      <c r="I236" s="27"/>
      <c r="J236" s="27"/>
      <c r="K236" s="27"/>
      <c r="L236" s="27" t="s">
        <v>568</v>
      </c>
      <c r="M236" s="27" t="s">
        <v>977</v>
      </c>
      <c r="N236" s="7"/>
      <c r="O236" s="117">
        <v>5153.16</v>
      </c>
      <c r="P236" s="123">
        <v>1</v>
      </c>
      <c r="Q236" s="188">
        <v>1</v>
      </c>
      <c r="R236" s="121"/>
      <c r="S236" s="121"/>
      <c r="T236" s="121"/>
      <c r="U236" s="122"/>
      <c r="V236" s="264"/>
      <c r="W236" s="139">
        <v>35</v>
      </c>
      <c r="X236" s="139">
        <v>28</v>
      </c>
      <c r="Y236" s="186">
        <v>53</v>
      </c>
      <c r="Z236" s="264"/>
      <c r="AA236" s="224"/>
      <c r="AB236" s="224"/>
      <c r="AC236" s="265"/>
      <c r="AD236" s="264"/>
      <c r="AE236" s="344"/>
      <c r="AF236" s="344"/>
      <c r="AG236" s="265"/>
      <c r="AH236" s="44">
        <f>AE236*AF236*AG236/(12^3)</f>
        <v>0</v>
      </c>
      <c r="AI236" s="140"/>
      <c r="AJ236" s="140"/>
      <c r="AK236" s="140"/>
      <c r="AL236" s="140"/>
      <c r="AM236" s="140"/>
      <c r="AN236" s="140"/>
      <c r="AO236" s="140"/>
      <c r="AP236" s="140"/>
      <c r="AQ236" s="140"/>
      <c r="AR236" s="140"/>
      <c r="AS236" s="140"/>
    </row>
    <row r="237" spans="1:45" s="37" customFormat="1" x14ac:dyDescent="0.2">
      <c r="B237" s="312"/>
      <c r="H237" s="253"/>
      <c r="I237" s="253"/>
      <c r="J237" s="253"/>
      <c r="K237" s="253"/>
      <c r="M237" s="253"/>
      <c r="Q237" s="237"/>
      <c r="R237" s="139"/>
      <c r="S237" s="139"/>
      <c r="T237" s="139"/>
      <c r="U237" s="186"/>
      <c r="V237" s="91"/>
      <c r="W237" s="139"/>
      <c r="X237" s="139"/>
      <c r="Y237" s="186"/>
      <c r="Z237" s="91"/>
      <c r="AA237" s="139"/>
      <c r="AB237" s="139"/>
      <c r="AC237" s="186"/>
      <c r="AD237" s="91"/>
      <c r="AE237" s="139"/>
      <c r="AF237" s="139"/>
      <c r="AG237" s="186"/>
      <c r="AH237" s="44"/>
    </row>
    <row r="238" spans="1:45" s="37" customFormat="1" ht="15.75" x14ac:dyDescent="0.25">
      <c r="A238" s="157" t="s">
        <v>2496</v>
      </c>
      <c r="H238" s="253"/>
      <c r="I238" s="253"/>
      <c r="J238" s="253"/>
      <c r="K238" s="253"/>
      <c r="M238" s="253"/>
      <c r="Q238" s="237"/>
      <c r="R238" s="139"/>
      <c r="S238" s="139"/>
      <c r="T238" s="139"/>
      <c r="U238" s="186"/>
      <c r="V238" s="91"/>
      <c r="W238" s="139"/>
      <c r="X238" s="139"/>
      <c r="Y238" s="186"/>
      <c r="Z238" s="91"/>
      <c r="AA238" s="139"/>
      <c r="AB238" s="139"/>
      <c r="AC238" s="186"/>
      <c r="AD238" s="91"/>
      <c r="AE238" s="139"/>
      <c r="AF238" s="139"/>
      <c r="AG238" s="186"/>
      <c r="AH238" s="44"/>
    </row>
    <row r="239" spans="1:45" x14ac:dyDescent="0.2">
      <c r="A239" s="14" t="s">
        <v>510</v>
      </c>
      <c r="C239" s="20" t="s">
        <v>4012</v>
      </c>
      <c r="E239" s="20" t="s">
        <v>5417</v>
      </c>
      <c r="F239" s="20" t="s">
        <v>484</v>
      </c>
      <c r="H239" s="58">
        <v>7331423010615</v>
      </c>
      <c r="M239" s="27" t="s">
        <v>977</v>
      </c>
      <c r="N239" s="655"/>
      <c r="O239" s="655">
        <v>39.99</v>
      </c>
      <c r="P239" s="20">
        <v>1</v>
      </c>
      <c r="Q239" s="118">
        <v>12</v>
      </c>
      <c r="AI239" s="20" t="s">
        <v>5427</v>
      </c>
      <c r="AJ239" s="20" t="s">
        <v>5428</v>
      </c>
      <c r="AK239" s="20" t="s">
        <v>5429</v>
      </c>
      <c r="AL239" s="40" t="s">
        <v>5430</v>
      </c>
      <c r="AQ239" s="20" t="s">
        <v>5427</v>
      </c>
      <c r="AR239" s="18" t="s">
        <v>2909</v>
      </c>
      <c r="AS239" s="94" t="s">
        <v>2908</v>
      </c>
    </row>
  </sheetData>
  <mergeCells count="3">
    <mergeCell ref="AD235:AG235"/>
    <mergeCell ref="V235:Y235"/>
    <mergeCell ref="Z235:AC235"/>
  </mergeCells>
  <pageMargins left="0.5" right="0.5" top="0.25" bottom="0.25" header="0.3" footer="0.3"/>
  <pageSetup paperSize="3" fitToHeight="0" orientation="landscape" r:id="rId1"/>
  <ignoredErrors>
    <ignoredError sqref="H235 H191:H192 H45:H48 H183:H186 H31:H34 H27:H30 I37:K39 I27:K27 H14 J46:K49 H36:H39 H64:H67 H136 H145 J152:K152 H179:H181 J179:K181 J184:K186 K143 J136 H140:H143 H137:K137 H138:K138 H139:K139 J140:J143 H146:K146 H147:J147 H148:J148 H152 H149:J149 H150:J150 H151:J151 H153:J153 H216:H218" numberStoredAsText="1"/>
    <ignoredError sqref="AH191:AH192 AH45:AH49 R37:R39 V37:AG39 V4:AG11 V17:Y23 AD17:AG23 R4:U16 AH4:AH23 AH42:AH43 V43 Z43:AG43 V46:Y49 AD46:AG49 R52:R55 V52:AH55 R58 V58:AH58 AD62 Z62 V63:AG67 R46:R49 R111:R114 V111:AH114 AH121:AH124 AH126:AH129 AH131:AH133 AH145 R164 AH164 AH156:AH162 R156:R162 R179:R181 R184:R186 R192 AH234:AH236 V221 R223 R224:U225 R17:R23 R136:AH136 S137:AH143 R146:AH151 Z116:AG118 AH26 V104:V105 Z119:Z120 AD119:AD120 V108:AH109 AH116:AH120 R137:R145 R167:R173 AH167:AH173 AH179:AH181 V179:V181 V184:V186 AD184:AD186 V62 V223:V224 T37:T39 R152:Y152 AH152:AH153 R226:R227 V226:Y227 AH62:AH67 AD104:AH105 R79:R81 V78:AH81 V106:AH106 V68:AH68 AH69:AH77 R27:AG35 R216:R218 V216:Y218 AD216:AH218 R174:AH176 R104:R106 R200:T202 R208:AH213 R63:R67 S63:S67 S104:S106 R108:S109 R116:T120 R126:T129 R131:T133 V116:V120 V200:AH202 R203:T205 V203:AH205 R153:T153 V153:Y153 AH221:AH229 R230:U230 R107 AH27:AH39 AH182:AH186 R121:T124 R100:R102 V100:AH102 S100:S102 R88:R99 V88:AH99 S88:S99 R82:R87 V82:AH87 S82:S87 R68:R77 S68:S81" unlockedFormula="1"/>
    <ignoredError sqref="R78" formula="1" unlocked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312"/>
  <sheetViews>
    <sheetView zoomScaleNormal="100" workbookViewId="0">
      <pane xSplit="6" ySplit="2" topLeftCell="I23" activePane="bottomRight" state="frozenSplit"/>
      <selection pane="topRight" activeCell="F1" sqref="F1"/>
      <selection pane="bottomLeft" activeCell="A2" sqref="A2"/>
      <selection pane="bottomRight" activeCell="M1" sqref="M1:M1048576"/>
    </sheetView>
  </sheetViews>
  <sheetFormatPr defaultRowHeight="12.75" x14ac:dyDescent="0.2"/>
  <cols>
    <col min="1" max="1" width="10.7109375" customWidth="1"/>
    <col min="2" max="2" width="12.28515625" bestFit="1" customWidth="1"/>
    <col min="3" max="3" width="13" bestFit="1" customWidth="1"/>
    <col min="4" max="4" width="14.28515625" customWidth="1"/>
    <col min="5" max="5" width="37.140625" customWidth="1"/>
    <col min="6" max="6" width="12.5703125" customWidth="1"/>
    <col min="7" max="7" width="13.28515625" customWidth="1"/>
    <col min="8" max="8" width="16.7109375" style="110" customWidth="1"/>
    <col min="9" max="9" width="11.28515625" customWidth="1"/>
    <col min="10" max="10" width="16.42578125" bestFit="1" customWidth="1"/>
    <col min="11" max="11" width="12.28515625" customWidth="1"/>
    <col min="12" max="12" width="7.7109375" customWidth="1"/>
    <col min="13" max="13" width="10.140625" style="515" customWidth="1"/>
    <col min="14" max="14" width="8.7109375" style="515" customWidth="1"/>
    <col min="15" max="15" width="6.28515625" customWidth="1"/>
    <col min="16" max="16" width="6.28515625" style="350" customWidth="1"/>
    <col min="17" max="17" width="9.7109375" style="87" bestFit="1" customWidth="1"/>
    <col min="18" max="18" width="8.7109375" style="139" customWidth="1"/>
    <col min="19" max="19" width="7.42578125" style="139" customWidth="1"/>
    <col min="20" max="20" width="7.7109375" style="87" customWidth="1"/>
    <col min="21" max="21" width="9.7109375" style="250" customWidth="1"/>
    <col min="22" max="22" width="10.42578125" customWidth="1"/>
    <col min="23" max="23" width="8.7109375" customWidth="1"/>
    <col min="24" max="24" width="9.28515625" style="350" customWidth="1"/>
    <col min="25" max="25" width="15.7109375" style="350" customWidth="1"/>
    <col min="26" max="28" width="15.7109375" customWidth="1"/>
    <col min="29" max="29" width="15.7109375" style="250" customWidth="1"/>
    <col min="30" max="32" width="15.7109375" customWidth="1"/>
    <col min="33" max="33" width="8" customWidth="1"/>
    <col min="34" max="44" width="20.7109375" customWidth="1"/>
  </cols>
  <sheetData>
    <row r="1" spans="1:44" s="26" customFormat="1" ht="57" customHeight="1" thickBot="1" x14ac:dyDescent="0.25">
      <c r="I1" s="340"/>
      <c r="J1" s="340"/>
      <c r="K1" s="340"/>
      <c r="L1" s="340"/>
      <c r="M1" s="506"/>
      <c r="N1" s="507"/>
      <c r="Q1" s="40"/>
      <c r="R1" s="40"/>
      <c r="S1" s="87"/>
      <c r="T1" s="87"/>
      <c r="U1" s="88"/>
      <c r="V1" s="88"/>
      <c r="W1" s="88"/>
      <c r="X1" s="88"/>
      <c r="Y1" s="88"/>
      <c r="Z1" s="88"/>
      <c r="AA1" s="88"/>
      <c r="AB1" s="88"/>
      <c r="AC1" s="88"/>
      <c r="AD1" s="88"/>
      <c r="AE1" s="88"/>
      <c r="AF1" s="88"/>
      <c r="AG1" s="88"/>
      <c r="AH1" s="88"/>
    </row>
    <row r="2" spans="1:44" s="247" customFormat="1" ht="84.75" thickBot="1" x14ac:dyDescent="0.25">
      <c r="A2" s="428" t="s">
        <v>131</v>
      </c>
      <c r="B2" s="323" t="s">
        <v>2475</v>
      </c>
      <c r="C2" s="429" t="s">
        <v>138</v>
      </c>
      <c r="D2" s="406" t="s">
        <v>3369</v>
      </c>
      <c r="E2" s="429" t="s">
        <v>99</v>
      </c>
      <c r="F2" s="429" t="s">
        <v>100</v>
      </c>
      <c r="G2" s="429" t="s">
        <v>2519</v>
      </c>
      <c r="H2" s="427" t="s">
        <v>501</v>
      </c>
      <c r="I2" s="427" t="s">
        <v>2544</v>
      </c>
      <c r="J2" s="427" t="s">
        <v>2543</v>
      </c>
      <c r="K2" s="379" t="s">
        <v>260</v>
      </c>
      <c r="L2" s="379" t="s">
        <v>974</v>
      </c>
      <c r="M2" s="508" t="s">
        <v>5442</v>
      </c>
      <c r="N2" s="508" t="s">
        <v>132</v>
      </c>
      <c r="O2" s="429" t="s">
        <v>77</v>
      </c>
      <c r="P2" s="434" t="s">
        <v>78</v>
      </c>
      <c r="Q2" s="405" t="s">
        <v>2515</v>
      </c>
      <c r="R2" s="440" t="s">
        <v>3469</v>
      </c>
      <c r="S2" s="440" t="s">
        <v>3367</v>
      </c>
      <c r="T2" s="458" t="s">
        <v>3368</v>
      </c>
      <c r="U2" s="405" t="s">
        <v>2463</v>
      </c>
      <c r="V2" s="429" t="s">
        <v>2795</v>
      </c>
      <c r="W2" s="429" t="s">
        <v>2464</v>
      </c>
      <c r="X2" s="434" t="s">
        <v>2466</v>
      </c>
      <c r="Y2" s="428" t="s">
        <v>2467</v>
      </c>
      <c r="Z2" s="324" t="s">
        <v>2796</v>
      </c>
      <c r="AA2" s="324" t="s">
        <v>2468</v>
      </c>
      <c r="AB2" s="329" t="s">
        <v>2470</v>
      </c>
      <c r="AC2" s="405" t="s">
        <v>2471</v>
      </c>
      <c r="AD2" s="324" t="s">
        <v>2797</v>
      </c>
      <c r="AE2" s="324" t="s">
        <v>2472</v>
      </c>
      <c r="AF2" s="329" t="s">
        <v>2474</v>
      </c>
      <c r="AG2" s="330" t="s">
        <v>2484</v>
      </c>
      <c r="AH2" s="430" t="s">
        <v>133</v>
      </c>
      <c r="AI2" s="430" t="s">
        <v>134</v>
      </c>
      <c r="AJ2" s="430" t="s">
        <v>135</v>
      </c>
      <c r="AK2" s="430" t="s">
        <v>136</v>
      </c>
      <c r="AL2" s="430" t="s">
        <v>137</v>
      </c>
      <c r="AM2" s="430" t="s">
        <v>2104</v>
      </c>
      <c r="AN2" s="430" t="s">
        <v>2105</v>
      </c>
      <c r="AO2" s="430" t="s">
        <v>2106</v>
      </c>
      <c r="AP2" s="431" t="s">
        <v>144</v>
      </c>
      <c r="AQ2" s="432" t="s">
        <v>145</v>
      </c>
      <c r="AR2" s="433" t="s">
        <v>146</v>
      </c>
    </row>
    <row r="3" spans="1:44" s="18" customFormat="1" ht="15.75" x14ac:dyDescent="0.25">
      <c r="A3" s="105" t="s">
        <v>1157</v>
      </c>
      <c r="B3" s="105"/>
      <c r="C3" s="33"/>
      <c r="D3" s="33"/>
      <c r="E3" s="34"/>
      <c r="H3" s="223"/>
      <c r="K3" s="36"/>
      <c r="L3" s="36"/>
      <c r="M3" s="514"/>
      <c r="N3" s="514" t="str">
        <f>IF($C3="","",VLOOKUP($C3,'2017 Pricelist'!$C:$I,7,FALSE))</f>
        <v/>
      </c>
      <c r="O3" s="35"/>
      <c r="P3" s="187"/>
      <c r="Q3" s="435"/>
      <c r="R3" s="155"/>
      <c r="S3" s="155"/>
      <c r="T3" s="156"/>
      <c r="U3" s="44"/>
      <c r="V3" s="33"/>
      <c r="W3" s="33"/>
      <c r="X3" s="70"/>
      <c r="Y3" s="44"/>
      <c r="Z3" s="33"/>
      <c r="AA3" s="33"/>
      <c r="AB3" s="70"/>
      <c r="AC3" s="44"/>
      <c r="AD3" s="33"/>
      <c r="AE3" s="33"/>
      <c r="AF3" s="70"/>
      <c r="AG3" s="44"/>
      <c r="AL3" s="217"/>
      <c r="AM3" s="451"/>
      <c r="AN3" s="451"/>
      <c r="AO3" s="451"/>
      <c r="AP3" s="242"/>
    </row>
    <row r="4" spans="1:44" s="14" customFormat="1" x14ac:dyDescent="0.2">
      <c r="A4" s="18" t="s">
        <v>1837</v>
      </c>
      <c r="B4" s="320"/>
      <c r="C4" s="426" t="s">
        <v>3820</v>
      </c>
      <c r="D4" s="1" t="s">
        <v>1550</v>
      </c>
      <c r="E4" s="57" t="s">
        <v>4162</v>
      </c>
      <c r="F4" s="18" t="s">
        <v>484</v>
      </c>
      <c r="G4" s="18" t="s">
        <v>2557</v>
      </c>
      <c r="H4" s="47">
        <v>7391846017479</v>
      </c>
      <c r="I4" s="18"/>
      <c r="J4" s="248"/>
      <c r="K4" s="37" t="s">
        <v>1299</v>
      </c>
      <c r="L4" s="36" t="s">
        <v>977</v>
      </c>
      <c r="M4" s="514">
        <v>94.99</v>
      </c>
      <c r="N4" s="514">
        <f>IF($C4="","",VLOOKUP($C4,'2017 Pricelist'!$C:$I,7,FALSE))</f>
        <v>119.99000000000001</v>
      </c>
      <c r="O4" s="35">
        <v>1</v>
      </c>
      <c r="P4" s="444">
        <v>5</v>
      </c>
      <c r="Q4" s="44">
        <v>0.6</v>
      </c>
      <c r="R4" s="441">
        <v>9</v>
      </c>
      <c r="S4" s="441">
        <v>4.3</v>
      </c>
      <c r="T4" s="442">
        <v>3.2</v>
      </c>
      <c r="U4" s="44">
        <v>0.69</v>
      </c>
      <c r="V4" s="478">
        <v>10.9</v>
      </c>
      <c r="W4" s="478">
        <v>2.4</v>
      </c>
      <c r="X4" s="479">
        <v>1.8</v>
      </c>
      <c r="Y4" s="90">
        <v>3.65</v>
      </c>
      <c r="Z4" s="89">
        <v>11.25</v>
      </c>
      <c r="AA4" s="89">
        <v>12.25</v>
      </c>
      <c r="AB4" s="249">
        <v>2</v>
      </c>
      <c r="AC4" s="44">
        <v>30</v>
      </c>
      <c r="AD4" s="33">
        <v>17.5</v>
      </c>
      <c r="AE4" s="33">
        <v>12.5</v>
      </c>
      <c r="AF4" s="70">
        <v>12</v>
      </c>
      <c r="AG4" s="42"/>
      <c r="AH4" s="51" t="s">
        <v>4153</v>
      </c>
      <c r="AI4" s="534" t="s">
        <v>4154</v>
      </c>
      <c r="AJ4" s="535" t="s">
        <v>4155</v>
      </c>
      <c r="AK4" s="535" t="s">
        <v>4156</v>
      </c>
      <c r="AL4" s="535" t="s">
        <v>4157</v>
      </c>
      <c r="AP4" s="20" t="s">
        <v>4152</v>
      </c>
      <c r="AQ4" s="18" t="s">
        <v>2909</v>
      </c>
      <c r="AR4" s="14" t="s">
        <v>1932</v>
      </c>
    </row>
    <row r="5" spans="1:44" s="14" customFormat="1" x14ac:dyDescent="0.2">
      <c r="A5" s="18" t="s">
        <v>1837</v>
      </c>
      <c r="B5" s="320"/>
      <c r="C5" s="426" t="s">
        <v>3821</v>
      </c>
      <c r="D5" s="1" t="s">
        <v>1550</v>
      </c>
      <c r="E5" s="57" t="s">
        <v>4163</v>
      </c>
      <c r="F5" s="18" t="s">
        <v>484</v>
      </c>
      <c r="G5" s="18" t="s">
        <v>2557</v>
      </c>
      <c r="H5" s="47" t="s">
        <v>3822</v>
      </c>
      <c r="I5" s="18"/>
      <c r="J5" s="248"/>
      <c r="K5" s="37" t="s">
        <v>1299</v>
      </c>
      <c r="L5" s="36" t="s">
        <v>977</v>
      </c>
      <c r="M5" s="514">
        <v>89.99</v>
      </c>
      <c r="N5" s="514">
        <f>IF($C5="","",VLOOKUP($C5,'2017 Pricelist'!$C:$I,7,FALSE))</f>
        <v>99.990000000000009</v>
      </c>
      <c r="O5" s="35">
        <v>1</v>
      </c>
      <c r="P5" s="444">
        <v>5</v>
      </c>
      <c r="Q5" s="44">
        <v>0.6</v>
      </c>
      <c r="R5" s="441">
        <v>9</v>
      </c>
      <c r="S5" s="441">
        <v>4.3</v>
      </c>
      <c r="T5" s="442">
        <v>3.2</v>
      </c>
      <c r="U5" s="44">
        <v>0.62</v>
      </c>
      <c r="V5" s="478">
        <v>10.9</v>
      </c>
      <c r="W5" s="478">
        <v>2.4</v>
      </c>
      <c r="X5" s="479">
        <v>1.8</v>
      </c>
      <c r="Y5" s="90">
        <v>3.4</v>
      </c>
      <c r="Z5" s="89">
        <v>11.257999999999999</v>
      </c>
      <c r="AA5" s="89">
        <v>12.25</v>
      </c>
      <c r="AB5" s="249">
        <v>2</v>
      </c>
      <c r="AC5" s="44">
        <v>27.8</v>
      </c>
      <c r="AD5" s="33">
        <v>17.5</v>
      </c>
      <c r="AE5" s="33">
        <v>12.5</v>
      </c>
      <c r="AF5" s="70">
        <v>12</v>
      </c>
      <c r="AG5" s="42"/>
      <c r="AH5" s="67" t="s">
        <v>4153</v>
      </c>
      <c r="AI5" s="67" t="s">
        <v>4154</v>
      </c>
      <c r="AJ5" s="67" t="s">
        <v>4155</v>
      </c>
      <c r="AK5" s="67" t="s">
        <v>4156</v>
      </c>
      <c r="AL5" s="67" t="s">
        <v>4159</v>
      </c>
      <c r="AM5" s="67" t="s">
        <v>4157</v>
      </c>
      <c r="AP5" s="20" t="s">
        <v>4158</v>
      </c>
      <c r="AQ5" s="18"/>
    </row>
    <row r="6" spans="1:44" s="14" customFormat="1" x14ac:dyDescent="0.2">
      <c r="A6" s="18" t="s">
        <v>1837</v>
      </c>
      <c r="B6" s="18"/>
      <c r="C6" s="1" t="s">
        <v>2065</v>
      </c>
      <c r="D6" s="1" t="s">
        <v>1494</v>
      </c>
      <c r="E6" s="1" t="s">
        <v>1621</v>
      </c>
      <c r="F6" s="18" t="s">
        <v>484</v>
      </c>
      <c r="G6" s="18" t="s">
        <v>2557</v>
      </c>
      <c r="H6" s="97" t="s">
        <v>2072</v>
      </c>
      <c r="I6" s="18"/>
      <c r="J6" s="248"/>
      <c r="K6" s="37" t="s">
        <v>1299</v>
      </c>
      <c r="L6" s="36" t="s">
        <v>977</v>
      </c>
      <c r="M6" s="514">
        <v>49.99</v>
      </c>
      <c r="N6" s="514">
        <f>IF($C6="","",VLOOKUP($C6,'2017 Pricelist'!$C:$I,7,FALSE))</f>
        <v>79.990000000000009</v>
      </c>
      <c r="O6" s="35">
        <v>1</v>
      </c>
      <c r="P6" s="239">
        <v>15</v>
      </c>
      <c r="Q6" s="44">
        <f>CONVERT(0.1617,"kg","lbm")</f>
        <v>0.35648747795294711</v>
      </c>
      <c r="R6" s="441">
        <f t="shared" ref="R6:R16" si="0">CONVERT(232,"mm","in")</f>
        <v>9.133858267716537</v>
      </c>
      <c r="S6" s="441">
        <f t="shared" ref="S6:S16" si="1">CONVERT(109,"mm","in")</f>
        <v>4.2913385826771657</v>
      </c>
      <c r="T6" s="442">
        <v>3.2</v>
      </c>
      <c r="U6" s="44">
        <f>CONVERT(217,"g","lbm")</f>
        <v>0.47840310894118432</v>
      </c>
      <c r="V6" s="441">
        <v>2.25</v>
      </c>
      <c r="W6" s="441">
        <v>1.875</v>
      </c>
      <c r="X6" s="442">
        <v>10</v>
      </c>
      <c r="Y6" s="90" t="s">
        <v>259</v>
      </c>
      <c r="Z6" s="89" t="s">
        <v>259</v>
      </c>
      <c r="AA6" s="89" t="s">
        <v>259</v>
      </c>
      <c r="AB6" s="249" t="s">
        <v>259</v>
      </c>
      <c r="AC6" s="44">
        <v>10.15</v>
      </c>
      <c r="AD6" s="33">
        <v>12</v>
      </c>
      <c r="AE6" s="33">
        <v>10.375</v>
      </c>
      <c r="AF6" s="70">
        <v>8.5</v>
      </c>
      <c r="AG6" s="42"/>
      <c r="AH6" s="71" t="s">
        <v>3514</v>
      </c>
      <c r="AI6" s="71" t="s">
        <v>3496</v>
      </c>
      <c r="AJ6" s="71" t="s">
        <v>3492</v>
      </c>
      <c r="AK6" s="71" t="s">
        <v>3490</v>
      </c>
      <c r="AL6" s="71" t="s">
        <v>3491</v>
      </c>
      <c r="AN6" s="71"/>
      <c r="AO6" s="71"/>
      <c r="AP6" s="20" t="s">
        <v>3493</v>
      </c>
      <c r="AQ6" s="18" t="s">
        <v>2909</v>
      </c>
      <c r="AR6" s="14" t="s">
        <v>1932</v>
      </c>
    </row>
    <row r="7" spans="1:44" s="14" customFormat="1" x14ac:dyDescent="0.2">
      <c r="A7" s="18" t="s">
        <v>1837</v>
      </c>
      <c r="B7" s="18"/>
      <c r="C7" s="1" t="s">
        <v>1202</v>
      </c>
      <c r="D7" s="1" t="s">
        <v>1494</v>
      </c>
      <c r="E7" s="1" t="s">
        <v>1621</v>
      </c>
      <c r="F7" s="18" t="s">
        <v>484</v>
      </c>
      <c r="G7" s="18" t="s">
        <v>3619</v>
      </c>
      <c r="H7" s="3" t="s">
        <v>1272</v>
      </c>
      <c r="I7" s="18"/>
      <c r="J7" s="248"/>
      <c r="K7" s="37" t="s">
        <v>1299</v>
      </c>
      <c r="L7" s="36" t="s">
        <v>977</v>
      </c>
      <c r="M7" s="514"/>
      <c r="N7" s="514">
        <f>IF($C7="","",VLOOKUP($C7,'2017 Pricelist'!$C:$I,7,FALSE))</f>
        <v>79.990000000000009</v>
      </c>
      <c r="O7" s="35">
        <v>1</v>
      </c>
      <c r="P7" s="239">
        <v>5</v>
      </c>
      <c r="Q7" s="44">
        <f>CONVERT(0.1617,"kg","lbm")</f>
        <v>0.35648747795294711</v>
      </c>
      <c r="R7" s="441">
        <f t="shared" si="0"/>
        <v>9.133858267716537</v>
      </c>
      <c r="S7" s="441">
        <f t="shared" si="1"/>
        <v>4.2913385826771657</v>
      </c>
      <c r="T7" s="442">
        <v>3.2</v>
      </c>
      <c r="U7" s="44">
        <v>0.49604008991597454</v>
      </c>
      <c r="V7" s="33">
        <v>5.5</v>
      </c>
      <c r="W7" s="33">
        <v>1.25</v>
      </c>
      <c r="X7" s="70">
        <v>11.8125</v>
      </c>
      <c r="Y7" s="90" t="s">
        <v>259</v>
      </c>
      <c r="Z7" s="89" t="s">
        <v>259</v>
      </c>
      <c r="AA7" s="89" t="s">
        <v>259</v>
      </c>
      <c r="AB7" s="249" t="s">
        <v>259</v>
      </c>
      <c r="AC7" s="44">
        <v>2.7006627117647501</v>
      </c>
      <c r="AD7" s="33">
        <v>12.0625</v>
      </c>
      <c r="AE7" s="33">
        <v>5.75</v>
      </c>
      <c r="AF7" s="70">
        <v>6</v>
      </c>
      <c r="AG7" s="42">
        <f>AD7*AE7*AF7/(12^3)</f>
        <v>0.24083116319444445</v>
      </c>
      <c r="AH7" s="71" t="s">
        <v>3514</v>
      </c>
      <c r="AI7" s="71" t="s">
        <v>3496</v>
      </c>
      <c r="AJ7" s="71" t="s">
        <v>3492</v>
      </c>
      <c r="AK7" s="71" t="s">
        <v>3671</v>
      </c>
      <c r="AL7" s="71" t="s">
        <v>3491</v>
      </c>
      <c r="AN7" s="71"/>
      <c r="AO7" s="71"/>
      <c r="AP7" s="20" t="s">
        <v>3493</v>
      </c>
      <c r="AQ7" s="18" t="s">
        <v>2909</v>
      </c>
      <c r="AR7" s="14" t="s">
        <v>1932</v>
      </c>
    </row>
    <row r="8" spans="1:44" s="14" customFormat="1" x14ac:dyDescent="0.2">
      <c r="A8" s="18" t="s">
        <v>1837</v>
      </c>
      <c r="B8" s="18"/>
      <c r="C8" s="1" t="s">
        <v>2066</v>
      </c>
      <c r="D8" s="1" t="s">
        <v>1550</v>
      </c>
      <c r="E8" s="1" t="s">
        <v>1897</v>
      </c>
      <c r="F8" s="18" t="s">
        <v>484</v>
      </c>
      <c r="G8" s="18" t="s">
        <v>2557</v>
      </c>
      <c r="H8" s="66">
        <v>7391846015437</v>
      </c>
      <c r="I8" s="18"/>
      <c r="J8" s="248"/>
      <c r="K8" s="37" t="s">
        <v>1299</v>
      </c>
      <c r="L8" s="36" t="s">
        <v>977</v>
      </c>
      <c r="M8" s="514"/>
      <c r="N8" s="514">
        <f>IF($C8="","",VLOOKUP($C8,'2017 Pricelist'!$C:$I,7,FALSE))</f>
        <v>79.990000000000009</v>
      </c>
      <c r="O8" s="35">
        <v>1</v>
      </c>
      <c r="P8" s="239">
        <v>10</v>
      </c>
      <c r="Q8" s="44">
        <f>CONVERT(0.163,"kg","lbm")</f>
        <v>0.35935348736135048</v>
      </c>
      <c r="R8" s="441">
        <f t="shared" si="0"/>
        <v>9.133858267716537</v>
      </c>
      <c r="S8" s="441">
        <f t="shared" si="1"/>
        <v>4.2913385826771657</v>
      </c>
      <c r="T8" s="442">
        <v>3.2</v>
      </c>
      <c r="U8" s="120"/>
      <c r="V8" s="121"/>
      <c r="W8" s="121"/>
      <c r="X8" s="122"/>
      <c r="Y8" s="90" t="s">
        <v>259</v>
      </c>
      <c r="Z8" s="89" t="s">
        <v>259</v>
      </c>
      <c r="AA8" s="89" t="s">
        <v>259</v>
      </c>
      <c r="AB8" s="249" t="s">
        <v>259</v>
      </c>
      <c r="AC8" s="44">
        <v>2.75</v>
      </c>
      <c r="AD8" s="33">
        <v>12</v>
      </c>
      <c r="AE8" s="33">
        <v>5.75</v>
      </c>
      <c r="AF8" s="70">
        <v>3.75</v>
      </c>
      <c r="AG8" s="42"/>
      <c r="AH8" s="71" t="s">
        <v>3497</v>
      </c>
      <c r="AI8" s="71" t="s">
        <v>3496</v>
      </c>
      <c r="AJ8" s="71" t="s">
        <v>3492</v>
      </c>
      <c r="AK8" s="71" t="s">
        <v>3490</v>
      </c>
      <c r="AL8" s="71" t="s">
        <v>3498</v>
      </c>
      <c r="AM8" s="71"/>
      <c r="AN8" s="71"/>
      <c r="AO8" s="71"/>
      <c r="AP8" s="20" t="s">
        <v>3499</v>
      </c>
      <c r="AQ8" s="18" t="s">
        <v>2909</v>
      </c>
      <c r="AR8" s="14" t="s">
        <v>1932</v>
      </c>
    </row>
    <row r="9" spans="1:44" s="14" customFormat="1" x14ac:dyDescent="0.2">
      <c r="A9" s="18" t="s">
        <v>1837</v>
      </c>
      <c r="B9" s="18"/>
      <c r="C9" s="1" t="s">
        <v>2067</v>
      </c>
      <c r="D9" s="1" t="s">
        <v>1494</v>
      </c>
      <c r="E9" s="1" t="s">
        <v>3370</v>
      </c>
      <c r="F9" s="18" t="s">
        <v>484</v>
      </c>
      <c r="G9" s="18" t="s">
        <v>2557</v>
      </c>
      <c r="H9" s="54" t="s">
        <v>2073</v>
      </c>
      <c r="I9" s="18"/>
      <c r="J9" s="248"/>
      <c r="K9" s="37" t="s">
        <v>1299</v>
      </c>
      <c r="L9" s="36" t="s">
        <v>977</v>
      </c>
      <c r="M9" s="514"/>
      <c r="N9" s="514">
        <f>IF($C9="","",VLOOKUP($C9,'2017 Pricelist'!$C:$I,7,FALSE))</f>
        <v>124.99</v>
      </c>
      <c r="O9" s="35">
        <v>1</v>
      </c>
      <c r="P9" s="239">
        <v>10</v>
      </c>
      <c r="Q9" s="44">
        <f>CONVERT(0.18,"kg","lbm")</f>
        <v>0.39683207193277964</v>
      </c>
      <c r="R9" s="441">
        <f t="shared" si="0"/>
        <v>9.133858267716537</v>
      </c>
      <c r="S9" s="441">
        <f t="shared" si="1"/>
        <v>4.2913385826771657</v>
      </c>
      <c r="T9" s="442">
        <v>3.2</v>
      </c>
      <c r="U9" s="120"/>
      <c r="V9" s="121"/>
      <c r="W9" s="121"/>
      <c r="X9" s="122"/>
      <c r="Y9" s="90" t="s">
        <v>259</v>
      </c>
      <c r="Z9" s="89" t="s">
        <v>259</v>
      </c>
      <c r="AA9" s="89" t="s">
        <v>259</v>
      </c>
      <c r="AB9" s="249" t="s">
        <v>259</v>
      </c>
      <c r="AC9" s="44">
        <v>8.6</v>
      </c>
      <c r="AD9" s="33">
        <v>12</v>
      </c>
      <c r="AE9" s="33">
        <v>10.375</v>
      </c>
      <c r="AF9" s="70">
        <v>8.5</v>
      </c>
      <c r="AG9" s="42"/>
      <c r="AH9" s="71" t="s">
        <v>3514</v>
      </c>
      <c r="AI9" s="71" t="s">
        <v>3496</v>
      </c>
      <c r="AJ9" s="71" t="s">
        <v>3492</v>
      </c>
      <c r="AK9" s="71" t="s">
        <v>3500</v>
      </c>
      <c r="AL9" s="71" t="s">
        <v>3501</v>
      </c>
      <c r="AM9" s="71"/>
      <c r="AN9" s="71"/>
      <c r="AO9" s="71"/>
      <c r="AP9" s="20" t="s">
        <v>3502</v>
      </c>
      <c r="AQ9" s="18" t="s">
        <v>2909</v>
      </c>
      <c r="AR9" s="14" t="s">
        <v>1932</v>
      </c>
    </row>
    <row r="10" spans="1:44" s="14" customFormat="1" x14ac:dyDescent="0.2">
      <c r="A10" s="18" t="s">
        <v>1837</v>
      </c>
      <c r="B10" s="18"/>
      <c r="C10" s="1" t="s">
        <v>2068</v>
      </c>
      <c r="D10" s="1" t="s">
        <v>1550</v>
      </c>
      <c r="E10" s="1" t="s">
        <v>3371</v>
      </c>
      <c r="F10" s="18" t="s">
        <v>484</v>
      </c>
      <c r="G10" s="18" t="s">
        <v>2557</v>
      </c>
      <c r="H10" s="66">
        <v>7391846015376</v>
      </c>
      <c r="I10" s="18"/>
      <c r="J10" s="248"/>
      <c r="K10" s="37" t="s">
        <v>1299</v>
      </c>
      <c r="L10" s="36" t="s">
        <v>977</v>
      </c>
      <c r="M10" s="514"/>
      <c r="N10" s="514">
        <f>IF($C10="","",VLOOKUP($C10,'2017 Pricelist'!$C:$I,7,FALSE))</f>
        <v>129.99</v>
      </c>
      <c r="O10" s="35">
        <v>1</v>
      </c>
      <c r="P10" s="239">
        <v>10</v>
      </c>
      <c r="Q10" s="44">
        <f>CONVERT(0.18,"kg","lbm")</f>
        <v>0.39683207193277964</v>
      </c>
      <c r="R10" s="441">
        <f t="shared" si="0"/>
        <v>9.133858267716537</v>
      </c>
      <c r="S10" s="441">
        <f t="shared" si="1"/>
        <v>4.2913385826771657</v>
      </c>
      <c r="T10" s="442">
        <v>3.2</v>
      </c>
      <c r="U10" s="120"/>
      <c r="V10" s="121"/>
      <c r="W10" s="121"/>
      <c r="X10" s="122"/>
      <c r="Y10" s="90" t="s">
        <v>259</v>
      </c>
      <c r="Z10" s="89" t="s">
        <v>259</v>
      </c>
      <c r="AA10" s="89" t="s">
        <v>259</v>
      </c>
      <c r="AB10" s="249" t="s">
        <v>259</v>
      </c>
      <c r="AC10" s="44">
        <v>8.6</v>
      </c>
      <c r="AD10" s="33">
        <v>12</v>
      </c>
      <c r="AE10" s="33">
        <v>10.5</v>
      </c>
      <c r="AF10" s="70">
        <v>8.25</v>
      </c>
      <c r="AG10" s="42"/>
      <c r="AH10" s="71" t="s">
        <v>3497</v>
      </c>
      <c r="AI10" s="71" t="s">
        <v>3496</v>
      </c>
      <c r="AJ10" s="71" t="s">
        <v>3492</v>
      </c>
      <c r="AK10" s="71" t="s">
        <v>3500</v>
      </c>
      <c r="AL10" s="71" t="s">
        <v>3501</v>
      </c>
      <c r="AM10" s="71"/>
      <c r="AN10" s="71"/>
      <c r="AO10" s="71"/>
      <c r="AP10" s="20" t="s">
        <v>3503</v>
      </c>
      <c r="AQ10" s="18" t="s">
        <v>2909</v>
      </c>
      <c r="AR10" s="14" t="s">
        <v>1932</v>
      </c>
    </row>
    <row r="11" spans="1:44" s="14" customFormat="1" ht="12.75" customHeight="1" x14ac:dyDescent="0.2">
      <c r="A11" s="18" t="s">
        <v>1837</v>
      </c>
      <c r="B11" s="18"/>
      <c r="C11" s="426" t="s">
        <v>1204</v>
      </c>
      <c r="D11" s="1" t="s">
        <v>1494</v>
      </c>
      <c r="E11" s="426" t="s">
        <v>3372</v>
      </c>
      <c r="F11" s="18" t="s">
        <v>484</v>
      </c>
      <c r="G11" s="18" t="s">
        <v>3619</v>
      </c>
      <c r="H11" s="97" t="s">
        <v>1273</v>
      </c>
      <c r="I11" s="18"/>
      <c r="J11" s="248"/>
      <c r="K11" s="37" t="s">
        <v>1299</v>
      </c>
      <c r="L11" s="36" t="s">
        <v>977</v>
      </c>
      <c r="M11" s="514">
        <v>69.989999999999995</v>
      </c>
      <c r="N11" s="514">
        <f>IF($C11="","",VLOOKUP($C11,'2017 Pricelist'!$C:$I,7,FALSE))</f>
        <v>99.990000000000009</v>
      </c>
      <c r="O11" s="35">
        <v>1</v>
      </c>
      <c r="P11" s="444">
        <v>5</v>
      </c>
      <c r="Q11" s="44">
        <f>CONVERT(0.2285,"kg","lbm")</f>
        <v>0.5037562690924452</v>
      </c>
      <c r="R11" s="441">
        <f t="shared" si="0"/>
        <v>9.133858267716537</v>
      </c>
      <c r="S11" s="441">
        <f t="shared" si="1"/>
        <v>4.2913385826771657</v>
      </c>
      <c r="T11" s="442">
        <v>3.2</v>
      </c>
      <c r="U11" s="44">
        <v>0.61729433411765722</v>
      </c>
      <c r="V11" s="33">
        <v>5.75</v>
      </c>
      <c r="W11" s="33">
        <v>1.25</v>
      </c>
      <c r="X11" s="70">
        <v>11.8125</v>
      </c>
      <c r="Y11" s="90" t="s">
        <v>259</v>
      </c>
      <c r="Z11" s="89" t="s">
        <v>259</v>
      </c>
      <c r="AA11" s="89" t="s">
        <v>259</v>
      </c>
      <c r="AB11" s="249" t="s">
        <v>259</v>
      </c>
      <c r="AC11" s="44">
        <v>3.3</v>
      </c>
      <c r="AD11" s="33">
        <v>12</v>
      </c>
      <c r="AE11" s="33">
        <v>6</v>
      </c>
      <c r="AF11" s="70">
        <v>5.75</v>
      </c>
      <c r="AG11" s="42">
        <f>AD11*AE11*AF11/(12^3)</f>
        <v>0.23958333333333334</v>
      </c>
      <c r="AH11" s="51" t="s">
        <v>3515</v>
      </c>
      <c r="AI11" s="20" t="s">
        <v>3504</v>
      </c>
      <c r="AJ11" s="71" t="s">
        <v>3492</v>
      </c>
      <c r="AK11" s="459" t="s">
        <v>3505</v>
      </c>
      <c r="AL11" s="459" t="s">
        <v>3506</v>
      </c>
      <c r="AM11" s="459" t="s">
        <v>3507</v>
      </c>
      <c r="AN11" s="71" t="s">
        <v>3508</v>
      </c>
      <c r="AP11" s="72" t="s">
        <v>3622</v>
      </c>
      <c r="AQ11" s="18" t="s">
        <v>2909</v>
      </c>
      <c r="AR11" s="14" t="s">
        <v>1932</v>
      </c>
    </row>
    <row r="12" spans="1:44" s="14" customFormat="1" ht="12.75" customHeight="1" x14ac:dyDescent="0.2">
      <c r="A12" s="18" t="s">
        <v>1837</v>
      </c>
      <c r="B12" s="18"/>
      <c r="C12" s="426" t="s">
        <v>5111</v>
      </c>
      <c r="D12" s="1" t="s">
        <v>1550</v>
      </c>
      <c r="E12" s="426" t="s">
        <v>5464</v>
      </c>
      <c r="F12" s="18" t="s">
        <v>5465</v>
      </c>
      <c r="G12" s="18" t="s">
        <v>3619</v>
      </c>
      <c r="H12" s="97" t="s">
        <v>5466</v>
      </c>
      <c r="I12" s="18"/>
      <c r="J12" s="248"/>
      <c r="K12" s="37" t="s">
        <v>1299</v>
      </c>
      <c r="L12" s="36" t="s">
        <v>977</v>
      </c>
      <c r="M12" s="514">
        <v>69.989999999999995</v>
      </c>
      <c r="N12" s="514">
        <v>99.990000000000009</v>
      </c>
      <c r="O12" s="35">
        <v>1</v>
      </c>
      <c r="P12" s="444">
        <v>5</v>
      </c>
      <c r="Q12" s="44">
        <f>CONVERT(0.2285,"kg","lbm")</f>
        <v>0.5037562690924452</v>
      </c>
      <c r="R12" s="441">
        <f t="shared" si="0"/>
        <v>9.133858267716537</v>
      </c>
      <c r="S12" s="441">
        <f t="shared" si="1"/>
        <v>4.2913385826771657</v>
      </c>
      <c r="T12" s="442">
        <v>3.2</v>
      </c>
      <c r="U12" s="44">
        <v>0.61729433411765722</v>
      </c>
      <c r="V12" s="33">
        <v>5.75</v>
      </c>
      <c r="W12" s="33">
        <v>1.25</v>
      </c>
      <c r="X12" s="70">
        <v>11.8125</v>
      </c>
      <c r="Y12" s="90" t="s">
        <v>259</v>
      </c>
      <c r="Z12" s="89" t="s">
        <v>259</v>
      </c>
      <c r="AA12" s="89" t="s">
        <v>259</v>
      </c>
      <c r="AB12" s="249" t="s">
        <v>259</v>
      </c>
      <c r="AC12" s="44">
        <v>3.3</v>
      </c>
      <c r="AD12" s="33">
        <v>12</v>
      </c>
      <c r="AE12" s="33">
        <v>6</v>
      </c>
      <c r="AF12" s="70">
        <v>5.75</v>
      </c>
      <c r="AG12" s="42">
        <f>AD12*AE12*AF12/(12^3)</f>
        <v>0.23958333333333334</v>
      </c>
      <c r="AH12" s="51" t="s">
        <v>5468</v>
      </c>
      <c r="AI12" s="20" t="s">
        <v>3504</v>
      </c>
      <c r="AJ12" s="71" t="s">
        <v>3492</v>
      </c>
      <c r="AK12" s="459" t="s">
        <v>5467</v>
      </c>
      <c r="AL12" s="459" t="s">
        <v>3506</v>
      </c>
      <c r="AM12" s="459" t="s">
        <v>3507</v>
      </c>
      <c r="AN12" s="71" t="s">
        <v>3508</v>
      </c>
      <c r="AP12" t="s">
        <v>5469</v>
      </c>
      <c r="AQ12" s="18" t="s">
        <v>2909</v>
      </c>
      <c r="AR12" s="14" t="s">
        <v>1932</v>
      </c>
    </row>
    <row r="13" spans="1:44" s="14" customFormat="1" x14ac:dyDescent="0.2">
      <c r="A13" s="18" t="s">
        <v>1837</v>
      </c>
      <c r="B13" s="18"/>
      <c r="C13" s="1" t="s">
        <v>2064</v>
      </c>
      <c r="D13" s="1" t="s">
        <v>1550</v>
      </c>
      <c r="E13" s="1" t="s">
        <v>1624</v>
      </c>
      <c r="F13" s="18" t="s">
        <v>1406</v>
      </c>
      <c r="G13" s="18" t="s">
        <v>3619</v>
      </c>
      <c r="H13" s="3" t="s">
        <v>2071</v>
      </c>
      <c r="I13" s="18"/>
      <c r="J13" s="248"/>
      <c r="K13" s="37" t="s">
        <v>1299</v>
      </c>
      <c r="L13" s="36" t="s">
        <v>977</v>
      </c>
      <c r="M13" s="514"/>
      <c r="N13" s="514">
        <f>IF($C13="","",VLOOKUP($C13,'2017 Pricelist'!$C:$I,7,FALSE))</f>
        <v>49.99</v>
      </c>
      <c r="O13" s="35">
        <v>1</v>
      </c>
      <c r="P13" s="239">
        <v>15</v>
      </c>
      <c r="Q13" s="44">
        <f>CONVERT(0.142,"kg","lbm")</f>
        <v>0.31305641230252612</v>
      </c>
      <c r="R13" s="441">
        <f t="shared" si="0"/>
        <v>9.133858267716537</v>
      </c>
      <c r="S13" s="441">
        <f t="shared" si="1"/>
        <v>4.2913385826771657</v>
      </c>
      <c r="T13" s="442">
        <v>2.5</v>
      </c>
      <c r="U13" s="437"/>
      <c r="V13" s="121"/>
      <c r="W13" s="121"/>
      <c r="X13" s="122"/>
      <c r="Y13" s="90" t="s">
        <v>259</v>
      </c>
      <c r="Z13" s="89" t="s">
        <v>259</v>
      </c>
      <c r="AA13" s="89" t="s">
        <v>259</v>
      </c>
      <c r="AB13" s="249" t="s">
        <v>259</v>
      </c>
      <c r="AC13" s="44">
        <v>2.5499999999999998</v>
      </c>
      <c r="AD13" s="33">
        <v>12</v>
      </c>
      <c r="AE13" s="33">
        <v>5.75</v>
      </c>
      <c r="AF13" s="70">
        <v>5.75</v>
      </c>
      <c r="AG13" s="42"/>
      <c r="AH13" s="20" t="s">
        <v>3509</v>
      </c>
      <c r="AI13" s="20" t="s">
        <v>3513</v>
      </c>
      <c r="AJ13" s="20" t="s">
        <v>3510</v>
      </c>
      <c r="AK13" s="20" t="s">
        <v>3519</v>
      </c>
      <c r="AL13" s="71" t="s">
        <v>3511</v>
      </c>
      <c r="AP13" s="20" t="s">
        <v>3512</v>
      </c>
      <c r="AQ13" s="18" t="s">
        <v>2909</v>
      </c>
      <c r="AR13" s="14" t="s">
        <v>1932</v>
      </c>
    </row>
    <row r="14" spans="1:44" s="14" customFormat="1" x14ac:dyDescent="0.2">
      <c r="A14" s="18" t="s">
        <v>1837</v>
      </c>
      <c r="B14" s="18"/>
      <c r="C14" s="1" t="s">
        <v>2063</v>
      </c>
      <c r="D14" s="1" t="s">
        <v>1550</v>
      </c>
      <c r="E14" s="1" t="s">
        <v>1620</v>
      </c>
      <c r="F14" s="18" t="s">
        <v>219</v>
      </c>
      <c r="G14" s="18" t="s">
        <v>2557</v>
      </c>
      <c r="H14" s="3" t="s">
        <v>2070</v>
      </c>
      <c r="I14" s="18"/>
      <c r="J14" s="248"/>
      <c r="K14" s="37" t="s">
        <v>1299</v>
      </c>
      <c r="L14" s="36" t="s">
        <v>977</v>
      </c>
      <c r="M14" s="514"/>
      <c r="N14" s="514">
        <f>IF($C14="","",VLOOKUP($C14,'2017 Pricelist'!$C:$I,7,FALSE))</f>
        <v>49.99</v>
      </c>
      <c r="O14" s="35">
        <v>1</v>
      </c>
      <c r="P14" s="239">
        <v>15</v>
      </c>
      <c r="Q14" s="44">
        <f t="shared" ref="Q14:Q15" si="2">CONVERT(0.1735,"kg","lbm")</f>
        <v>0.38250202489076257</v>
      </c>
      <c r="R14" s="441">
        <f t="shared" si="0"/>
        <v>9.133858267716537</v>
      </c>
      <c r="S14" s="441">
        <f t="shared" si="1"/>
        <v>4.2913385826771657</v>
      </c>
      <c r="T14" s="442">
        <v>3.2</v>
      </c>
      <c r="U14" s="437"/>
      <c r="V14" s="121"/>
      <c r="W14" s="121"/>
      <c r="X14" s="122"/>
      <c r="Y14" s="90" t="s">
        <v>259</v>
      </c>
      <c r="Z14" s="89" t="s">
        <v>259</v>
      </c>
      <c r="AA14" s="89" t="s">
        <v>259</v>
      </c>
      <c r="AB14" s="249" t="s">
        <v>259</v>
      </c>
      <c r="AC14" s="120"/>
      <c r="AD14" s="121"/>
      <c r="AE14" s="121"/>
      <c r="AF14" s="122"/>
      <c r="AG14" s="42"/>
      <c r="AH14" s="71" t="s">
        <v>3516</v>
      </c>
      <c r="AI14" s="71" t="s">
        <v>3517</v>
      </c>
      <c r="AJ14" s="71" t="s">
        <v>3492</v>
      </c>
      <c r="AK14" s="71" t="s">
        <v>3520</v>
      </c>
      <c r="AL14" s="71" t="s">
        <v>3521</v>
      </c>
      <c r="AM14" s="98"/>
      <c r="AN14" s="98"/>
      <c r="AO14" s="98"/>
      <c r="AP14" s="52" t="s">
        <v>3522</v>
      </c>
      <c r="AQ14" s="18" t="s">
        <v>2909</v>
      </c>
      <c r="AR14" s="14" t="s">
        <v>1932</v>
      </c>
    </row>
    <row r="15" spans="1:44" s="14" customFormat="1" x14ac:dyDescent="0.2">
      <c r="A15" s="18" t="s">
        <v>1837</v>
      </c>
      <c r="B15" s="18"/>
      <c r="C15" s="1" t="s">
        <v>1200</v>
      </c>
      <c r="D15" s="1" t="s">
        <v>1550</v>
      </c>
      <c r="E15" s="1" t="s">
        <v>1620</v>
      </c>
      <c r="F15" s="18" t="s">
        <v>219</v>
      </c>
      <c r="G15" s="18" t="s">
        <v>3619</v>
      </c>
      <c r="H15" s="3" t="s">
        <v>1270</v>
      </c>
      <c r="I15" s="18"/>
      <c r="J15" s="248"/>
      <c r="K15" s="37" t="s">
        <v>1299</v>
      </c>
      <c r="L15" s="36" t="s">
        <v>977</v>
      </c>
      <c r="M15" s="514"/>
      <c r="N15" s="514">
        <v>49.99</v>
      </c>
      <c r="O15" s="35">
        <v>1</v>
      </c>
      <c r="P15" s="239">
        <v>5</v>
      </c>
      <c r="Q15" s="44">
        <f t="shared" si="2"/>
        <v>0.38250202489076257</v>
      </c>
      <c r="R15" s="441">
        <f t="shared" si="0"/>
        <v>9.133858267716537</v>
      </c>
      <c r="S15" s="441">
        <f t="shared" si="1"/>
        <v>4.2913385826771657</v>
      </c>
      <c r="T15" s="442">
        <v>3.2</v>
      </c>
      <c r="U15" s="44">
        <v>0.5</v>
      </c>
      <c r="V15" s="33">
        <v>5.5</v>
      </c>
      <c r="W15" s="33">
        <v>1.25</v>
      </c>
      <c r="X15" s="70">
        <v>11.8125</v>
      </c>
      <c r="Y15" s="90" t="s">
        <v>259</v>
      </c>
      <c r="Z15" s="89" t="s">
        <v>259</v>
      </c>
      <c r="AA15" s="89" t="s">
        <v>259</v>
      </c>
      <c r="AB15" s="249" t="s">
        <v>259</v>
      </c>
      <c r="AC15" s="44">
        <v>2.7</v>
      </c>
      <c r="AD15" s="33">
        <v>12</v>
      </c>
      <c r="AE15" s="33">
        <v>5.75</v>
      </c>
      <c r="AF15" s="70">
        <v>5.75</v>
      </c>
      <c r="AG15" s="42">
        <f>AD15*AE15*AF15/(12^3)</f>
        <v>0.22960069444444445</v>
      </c>
      <c r="AH15" s="71" t="s">
        <v>3516</v>
      </c>
      <c r="AI15" s="71" t="s">
        <v>3517</v>
      </c>
      <c r="AJ15" s="71" t="s">
        <v>3492</v>
      </c>
      <c r="AK15" s="71" t="s">
        <v>3520</v>
      </c>
      <c r="AL15" s="71" t="s">
        <v>3521</v>
      </c>
      <c r="AM15" s="98"/>
      <c r="AN15" s="98"/>
      <c r="AO15" s="98"/>
      <c r="AP15" s="52" t="s">
        <v>3522</v>
      </c>
      <c r="AQ15" s="18" t="s">
        <v>2909</v>
      </c>
      <c r="AR15" s="14" t="s">
        <v>1932</v>
      </c>
    </row>
    <row r="16" spans="1:44" s="18" customFormat="1" ht="12.75" customHeight="1" x14ac:dyDescent="0.2">
      <c r="A16" s="18" t="s">
        <v>1837</v>
      </c>
      <c r="C16" s="426" t="s">
        <v>1542</v>
      </c>
      <c r="D16" s="1" t="s">
        <v>1550</v>
      </c>
      <c r="E16" s="426" t="s">
        <v>3373</v>
      </c>
      <c r="F16" s="18" t="s">
        <v>219</v>
      </c>
      <c r="G16" s="18" t="s">
        <v>3619</v>
      </c>
      <c r="H16" s="97" t="s">
        <v>1584</v>
      </c>
      <c r="J16" s="248"/>
      <c r="K16" s="37" t="s">
        <v>1299</v>
      </c>
      <c r="L16" s="36" t="s">
        <v>977</v>
      </c>
      <c r="M16" s="514"/>
      <c r="N16" s="514">
        <f>IF($C16="","",VLOOKUP($C16,'2017 Pricelist'!$C:$I,7,FALSE))</f>
        <v>74.990000000000009</v>
      </c>
      <c r="O16" s="35">
        <v>1</v>
      </c>
      <c r="P16" s="444">
        <v>5</v>
      </c>
      <c r="Q16" s="44">
        <f>CONVERT(0.212,"kg","lbm")</f>
        <v>0.46737999583194045</v>
      </c>
      <c r="R16" s="441">
        <f t="shared" si="0"/>
        <v>9.133858267716537</v>
      </c>
      <c r="S16" s="441">
        <f t="shared" si="1"/>
        <v>4.2913385826771657</v>
      </c>
      <c r="T16" s="442">
        <v>3.2</v>
      </c>
      <c r="U16" s="44">
        <v>0.65</v>
      </c>
      <c r="V16" s="33">
        <v>13.5</v>
      </c>
      <c r="W16" s="33">
        <v>5.0999999999999996</v>
      </c>
      <c r="X16" s="70">
        <v>2</v>
      </c>
      <c r="Y16" s="90" t="s">
        <v>259</v>
      </c>
      <c r="Z16" s="89" t="s">
        <v>259</v>
      </c>
      <c r="AA16" s="89" t="s">
        <v>259</v>
      </c>
      <c r="AB16" s="249" t="s">
        <v>259</v>
      </c>
      <c r="AC16" s="44">
        <v>3.8</v>
      </c>
      <c r="AD16" s="33">
        <v>15.25</v>
      </c>
      <c r="AE16" s="33">
        <v>8.25</v>
      </c>
      <c r="AF16" s="70">
        <v>5.25</v>
      </c>
      <c r="AG16" s="42">
        <f>AD16*AE16*AF16/(12^3)</f>
        <v>0.38224283854166669</v>
      </c>
      <c r="AH16" s="84" t="s">
        <v>3523</v>
      </c>
      <c r="AI16" s="84" t="s">
        <v>3524</v>
      </c>
      <c r="AJ16" s="71" t="s">
        <v>3492</v>
      </c>
      <c r="AK16" s="459" t="s">
        <v>3525</v>
      </c>
      <c r="AL16" s="459" t="s">
        <v>3506</v>
      </c>
      <c r="AM16" s="459" t="s">
        <v>3507</v>
      </c>
      <c r="AN16" s="71" t="s">
        <v>3526</v>
      </c>
      <c r="AP16" s="86" t="s">
        <v>3527</v>
      </c>
      <c r="AQ16" s="18" t="s">
        <v>2909</v>
      </c>
      <c r="AR16" s="14" t="s">
        <v>1932</v>
      </c>
    </row>
    <row r="17" spans="1:44" s="14" customFormat="1" x14ac:dyDescent="0.2">
      <c r="A17" s="18" t="s">
        <v>1837</v>
      </c>
      <c r="B17" s="18"/>
      <c r="C17" s="37" t="s">
        <v>1903</v>
      </c>
      <c r="D17" s="1" t="s">
        <v>4032</v>
      </c>
      <c r="E17" s="426" t="s">
        <v>3366</v>
      </c>
      <c r="F17" s="18" t="s">
        <v>484</v>
      </c>
      <c r="G17" s="18" t="s">
        <v>3619</v>
      </c>
      <c r="H17" s="97" t="s">
        <v>1904</v>
      </c>
      <c r="I17" s="18"/>
      <c r="J17" s="248"/>
      <c r="K17" s="37" t="s">
        <v>1044</v>
      </c>
      <c r="L17" s="36" t="s">
        <v>975</v>
      </c>
      <c r="M17" s="514"/>
      <c r="N17" s="514">
        <v>19.989999999999998</v>
      </c>
      <c r="O17" s="35">
        <v>1</v>
      </c>
      <c r="P17" s="444">
        <v>10</v>
      </c>
      <c r="Q17" s="44">
        <f>1.2/16</f>
        <v>7.4999999999999997E-2</v>
      </c>
      <c r="R17" s="441">
        <v>3.875</v>
      </c>
      <c r="S17" s="441">
        <v>2.625</v>
      </c>
      <c r="T17" s="442">
        <v>7.9375</v>
      </c>
      <c r="U17" s="44">
        <v>0.1</v>
      </c>
      <c r="V17" s="33">
        <v>7</v>
      </c>
      <c r="W17" s="33">
        <v>3</v>
      </c>
      <c r="X17" s="70">
        <v>1</v>
      </c>
      <c r="Y17" s="90" t="s">
        <v>259</v>
      </c>
      <c r="Z17" s="89" t="s">
        <v>259</v>
      </c>
      <c r="AA17" s="89" t="s">
        <v>259</v>
      </c>
      <c r="AB17" s="249" t="s">
        <v>259</v>
      </c>
      <c r="AC17" s="44">
        <v>0.75</v>
      </c>
      <c r="AD17" s="33">
        <v>10.5</v>
      </c>
      <c r="AE17" s="33">
        <v>8.75</v>
      </c>
      <c r="AF17" s="70">
        <v>2</v>
      </c>
      <c r="AG17" s="42">
        <f>AD17*AE17*AF17/(12^3)</f>
        <v>0.10633680555555555</v>
      </c>
      <c r="AH17" s="51" t="s">
        <v>3532</v>
      </c>
      <c r="AI17" s="51" t="s">
        <v>3529</v>
      </c>
      <c r="AJ17" s="51" t="s">
        <v>3530</v>
      </c>
      <c r="AK17" s="51" t="s">
        <v>3531</v>
      </c>
      <c r="AM17" s="51"/>
      <c r="AN17" s="51"/>
      <c r="AO17" s="51"/>
      <c r="AP17" s="51" t="s">
        <v>3528</v>
      </c>
      <c r="AQ17" s="18" t="s">
        <v>2909</v>
      </c>
      <c r="AR17" s="14" t="s">
        <v>1932</v>
      </c>
    </row>
    <row r="18" spans="1:44" s="14" customFormat="1" x14ac:dyDescent="0.2">
      <c r="A18" s="18" t="s">
        <v>1837</v>
      </c>
      <c r="B18" s="18"/>
      <c r="C18" s="426" t="s">
        <v>2069</v>
      </c>
      <c r="D18" s="1" t="s">
        <v>1494</v>
      </c>
      <c r="E18" s="426" t="s">
        <v>3535</v>
      </c>
      <c r="F18" s="18" t="s">
        <v>484</v>
      </c>
      <c r="G18" s="18" t="s">
        <v>2557</v>
      </c>
      <c r="H18" s="66">
        <v>7391846015451</v>
      </c>
      <c r="I18" s="18"/>
      <c r="J18" s="248"/>
      <c r="K18" s="37" t="s">
        <v>1299</v>
      </c>
      <c r="L18" s="36" t="s">
        <v>977</v>
      </c>
      <c r="M18" s="514">
        <v>89.99</v>
      </c>
      <c r="N18" s="514">
        <f>IF($C18="","",VLOOKUP($C18,'2017 Pricelist'!$C:$I,7,FALSE))</f>
        <v>129.99</v>
      </c>
      <c r="O18" s="35">
        <v>1</v>
      </c>
      <c r="P18" s="444">
        <v>10</v>
      </c>
      <c r="Q18" s="44">
        <f>CONVERT(0.25,"kg","lbm")</f>
        <v>0.55115565546219392</v>
      </c>
      <c r="R18" s="441">
        <f>CONVERT(295,"mm","in")</f>
        <v>11.614173228346457</v>
      </c>
      <c r="S18" s="441">
        <f>CONVERT(170,"mm","in")</f>
        <v>6.6929133858267713</v>
      </c>
      <c r="T18" s="442">
        <v>3.2</v>
      </c>
      <c r="U18" s="120"/>
      <c r="V18" s="227"/>
      <c r="W18" s="227"/>
      <c r="X18" s="439"/>
      <c r="Y18" s="90" t="s">
        <v>259</v>
      </c>
      <c r="Z18" s="89" t="s">
        <v>259</v>
      </c>
      <c r="AA18" s="89" t="s">
        <v>259</v>
      </c>
      <c r="AB18" s="249" t="s">
        <v>259</v>
      </c>
      <c r="AC18" s="44">
        <v>8.6999999999999993</v>
      </c>
      <c r="AD18" s="33">
        <v>15.5</v>
      </c>
      <c r="AE18" s="33">
        <v>8.75</v>
      </c>
      <c r="AF18" s="70">
        <v>7</v>
      </c>
      <c r="AG18" s="42"/>
      <c r="AH18" s="51" t="s">
        <v>2701</v>
      </c>
      <c r="AI18" s="71" t="s">
        <v>3496</v>
      </c>
      <c r="AJ18" s="71" t="s">
        <v>3492</v>
      </c>
      <c r="AK18" s="71" t="s">
        <v>3500</v>
      </c>
      <c r="AL18" s="71" t="s">
        <v>3534</v>
      </c>
      <c r="AP18" s="73" t="s">
        <v>3533</v>
      </c>
      <c r="AQ18" s="18" t="s">
        <v>2909</v>
      </c>
      <c r="AR18" s="14" t="s">
        <v>1932</v>
      </c>
    </row>
    <row r="19" spans="1:44" s="18" customFormat="1" ht="15.75" x14ac:dyDescent="0.25">
      <c r="A19" s="105" t="s">
        <v>1158</v>
      </c>
      <c r="B19" s="105"/>
      <c r="C19" s="33"/>
      <c r="D19" s="33"/>
      <c r="E19" s="34"/>
      <c r="H19" s="223"/>
      <c r="K19" s="36"/>
      <c r="L19" s="36"/>
      <c r="M19" s="504"/>
      <c r="N19" s="504"/>
      <c r="O19" s="35"/>
      <c r="P19" s="187"/>
      <c r="Q19" s="44"/>
      <c r="R19" s="151"/>
      <c r="S19" s="151"/>
      <c r="T19" s="152"/>
      <c r="U19" s="44"/>
      <c r="V19" s="33"/>
      <c r="W19" s="33"/>
      <c r="X19" s="70"/>
      <c r="Y19" s="44"/>
      <c r="Z19" s="33"/>
      <c r="AA19" s="33"/>
      <c r="AB19" s="70"/>
      <c r="AC19" s="44"/>
      <c r="AD19" s="33"/>
      <c r="AE19" s="33"/>
      <c r="AF19" s="70"/>
      <c r="AG19" s="44"/>
    </row>
    <row r="20" spans="1:44" s="14" customFormat="1" x14ac:dyDescent="0.2">
      <c r="A20" s="18" t="s">
        <v>1837</v>
      </c>
      <c r="B20" s="18"/>
      <c r="C20" s="1" t="s">
        <v>1207</v>
      </c>
      <c r="D20" s="1" t="s">
        <v>1550</v>
      </c>
      <c r="E20" s="1" t="s">
        <v>2540</v>
      </c>
      <c r="F20" s="18" t="s">
        <v>1916</v>
      </c>
      <c r="G20" s="18" t="s">
        <v>3344</v>
      </c>
      <c r="H20" s="3" t="s">
        <v>1276</v>
      </c>
      <c r="I20" s="18"/>
      <c r="J20" s="248"/>
      <c r="K20" s="37" t="s">
        <v>1299</v>
      </c>
      <c r="L20" s="36" t="s">
        <v>977</v>
      </c>
      <c r="M20" s="514"/>
      <c r="N20" s="514">
        <f>IF($C20="","",VLOOKUP($C20,'2017 Pricelist'!$C:$I,7,FALSE))</f>
        <v>19.989999999999998</v>
      </c>
      <c r="O20" s="35">
        <v>1</v>
      </c>
      <c r="P20" s="239">
        <v>15</v>
      </c>
      <c r="Q20" s="44">
        <f>CONVERT(0.116,"kg","lbm")</f>
        <v>0.25573622413445801</v>
      </c>
      <c r="R20" s="441">
        <f>CONVERT(218,"mm","in")</f>
        <v>8.5826771653543314</v>
      </c>
      <c r="S20" s="441">
        <f>CONVERT(104,"mm","in")</f>
        <v>4.0944881889763778</v>
      </c>
      <c r="T20" s="442">
        <v>2.5</v>
      </c>
      <c r="U20" s="44">
        <v>0.25573622413445796</v>
      </c>
      <c r="V20" s="33">
        <v>9.125</v>
      </c>
      <c r="W20" s="33">
        <v>1.75</v>
      </c>
      <c r="X20" s="70">
        <v>1.375</v>
      </c>
      <c r="Y20" s="90" t="s">
        <v>259</v>
      </c>
      <c r="Z20" s="89" t="s">
        <v>259</v>
      </c>
      <c r="AA20" s="89" t="s">
        <v>259</v>
      </c>
      <c r="AB20" s="249" t="s">
        <v>259</v>
      </c>
      <c r="AC20" s="44">
        <v>4.4000000000000004</v>
      </c>
      <c r="AD20" s="33">
        <v>9.75</v>
      </c>
      <c r="AE20" s="33">
        <v>5</v>
      </c>
      <c r="AF20" s="70">
        <v>10.25</v>
      </c>
      <c r="AG20" s="42">
        <f t="shared" ref="AG20:AG30" si="3">AD20*AE20*AF20/(12^3)</f>
        <v>0.28917100694444442</v>
      </c>
      <c r="AH20" s="85" t="s">
        <v>3536</v>
      </c>
      <c r="AI20" s="85" t="s">
        <v>3537</v>
      </c>
      <c r="AJ20" s="85" t="s">
        <v>3538</v>
      </c>
      <c r="AK20" s="37" t="s">
        <v>3544</v>
      </c>
      <c r="AL20" s="85" t="s">
        <v>3540</v>
      </c>
      <c r="AM20" s="85"/>
      <c r="AN20" s="85"/>
      <c r="AO20" s="85"/>
      <c r="AP20" s="84" t="s">
        <v>3541</v>
      </c>
      <c r="AQ20" s="18" t="s">
        <v>2909</v>
      </c>
      <c r="AR20" s="14" t="s">
        <v>1932</v>
      </c>
    </row>
    <row r="21" spans="1:44" s="14" customFormat="1" x14ac:dyDescent="0.2">
      <c r="A21" s="18" t="s">
        <v>1837</v>
      </c>
      <c r="B21" s="18"/>
      <c r="C21" s="84" t="s">
        <v>1941</v>
      </c>
      <c r="D21" s="1" t="s">
        <v>1550</v>
      </c>
      <c r="E21" s="84" t="s">
        <v>2540</v>
      </c>
      <c r="F21" s="18" t="s">
        <v>1916</v>
      </c>
      <c r="G21" s="18" t="s">
        <v>3619</v>
      </c>
      <c r="H21" s="445">
        <v>7391846014683</v>
      </c>
      <c r="I21" s="18"/>
      <c r="J21" s="248"/>
      <c r="K21" s="37" t="s">
        <v>1299</v>
      </c>
      <c r="L21" s="36" t="s">
        <v>977</v>
      </c>
      <c r="M21" s="514"/>
      <c r="N21" s="514">
        <f>IF($C21="","",VLOOKUP($C21,'2017 Pricelist'!$C:$I,7,FALSE))</f>
        <v>19.989999999999998</v>
      </c>
      <c r="O21" s="35">
        <v>1</v>
      </c>
      <c r="P21" s="239">
        <v>5</v>
      </c>
      <c r="Q21" s="44">
        <f>CONVERT(0.116,"kg","lbm")</f>
        <v>0.25573622413445801</v>
      </c>
      <c r="R21" s="441">
        <f>CONVERT(218,"mm","in")</f>
        <v>8.5826771653543314</v>
      </c>
      <c r="S21" s="441">
        <f>CONVERT(104,"mm","in")</f>
        <v>4.0944881889763778</v>
      </c>
      <c r="T21" s="442">
        <v>2.5</v>
      </c>
      <c r="U21" s="44">
        <v>0.37478584571429185</v>
      </c>
      <c r="V21" s="33">
        <v>5.5</v>
      </c>
      <c r="W21" s="33">
        <v>1.25</v>
      </c>
      <c r="X21" s="70">
        <v>11.8125</v>
      </c>
      <c r="Y21" s="90" t="s">
        <v>259</v>
      </c>
      <c r="Z21" s="89" t="s">
        <v>259</v>
      </c>
      <c r="AA21" s="89" t="s">
        <v>259</v>
      </c>
      <c r="AB21" s="249" t="s">
        <v>259</v>
      </c>
      <c r="AC21" s="44">
        <v>2.1</v>
      </c>
      <c r="AD21" s="33">
        <v>12</v>
      </c>
      <c r="AE21" s="33">
        <v>5.75</v>
      </c>
      <c r="AF21" s="70">
        <v>5.75</v>
      </c>
      <c r="AG21" s="42">
        <f t="shared" si="3"/>
        <v>0.22960069444444445</v>
      </c>
      <c r="AH21" s="85" t="s">
        <v>3536</v>
      </c>
      <c r="AI21" s="85" t="s">
        <v>3537</v>
      </c>
      <c r="AJ21" s="85" t="s">
        <v>3538</v>
      </c>
      <c r="AK21" s="37" t="s">
        <v>3544</v>
      </c>
      <c r="AL21" s="85" t="s">
        <v>3540</v>
      </c>
      <c r="AM21" s="85"/>
      <c r="AN21" s="85"/>
      <c r="AO21" s="85"/>
      <c r="AP21" s="84" t="s">
        <v>3541</v>
      </c>
      <c r="AQ21" s="18" t="s">
        <v>2909</v>
      </c>
      <c r="AR21" s="14" t="s">
        <v>1932</v>
      </c>
    </row>
    <row r="22" spans="1:44" s="14" customFormat="1" x14ac:dyDescent="0.2">
      <c r="A22" s="18" t="s">
        <v>1837</v>
      </c>
      <c r="B22" s="18"/>
      <c r="C22" s="1" t="s">
        <v>1208</v>
      </c>
      <c r="D22" s="1" t="s">
        <v>1550</v>
      </c>
      <c r="E22" s="1" t="s">
        <v>3374</v>
      </c>
      <c r="F22" s="18" t="s">
        <v>219</v>
      </c>
      <c r="G22" s="18" t="s">
        <v>3344</v>
      </c>
      <c r="H22" s="3" t="s">
        <v>1277</v>
      </c>
      <c r="I22" s="18"/>
      <c r="J22" s="248"/>
      <c r="K22" s="37" t="s">
        <v>1299</v>
      </c>
      <c r="L22" s="36" t="s">
        <v>977</v>
      </c>
      <c r="M22" s="514"/>
      <c r="N22" s="514">
        <f>IF($C22="","",VLOOKUP($C22,'2017 Pricelist'!$C:$I,7,FALSE))</f>
        <v>19.989999999999998</v>
      </c>
      <c r="O22" s="35">
        <v>1</v>
      </c>
      <c r="P22" s="239">
        <v>15</v>
      </c>
      <c r="Q22" s="44">
        <f t="shared" ref="Q22:Q29" si="4">CONVERT(0.116,"kg","lbm")</f>
        <v>0.25573622413445801</v>
      </c>
      <c r="R22" s="441">
        <f t="shared" ref="R22:R30" si="5">CONVERT(218,"mm","in")</f>
        <v>8.5826771653543314</v>
      </c>
      <c r="S22" s="441">
        <f t="shared" ref="S22:S29" si="6">CONVERT(104,"mm","in")</f>
        <v>4.0944881889763778</v>
      </c>
      <c r="T22" s="442">
        <v>2.5</v>
      </c>
      <c r="U22" s="44">
        <v>0.25573622413445796</v>
      </c>
      <c r="V22" s="33">
        <v>9.125</v>
      </c>
      <c r="W22" s="33">
        <v>1.75</v>
      </c>
      <c r="X22" s="70">
        <v>1.375</v>
      </c>
      <c r="Y22" s="90" t="s">
        <v>259</v>
      </c>
      <c r="Z22" s="89" t="s">
        <v>259</v>
      </c>
      <c r="AA22" s="89" t="s">
        <v>259</v>
      </c>
      <c r="AB22" s="249" t="s">
        <v>259</v>
      </c>
      <c r="AC22" s="44">
        <v>4.4000000000000004</v>
      </c>
      <c r="AD22" s="33">
        <v>9.75</v>
      </c>
      <c r="AE22" s="33">
        <v>5</v>
      </c>
      <c r="AF22" s="70">
        <v>10.25</v>
      </c>
      <c r="AG22" s="42">
        <f t="shared" si="3"/>
        <v>0.28917100694444442</v>
      </c>
      <c r="AH22" s="85" t="s">
        <v>3536</v>
      </c>
      <c r="AI22" s="85" t="s">
        <v>3537</v>
      </c>
      <c r="AJ22" s="85" t="s">
        <v>3538</v>
      </c>
      <c r="AK22" s="37" t="s">
        <v>3545</v>
      </c>
      <c r="AL22" s="85" t="s">
        <v>3540</v>
      </c>
      <c r="AM22" s="85"/>
      <c r="AN22" s="85"/>
      <c r="AO22" s="85"/>
      <c r="AP22" s="84" t="s">
        <v>3541</v>
      </c>
      <c r="AQ22" s="18" t="s">
        <v>2909</v>
      </c>
      <c r="AR22" s="14" t="s">
        <v>1932</v>
      </c>
    </row>
    <row r="23" spans="1:44" s="14" customFormat="1" x14ac:dyDescent="0.2">
      <c r="A23" s="18" t="s">
        <v>1837</v>
      </c>
      <c r="B23" s="18"/>
      <c r="C23" s="84" t="s">
        <v>1934</v>
      </c>
      <c r="D23" s="1" t="s">
        <v>1550</v>
      </c>
      <c r="E23" s="1" t="s">
        <v>3374</v>
      </c>
      <c r="F23" s="18" t="s">
        <v>219</v>
      </c>
      <c r="G23" s="18" t="s">
        <v>3619</v>
      </c>
      <c r="H23" s="109">
        <v>7391846014096</v>
      </c>
      <c r="I23" s="18"/>
      <c r="J23" s="248"/>
      <c r="K23" s="37" t="s">
        <v>1299</v>
      </c>
      <c r="L23" s="36" t="s">
        <v>977</v>
      </c>
      <c r="M23" s="514"/>
      <c r="N23" s="514">
        <f>IF($C23="","",VLOOKUP($C23,'2017 Pricelist'!$C:$I,7,FALSE))</f>
        <v>19.989999999999998</v>
      </c>
      <c r="O23" s="35">
        <v>1</v>
      </c>
      <c r="P23" s="239">
        <v>5</v>
      </c>
      <c r="Q23" s="44">
        <f t="shared" si="4"/>
        <v>0.25573622413445801</v>
      </c>
      <c r="R23" s="441">
        <f t="shared" si="5"/>
        <v>8.5826771653543314</v>
      </c>
      <c r="S23" s="441">
        <f t="shared" si="6"/>
        <v>4.0944881889763778</v>
      </c>
      <c r="T23" s="442">
        <v>2.5</v>
      </c>
      <c r="U23" s="44">
        <v>0.36376273260504799</v>
      </c>
      <c r="V23" s="33">
        <v>5.5</v>
      </c>
      <c r="W23" s="33">
        <v>1.25</v>
      </c>
      <c r="X23" s="70">
        <v>11.8125</v>
      </c>
      <c r="Y23" s="90" t="s">
        <v>259</v>
      </c>
      <c r="Z23" s="89" t="s">
        <v>259</v>
      </c>
      <c r="AA23" s="89" t="s">
        <v>259</v>
      </c>
      <c r="AB23" s="249" t="s">
        <v>259</v>
      </c>
      <c r="AC23" s="44">
        <v>2.0499999999999998</v>
      </c>
      <c r="AD23" s="33">
        <v>12</v>
      </c>
      <c r="AE23" s="33">
        <v>5.75</v>
      </c>
      <c r="AF23" s="70">
        <v>5.75</v>
      </c>
      <c r="AG23" s="42">
        <f t="shared" si="3"/>
        <v>0.22960069444444445</v>
      </c>
      <c r="AH23" s="85" t="s">
        <v>3536</v>
      </c>
      <c r="AI23" s="85" t="s">
        <v>3537</v>
      </c>
      <c r="AJ23" s="85" t="s">
        <v>3538</v>
      </c>
      <c r="AK23" s="37" t="s">
        <v>3545</v>
      </c>
      <c r="AL23" s="85" t="s">
        <v>3540</v>
      </c>
      <c r="AM23" s="85"/>
      <c r="AN23" s="85"/>
      <c r="AO23" s="85"/>
      <c r="AP23" s="84" t="s">
        <v>3541</v>
      </c>
      <c r="AQ23" s="18" t="s">
        <v>2909</v>
      </c>
      <c r="AR23" s="14" t="s">
        <v>1932</v>
      </c>
    </row>
    <row r="24" spans="1:44" s="14" customFormat="1" x14ac:dyDescent="0.2">
      <c r="A24" s="18" t="s">
        <v>1837</v>
      </c>
      <c r="B24" s="18"/>
      <c r="C24" s="84" t="s">
        <v>1489</v>
      </c>
      <c r="D24" s="1" t="s">
        <v>1550</v>
      </c>
      <c r="E24" s="84" t="s">
        <v>3375</v>
      </c>
      <c r="F24" s="18" t="s">
        <v>484</v>
      </c>
      <c r="G24" s="18" t="s">
        <v>3344</v>
      </c>
      <c r="H24" s="66">
        <v>7391846014201</v>
      </c>
      <c r="I24" s="18"/>
      <c r="J24" s="248"/>
      <c r="K24" s="37" t="s">
        <v>1299</v>
      </c>
      <c r="L24" s="36" t="s">
        <v>977</v>
      </c>
      <c r="M24" s="514"/>
      <c r="N24" s="514">
        <f>IF($C24="","",VLOOKUP($C24,'2017 Pricelist'!$C:$I,7,FALSE))</f>
        <v>19.989999999999998</v>
      </c>
      <c r="O24" s="35">
        <v>1</v>
      </c>
      <c r="P24" s="239">
        <v>15</v>
      </c>
      <c r="Q24" s="44">
        <f t="shared" si="4"/>
        <v>0.25573622413445801</v>
      </c>
      <c r="R24" s="441">
        <f t="shared" si="5"/>
        <v>8.5826771653543314</v>
      </c>
      <c r="S24" s="441">
        <f t="shared" si="6"/>
        <v>4.0944881889763778</v>
      </c>
      <c r="T24" s="442">
        <v>2.5</v>
      </c>
      <c r="U24" s="44">
        <v>0.25573622413445796</v>
      </c>
      <c r="V24" s="33">
        <v>9.125</v>
      </c>
      <c r="W24" s="33">
        <v>1.75</v>
      </c>
      <c r="X24" s="70">
        <v>1.375</v>
      </c>
      <c r="Y24" s="90" t="s">
        <v>259</v>
      </c>
      <c r="Z24" s="89" t="s">
        <v>259</v>
      </c>
      <c r="AA24" s="89" t="s">
        <v>259</v>
      </c>
      <c r="AB24" s="249" t="s">
        <v>259</v>
      </c>
      <c r="AC24" s="44">
        <v>4.4000000000000004</v>
      </c>
      <c r="AD24" s="33">
        <v>9.75</v>
      </c>
      <c r="AE24" s="33">
        <v>5</v>
      </c>
      <c r="AF24" s="70">
        <v>10.25</v>
      </c>
      <c r="AG24" s="42">
        <f t="shared" si="3"/>
        <v>0.28917100694444442</v>
      </c>
      <c r="AH24" s="85" t="s">
        <v>3536</v>
      </c>
      <c r="AI24" s="85" t="s">
        <v>3537</v>
      </c>
      <c r="AJ24" s="85" t="s">
        <v>3538</v>
      </c>
      <c r="AK24" s="37" t="s">
        <v>3546</v>
      </c>
      <c r="AL24" s="85" t="s">
        <v>3540</v>
      </c>
      <c r="AM24" s="85"/>
      <c r="AN24" s="85"/>
      <c r="AO24" s="85"/>
      <c r="AP24" s="84" t="s">
        <v>3541</v>
      </c>
      <c r="AQ24" s="18" t="s">
        <v>2909</v>
      </c>
      <c r="AR24" s="14" t="s">
        <v>1932</v>
      </c>
    </row>
    <row r="25" spans="1:44" s="14" customFormat="1" x14ac:dyDescent="0.2">
      <c r="A25" s="18" t="s">
        <v>1837</v>
      </c>
      <c r="B25" s="18"/>
      <c r="C25" s="84" t="s">
        <v>1935</v>
      </c>
      <c r="D25" s="1" t="s">
        <v>1550</v>
      </c>
      <c r="E25" s="84" t="s">
        <v>3375</v>
      </c>
      <c r="F25" s="18" t="s">
        <v>484</v>
      </c>
      <c r="G25" s="18" t="s">
        <v>3619</v>
      </c>
      <c r="H25" s="109">
        <v>7391846014058</v>
      </c>
      <c r="I25" s="18"/>
      <c r="J25" s="248"/>
      <c r="K25" s="37" t="s">
        <v>1299</v>
      </c>
      <c r="L25" s="36" t="s">
        <v>977</v>
      </c>
      <c r="M25" s="514"/>
      <c r="N25" s="514">
        <f>IF($C25="","",VLOOKUP($C25,'2017 Pricelist'!$C:$I,7,FALSE))</f>
        <v>19.989999999999998</v>
      </c>
      <c r="O25" s="35">
        <v>1</v>
      </c>
      <c r="P25" s="239">
        <v>5</v>
      </c>
      <c r="Q25" s="44">
        <f t="shared" si="4"/>
        <v>0.25573622413445801</v>
      </c>
      <c r="R25" s="441">
        <f t="shared" si="5"/>
        <v>8.5826771653543314</v>
      </c>
      <c r="S25" s="441">
        <f t="shared" si="6"/>
        <v>4.0944881889763778</v>
      </c>
      <c r="T25" s="442">
        <v>2.5</v>
      </c>
      <c r="U25" s="44">
        <v>0.37478584571429185</v>
      </c>
      <c r="V25" s="33">
        <v>5.5</v>
      </c>
      <c r="W25" s="33">
        <v>1.25</v>
      </c>
      <c r="X25" s="70">
        <v>11.8125</v>
      </c>
      <c r="Y25" s="90" t="s">
        <v>259</v>
      </c>
      <c r="Z25" s="89" t="s">
        <v>259</v>
      </c>
      <c r="AA25" s="89" t="s">
        <v>259</v>
      </c>
      <c r="AB25" s="249" t="s">
        <v>259</v>
      </c>
      <c r="AC25" s="44">
        <v>2.0499999999999998</v>
      </c>
      <c r="AD25" s="33">
        <v>12</v>
      </c>
      <c r="AE25" s="33">
        <v>5.75</v>
      </c>
      <c r="AF25" s="70">
        <v>5.75</v>
      </c>
      <c r="AG25" s="42">
        <f t="shared" si="3"/>
        <v>0.22960069444444445</v>
      </c>
      <c r="AH25" s="85" t="s">
        <v>3536</v>
      </c>
      <c r="AI25" s="85" t="s">
        <v>3537</v>
      </c>
      <c r="AJ25" s="85" t="s">
        <v>3538</v>
      </c>
      <c r="AK25" s="37" t="s">
        <v>3546</v>
      </c>
      <c r="AL25" s="85" t="s">
        <v>3540</v>
      </c>
      <c r="AM25" s="85"/>
      <c r="AN25" s="85"/>
      <c r="AO25" s="85"/>
      <c r="AP25" s="84" t="s">
        <v>3541</v>
      </c>
      <c r="AQ25" s="18" t="s">
        <v>2909</v>
      </c>
      <c r="AR25" s="14" t="s">
        <v>1932</v>
      </c>
    </row>
    <row r="26" spans="1:44" s="14" customFormat="1" x14ac:dyDescent="0.2">
      <c r="A26" s="18" t="s">
        <v>1837</v>
      </c>
      <c r="B26" s="18"/>
      <c r="C26" s="84" t="s">
        <v>1490</v>
      </c>
      <c r="D26" s="1" t="s">
        <v>1550</v>
      </c>
      <c r="E26" s="84" t="s">
        <v>3376</v>
      </c>
      <c r="F26" s="18" t="s">
        <v>1488</v>
      </c>
      <c r="G26" s="18" t="s">
        <v>3344</v>
      </c>
      <c r="H26" s="66">
        <v>7391846013389</v>
      </c>
      <c r="I26" s="18"/>
      <c r="J26" s="248"/>
      <c r="K26" s="37" t="s">
        <v>1299</v>
      </c>
      <c r="L26" s="36" t="s">
        <v>977</v>
      </c>
      <c r="M26" s="514"/>
      <c r="N26" s="514">
        <f>IF($C26="","",VLOOKUP($C26,'2017 Pricelist'!$C:$I,7,FALSE))</f>
        <v>19.989999999999998</v>
      </c>
      <c r="O26" s="35">
        <v>1</v>
      </c>
      <c r="P26" s="239">
        <v>15</v>
      </c>
      <c r="Q26" s="44">
        <f t="shared" si="4"/>
        <v>0.25573622413445801</v>
      </c>
      <c r="R26" s="441">
        <f t="shared" si="5"/>
        <v>8.5826771653543314</v>
      </c>
      <c r="S26" s="441">
        <f t="shared" si="6"/>
        <v>4.0944881889763778</v>
      </c>
      <c r="T26" s="442">
        <v>2.5</v>
      </c>
      <c r="U26" s="44">
        <v>0.25573622413445796</v>
      </c>
      <c r="V26" s="33">
        <v>9.125</v>
      </c>
      <c r="W26" s="33">
        <v>1.75</v>
      </c>
      <c r="X26" s="70">
        <v>1.375</v>
      </c>
      <c r="Y26" s="90" t="s">
        <v>259</v>
      </c>
      <c r="Z26" s="89" t="s">
        <v>259</v>
      </c>
      <c r="AA26" s="89" t="s">
        <v>259</v>
      </c>
      <c r="AB26" s="249" t="s">
        <v>259</v>
      </c>
      <c r="AC26" s="44">
        <v>4.4000000000000004</v>
      </c>
      <c r="AD26" s="33">
        <v>9.75</v>
      </c>
      <c r="AE26" s="33">
        <v>5</v>
      </c>
      <c r="AF26" s="70">
        <v>10.25</v>
      </c>
      <c r="AG26" s="42">
        <f t="shared" si="3"/>
        <v>0.28917100694444442</v>
      </c>
      <c r="AH26" s="85" t="s">
        <v>3536</v>
      </c>
      <c r="AI26" s="85" t="s">
        <v>3537</v>
      </c>
      <c r="AJ26" s="85" t="s">
        <v>3538</v>
      </c>
      <c r="AK26" s="37" t="s">
        <v>3547</v>
      </c>
      <c r="AL26" s="85" t="s">
        <v>3540</v>
      </c>
      <c r="AM26" s="85"/>
      <c r="AN26" s="85"/>
      <c r="AO26" s="85"/>
      <c r="AP26" s="84" t="s">
        <v>3541</v>
      </c>
      <c r="AQ26" s="18" t="s">
        <v>2909</v>
      </c>
      <c r="AR26" s="14" t="s">
        <v>1932</v>
      </c>
    </row>
    <row r="27" spans="1:44" s="14" customFormat="1" x14ac:dyDescent="0.2">
      <c r="A27" s="18" t="s">
        <v>1837</v>
      </c>
      <c r="B27" s="18"/>
      <c r="C27" s="1" t="s">
        <v>1491</v>
      </c>
      <c r="D27" s="1" t="s">
        <v>1550</v>
      </c>
      <c r="E27" s="84" t="s">
        <v>3377</v>
      </c>
      <c r="F27" s="18" t="s">
        <v>218</v>
      </c>
      <c r="G27" s="18" t="s">
        <v>3344</v>
      </c>
      <c r="H27" s="66">
        <v>7391846013419</v>
      </c>
      <c r="I27" s="18"/>
      <c r="J27" s="248"/>
      <c r="K27" s="37" t="s">
        <v>1299</v>
      </c>
      <c r="L27" s="36" t="s">
        <v>977</v>
      </c>
      <c r="M27" s="514"/>
      <c r="N27" s="514">
        <f>IF($C27="","",VLOOKUP($C27,'2017 Pricelist'!$C:$I,7,FALSE))</f>
        <v>19.989999999999998</v>
      </c>
      <c r="O27" s="35">
        <v>1</v>
      </c>
      <c r="P27" s="239">
        <v>15</v>
      </c>
      <c r="Q27" s="44">
        <f t="shared" si="4"/>
        <v>0.25573622413445801</v>
      </c>
      <c r="R27" s="441">
        <f t="shared" si="5"/>
        <v>8.5826771653543314</v>
      </c>
      <c r="S27" s="441">
        <f t="shared" si="6"/>
        <v>4.0944881889763778</v>
      </c>
      <c r="T27" s="442">
        <v>2.5</v>
      </c>
      <c r="U27" s="44">
        <v>0.25573622413445796</v>
      </c>
      <c r="V27" s="33">
        <v>9.125</v>
      </c>
      <c r="W27" s="33">
        <v>1.75</v>
      </c>
      <c r="X27" s="70">
        <v>1.375</v>
      </c>
      <c r="Y27" s="90" t="s">
        <v>259</v>
      </c>
      <c r="Z27" s="89" t="s">
        <v>259</v>
      </c>
      <c r="AA27" s="89" t="s">
        <v>259</v>
      </c>
      <c r="AB27" s="249" t="s">
        <v>259</v>
      </c>
      <c r="AC27" s="44">
        <v>4.4000000000000004</v>
      </c>
      <c r="AD27" s="33">
        <v>9.75</v>
      </c>
      <c r="AE27" s="33">
        <v>5</v>
      </c>
      <c r="AF27" s="70">
        <v>10.25</v>
      </c>
      <c r="AG27" s="42">
        <f t="shared" si="3"/>
        <v>0.28917100694444442</v>
      </c>
      <c r="AH27" s="85" t="s">
        <v>3536</v>
      </c>
      <c r="AI27" s="85" t="s">
        <v>3537</v>
      </c>
      <c r="AJ27" s="85" t="s">
        <v>3538</v>
      </c>
      <c r="AK27" s="37" t="s">
        <v>3548</v>
      </c>
      <c r="AL27" s="85" t="s">
        <v>3540</v>
      </c>
      <c r="AM27" s="85"/>
      <c r="AN27" s="85"/>
      <c r="AO27" s="85"/>
      <c r="AP27" s="84" t="s">
        <v>3541</v>
      </c>
      <c r="AQ27" s="18" t="s">
        <v>2909</v>
      </c>
      <c r="AR27" s="14" t="s">
        <v>1932</v>
      </c>
    </row>
    <row r="28" spans="1:44" s="14" customFormat="1" x14ac:dyDescent="0.2">
      <c r="A28" s="18" t="s">
        <v>1837</v>
      </c>
      <c r="B28" s="18"/>
      <c r="C28" s="84" t="s">
        <v>1492</v>
      </c>
      <c r="D28" s="1" t="s">
        <v>1550</v>
      </c>
      <c r="E28" s="84" t="s">
        <v>3378</v>
      </c>
      <c r="F28" s="18" t="s">
        <v>1018</v>
      </c>
      <c r="G28" s="18" t="s">
        <v>3344</v>
      </c>
      <c r="H28" s="66">
        <v>7391846013426</v>
      </c>
      <c r="I28" s="18"/>
      <c r="J28" s="248"/>
      <c r="K28" s="37" t="s">
        <v>1299</v>
      </c>
      <c r="L28" s="36" t="s">
        <v>977</v>
      </c>
      <c r="M28" s="514"/>
      <c r="N28" s="514">
        <f>IF($C28="","",VLOOKUP($C28,'2017 Pricelist'!$C:$I,7,FALSE))</f>
        <v>19.989999999999998</v>
      </c>
      <c r="O28" s="35">
        <v>1</v>
      </c>
      <c r="P28" s="239">
        <v>15</v>
      </c>
      <c r="Q28" s="44">
        <f t="shared" si="4"/>
        <v>0.25573622413445801</v>
      </c>
      <c r="R28" s="441">
        <f t="shared" si="5"/>
        <v>8.5826771653543314</v>
      </c>
      <c r="S28" s="441">
        <f t="shared" si="6"/>
        <v>4.0944881889763778</v>
      </c>
      <c r="T28" s="442">
        <v>2.5</v>
      </c>
      <c r="U28" s="44">
        <v>0.25573622413445796</v>
      </c>
      <c r="V28" s="33">
        <v>9.125</v>
      </c>
      <c r="W28" s="33">
        <v>1.75</v>
      </c>
      <c r="X28" s="70">
        <v>1.375</v>
      </c>
      <c r="Y28" s="90" t="s">
        <v>259</v>
      </c>
      <c r="Z28" s="89" t="s">
        <v>259</v>
      </c>
      <c r="AA28" s="89" t="s">
        <v>259</v>
      </c>
      <c r="AB28" s="249" t="s">
        <v>259</v>
      </c>
      <c r="AC28" s="44">
        <v>4.4000000000000004</v>
      </c>
      <c r="AD28" s="33">
        <v>9.75</v>
      </c>
      <c r="AE28" s="33">
        <v>5</v>
      </c>
      <c r="AF28" s="70">
        <v>10.25</v>
      </c>
      <c r="AG28" s="42">
        <f t="shared" si="3"/>
        <v>0.28917100694444442</v>
      </c>
      <c r="AH28" s="85" t="s">
        <v>3536</v>
      </c>
      <c r="AI28" s="85" t="s">
        <v>3537</v>
      </c>
      <c r="AJ28" s="85" t="s">
        <v>3538</v>
      </c>
      <c r="AK28" s="37" t="s">
        <v>3549</v>
      </c>
      <c r="AL28" s="85" t="s">
        <v>3540</v>
      </c>
      <c r="AM28" s="85"/>
      <c r="AN28" s="85"/>
      <c r="AO28" s="85"/>
      <c r="AP28" s="84" t="s">
        <v>3541</v>
      </c>
      <c r="AQ28" s="18" t="s">
        <v>2909</v>
      </c>
      <c r="AR28" s="14" t="s">
        <v>1932</v>
      </c>
    </row>
    <row r="29" spans="1:44" s="14" customFormat="1" x14ac:dyDescent="0.2">
      <c r="A29" s="18" t="s">
        <v>1837</v>
      </c>
      <c r="B29" s="18"/>
      <c r="C29" s="1" t="s">
        <v>4266</v>
      </c>
      <c r="D29" s="1" t="s">
        <v>1550</v>
      </c>
      <c r="E29" s="1" t="s">
        <v>1622</v>
      </c>
      <c r="F29" s="18" t="s">
        <v>3379</v>
      </c>
      <c r="G29" s="18" t="s">
        <v>3344</v>
      </c>
      <c r="H29" s="3" t="s">
        <v>1462</v>
      </c>
      <c r="I29" s="18"/>
      <c r="J29" s="248"/>
      <c r="K29" s="37" t="s">
        <v>1299</v>
      </c>
      <c r="L29" s="36" t="s">
        <v>977</v>
      </c>
      <c r="M29" s="514"/>
      <c r="N29" s="514">
        <f>IF($C29="","",VLOOKUP($C29,'2017 Pricelist'!$C:$I,7,FALSE))</f>
        <v>19.989999999999998</v>
      </c>
      <c r="O29" s="35">
        <v>1</v>
      </c>
      <c r="P29" s="239">
        <v>15</v>
      </c>
      <c r="Q29" s="44">
        <f t="shared" si="4"/>
        <v>0.25573622413445801</v>
      </c>
      <c r="R29" s="441">
        <f t="shared" si="5"/>
        <v>8.5826771653543314</v>
      </c>
      <c r="S29" s="441">
        <f t="shared" si="6"/>
        <v>4.0944881889763778</v>
      </c>
      <c r="T29" s="442">
        <v>2.5</v>
      </c>
      <c r="U29" s="44">
        <v>0.25573622413445796</v>
      </c>
      <c r="V29" s="33">
        <v>9.125</v>
      </c>
      <c r="W29" s="33">
        <v>1.75</v>
      </c>
      <c r="X29" s="70">
        <v>1.375</v>
      </c>
      <c r="Y29" s="90" t="s">
        <v>259</v>
      </c>
      <c r="Z29" s="89" t="s">
        <v>259</v>
      </c>
      <c r="AA29" s="89" t="s">
        <v>259</v>
      </c>
      <c r="AB29" s="249" t="s">
        <v>259</v>
      </c>
      <c r="AC29" s="44">
        <v>4.4000000000000004</v>
      </c>
      <c r="AD29" s="33">
        <v>9.75</v>
      </c>
      <c r="AE29" s="33">
        <v>5</v>
      </c>
      <c r="AF29" s="70">
        <v>10.25</v>
      </c>
      <c r="AG29" s="42">
        <f t="shared" si="3"/>
        <v>0.28917100694444442</v>
      </c>
      <c r="AH29" s="85" t="s">
        <v>3536</v>
      </c>
      <c r="AI29" s="85" t="s">
        <v>3537</v>
      </c>
      <c r="AJ29" s="85" t="s">
        <v>3538</v>
      </c>
      <c r="AK29" s="37" t="s">
        <v>3539</v>
      </c>
      <c r="AL29" s="85" t="s">
        <v>3540</v>
      </c>
      <c r="AM29" s="85"/>
      <c r="AN29" s="85"/>
      <c r="AO29" s="85"/>
      <c r="AP29" s="84" t="s">
        <v>3541</v>
      </c>
      <c r="AQ29" s="18" t="s">
        <v>2909</v>
      </c>
      <c r="AR29" s="14" t="s">
        <v>1932</v>
      </c>
    </row>
    <row r="30" spans="1:44" s="14" customFormat="1" x14ac:dyDescent="0.2">
      <c r="A30" s="18" t="s">
        <v>1837</v>
      </c>
      <c r="B30" s="18"/>
      <c r="C30" s="1" t="s">
        <v>1205</v>
      </c>
      <c r="D30" s="1" t="s">
        <v>1494</v>
      </c>
      <c r="E30" s="1" t="s">
        <v>2540</v>
      </c>
      <c r="F30" s="18" t="s">
        <v>1916</v>
      </c>
      <c r="G30" s="18" t="s">
        <v>3344</v>
      </c>
      <c r="H30" s="3" t="s">
        <v>1274</v>
      </c>
      <c r="I30" s="18"/>
      <c r="J30" s="248"/>
      <c r="K30" s="37" t="s">
        <v>1299</v>
      </c>
      <c r="L30" s="36" t="s">
        <v>977</v>
      </c>
      <c r="M30" s="514"/>
      <c r="N30" s="514">
        <f>IF($C30="","",VLOOKUP($C30,'2017 Pricelist'!$C:$I,7,FALSE))</f>
        <v>19.989999999999998</v>
      </c>
      <c r="O30" s="35">
        <v>1</v>
      </c>
      <c r="P30" s="239">
        <v>15</v>
      </c>
      <c r="Q30" s="44">
        <f>CONVERT(0.11,"kg","lbm")</f>
        <v>0.24250848840336534</v>
      </c>
      <c r="R30" s="441">
        <f t="shared" si="5"/>
        <v>8.5826771653543314</v>
      </c>
      <c r="S30" s="441">
        <f t="shared" ref="S30:S38" si="7">CONVERT(104,"mm","in")</f>
        <v>4.0944881889763778</v>
      </c>
      <c r="T30" s="442">
        <v>2</v>
      </c>
      <c r="U30" s="44">
        <v>0.24250848840336534</v>
      </c>
      <c r="V30" s="33">
        <v>9.1</v>
      </c>
      <c r="W30" s="33">
        <v>1.9</v>
      </c>
      <c r="X30" s="70">
        <v>1.4</v>
      </c>
      <c r="Y30" s="90" t="s">
        <v>259</v>
      </c>
      <c r="Z30" s="89" t="s">
        <v>259</v>
      </c>
      <c r="AA30" s="89" t="s">
        <v>259</v>
      </c>
      <c r="AB30" s="249" t="s">
        <v>259</v>
      </c>
      <c r="AC30" s="44">
        <v>4.12</v>
      </c>
      <c r="AD30" s="33">
        <v>9.75</v>
      </c>
      <c r="AE30" s="33">
        <v>5</v>
      </c>
      <c r="AF30" s="70">
        <v>10.25</v>
      </c>
      <c r="AG30" s="42">
        <f t="shared" si="3"/>
        <v>0.28917100694444442</v>
      </c>
      <c r="AH30" s="85" t="s">
        <v>3542</v>
      </c>
      <c r="AI30" s="85" t="s">
        <v>3537</v>
      </c>
      <c r="AJ30" s="85" t="s">
        <v>3538</v>
      </c>
      <c r="AK30" s="37" t="s">
        <v>3672</v>
      </c>
      <c r="AL30" s="85" t="s">
        <v>3550</v>
      </c>
      <c r="AM30" s="85"/>
      <c r="AN30" s="85"/>
      <c r="AO30" s="85"/>
      <c r="AP30" s="84" t="s">
        <v>3543</v>
      </c>
      <c r="AQ30" s="18" t="s">
        <v>2909</v>
      </c>
      <c r="AR30" s="14" t="s">
        <v>1932</v>
      </c>
    </row>
    <row r="31" spans="1:44" s="14" customFormat="1" x14ac:dyDescent="0.2">
      <c r="A31" s="18" t="s">
        <v>1837</v>
      </c>
      <c r="B31" s="18"/>
      <c r="C31" s="84" t="s">
        <v>1937</v>
      </c>
      <c r="D31" s="1" t="s">
        <v>1494</v>
      </c>
      <c r="E31" s="196" t="s">
        <v>3380</v>
      </c>
      <c r="F31" s="18" t="s">
        <v>1916</v>
      </c>
      <c r="G31" s="18" t="s">
        <v>3619</v>
      </c>
      <c r="H31" s="445">
        <v>7391846014584</v>
      </c>
      <c r="I31" s="18"/>
      <c r="J31" s="248"/>
      <c r="K31" s="37" t="s">
        <v>1299</v>
      </c>
      <c r="L31" s="36" t="s">
        <v>977</v>
      </c>
      <c r="M31" s="514"/>
      <c r="N31" s="514">
        <f>IF($C31="","",VLOOKUP($C31,'2017 Pricelist'!$C:$I,7,FALSE))</f>
        <v>24.990000000000002</v>
      </c>
      <c r="O31" s="35">
        <v>1</v>
      </c>
      <c r="P31" s="239">
        <v>5</v>
      </c>
      <c r="Q31" s="44">
        <f>CONVERT(0.135,"kg","lbm")</f>
        <v>0.29762405394958474</v>
      </c>
      <c r="R31" s="441">
        <f t="shared" ref="R31:R36" si="8">CONVERT(224,"mm","in")</f>
        <v>8.8188976377952759</v>
      </c>
      <c r="S31" s="441">
        <f t="shared" si="7"/>
        <v>4.0944881889763778</v>
      </c>
      <c r="T31" s="442">
        <v>3.2</v>
      </c>
      <c r="U31" s="44">
        <v>0.4078551850420235</v>
      </c>
      <c r="V31" s="33">
        <v>5.5</v>
      </c>
      <c r="W31" s="33">
        <v>1.25</v>
      </c>
      <c r="X31" s="70">
        <v>11.8125</v>
      </c>
      <c r="Y31" s="90" t="s">
        <v>259</v>
      </c>
      <c r="Z31" s="89" t="s">
        <v>259</v>
      </c>
      <c r="AA31" s="89" t="s">
        <v>259</v>
      </c>
      <c r="AB31" s="249" t="s">
        <v>259</v>
      </c>
      <c r="AC31" s="44">
        <v>2.2999999999999998</v>
      </c>
      <c r="AD31" s="33">
        <v>12</v>
      </c>
      <c r="AE31" s="33">
        <v>5.75</v>
      </c>
      <c r="AF31" s="70">
        <v>5.75</v>
      </c>
      <c r="AG31" s="42"/>
      <c r="AH31" s="85" t="s">
        <v>3551</v>
      </c>
      <c r="AI31" s="85" t="s">
        <v>3537</v>
      </c>
      <c r="AJ31" s="85" t="s">
        <v>3552</v>
      </c>
      <c r="AK31" s="37" t="s">
        <v>3553</v>
      </c>
      <c r="AL31" s="85" t="s">
        <v>3544</v>
      </c>
      <c r="AM31" s="85" t="s">
        <v>3554</v>
      </c>
      <c r="AN31" s="85"/>
      <c r="AO31" s="85"/>
      <c r="AP31" s="85" t="s">
        <v>3555</v>
      </c>
      <c r="AQ31" s="18" t="s">
        <v>2909</v>
      </c>
      <c r="AR31" s="14" t="s">
        <v>1932</v>
      </c>
    </row>
    <row r="32" spans="1:44" s="14" customFormat="1" x14ac:dyDescent="0.2">
      <c r="A32" s="18" t="s">
        <v>1837</v>
      </c>
      <c r="B32" s="18"/>
      <c r="C32" s="84" t="s">
        <v>2074</v>
      </c>
      <c r="D32" s="1" t="s">
        <v>1494</v>
      </c>
      <c r="E32" s="196" t="s">
        <v>3380</v>
      </c>
      <c r="F32" s="18" t="s">
        <v>1916</v>
      </c>
      <c r="G32" s="18" t="s">
        <v>2557</v>
      </c>
      <c r="H32" s="445">
        <v>7391846016199</v>
      </c>
      <c r="I32" s="18"/>
      <c r="J32" s="248"/>
      <c r="K32" s="37" t="s">
        <v>1299</v>
      </c>
      <c r="L32" s="36" t="s">
        <v>977</v>
      </c>
      <c r="M32" s="514"/>
      <c r="N32" s="514">
        <f>IF($C32="","",VLOOKUP($C32,'2017 Pricelist'!$C:$I,7,FALSE))</f>
        <v>24.990000000000002</v>
      </c>
      <c r="O32" s="35">
        <v>1</v>
      </c>
      <c r="P32" s="239">
        <v>20</v>
      </c>
      <c r="Q32" s="44">
        <f>CONVERT(0.135,"kg","lbm")</f>
        <v>0.29762405394958474</v>
      </c>
      <c r="R32" s="441">
        <f t="shared" si="8"/>
        <v>8.8188976377952759</v>
      </c>
      <c r="S32" s="441">
        <f t="shared" si="7"/>
        <v>4.0944881889763778</v>
      </c>
      <c r="T32" s="442">
        <v>3.2</v>
      </c>
      <c r="U32" s="120"/>
      <c r="V32" s="121"/>
      <c r="W32" s="121"/>
      <c r="X32" s="122"/>
      <c r="Y32" s="90" t="s">
        <v>259</v>
      </c>
      <c r="Z32" s="89" t="s">
        <v>259</v>
      </c>
      <c r="AA32" s="89" t="s">
        <v>259</v>
      </c>
      <c r="AB32" s="249" t="s">
        <v>259</v>
      </c>
      <c r="AC32" s="44">
        <v>8.6999999999999993</v>
      </c>
      <c r="AD32" s="33">
        <v>12</v>
      </c>
      <c r="AE32" s="33">
        <v>10.375</v>
      </c>
      <c r="AF32" s="70">
        <v>8.5</v>
      </c>
      <c r="AG32" s="42"/>
      <c r="AH32" s="85" t="s">
        <v>3551</v>
      </c>
      <c r="AI32" s="85" t="s">
        <v>3537</v>
      </c>
      <c r="AJ32" s="85" t="s">
        <v>3552</v>
      </c>
      <c r="AK32" s="37" t="s">
        <v>3553</v>
      </c>
      <c r="AL32" s="85" t="s">
        <v>3544</v>
      </c>
      <c r="AM32" s="85" t="s">
        <v>3554</v>
      </c>
      <c r="AN32" s="85"/>
      <c r="AO32" s="85"/>
      <c r="AP32" s="85" t="s">
        <v>3555</v>
      </c>
      <c r="AQ32" s="18" t="s">
        <v>2909</v>
      </c>
      <c r="AR32" s="14" t="s">
        <v>1932</v>
      </c>
    </row>
    <row r="33" spans="1:44" s="14" customFormat="1" x14ac:dyDescent="0.2">
      <c r="A33" s="18" t="s">
        <v>1837</v>
      </c>
      <c r="B33" s="18"/>
      <c r="C33" s="84" t="s">
        <v>1938</v>
      </c>
      <c r="D33" s="1" t="s">
        <v>1494</v>
      </c>
      <c r="E33" s="84" t="s">
        <v>3381</v>
      </c>
      <c r="F33" s="18" t="s">
        <v>219</v>
      </c>
      <c r="G33" s="18" t="s">
        <v>3619</v>
      </c>
      <c r="H33" s="109">
        <v>7391846014607</v>
      </c>
      <c r="I33" s="18"/>
      <c r="J33" s="248"/>
      <c r="K33" s="37" t="s">
        <v>1299</v>
      </c>
      <c r="L33" s="36" t="s">
        <v>977</v>
      </c>
      <c r="M33" s="514"/>
      <c r="N33" s="514">
        <f>IF($C33="","",VLOOKUP($C33,'2017 Pricelist'!$C:$I,7,FALSE))</f>
        <v>24.990000000000002</v>
      </c>
      <c r="O33" s="35">
        <v>1</v>
      </c>
      <c r="P33" s="239">
        <v>5</v>
      </c>
      <c r="Q33" s="44">
        <f>CONVERT(0.135,"kg","lbm")</f>
        <v>0.29762405394958474</v>
      </c>
      <c r="R33" s="441">
        <f t="shared" si="8"/>
        <v>8.8188976377952759</v>
      </c>
      <c r="S33" s="441">
        <f t="shared" si="7"/>
        <v>4.0944881889763778</v>
      </c>
      <c r="T33" s="442">
        <v>3.2</v>
      </c>
      <c r="U33" s="44">
        <v>0.407855185042024</v>
      </c>
      <c r="V33" s="33">
        <v>5.5</v>
      </c>
      <c r="W33" s="33">
        <v>1.25</v>
      </c>
      <c r="X33" s="70">
        <v>11.8125</v>
      </c>
      <c r="Y33" s="90" t="s">
        <v>259</v>
      </c>
      <c r="Z33" s="89" t="s">
        <v>259</v>
      </c>
      <c r="AA33" s="89" t="s">
        <v>259</v>
      </c>
      <c r="AB33" s="249" t="s">
        <v>259</v>
      </c>
      <c r="AC33" s="44">
        <v>2.25</v>
      </c>
      <c r="AD33" s="33">
        <v>12</v>
      </c>
      <c r="AE33" s="33">
        <v>5.75</v>
      </c>
      <c r="AF33" s="70">
        <v>5.75</v>
      </c>
      <c r="AG33" s="42">
        <f>AD33*AE33*AF33/(12^3)</f>
        <v>0.22960069444444445</v>
      </c>
      <c r="AH33" s="85" t="s">
        <v>3551</v>
      </c>
      <c r="AI33" s="85" t="s">
        <v>3537</v>
      </c>
      <c r="AJ33" s="85" t="s">
        <v>3552</v>
      </c>
      <c r="AK33" s="37" t="s">
        <v>3553</v>
      </c>
      <c r="AL33" s="85" t="s">
        <v>3545</v>
      </c>
      <c r="AM33" s="85" t="s">
        <v>3554</v>
      </c>
      <c r="AN33" s="85"/>
      <c r="AO33" s="85"/>
      <c r="AP33" s="85" t="s">
        <v>3555</v>
      </c>
      <c r="AQ33" s="18" t="s">
        <v>2909</v>
      </c>
      <c r="AR33" s="14" t="s">
        <v>1932</v>
      </c>
    </row>
    <row r="34" spans="1:44" s="14" customFormat="1" x14ac:dyDescent="0.2">
      <c r="A34" s="18" t="s">
        <v>1837</v>
      </c>
      <c r="B34" s="18"/>
      <c r="C34" s="84" t="s">
        <v>2075</v>
      </c>
      <c r="D34" s="1" t="s">
        <v>1494</v>
      </c>
      <c r="E34" s="84" t="s">
        <v>3381</v>
      </c>
      <c r="F34" s="18" t="s">
        <v>219</v>
      </c>
      <c r="G34" s="18" t="s">
        <v>2557</v>
      </c>
      <c r="H34" s="109">
        <v>7391846016038</v>
      </c>
      <c r="I34" s="18"/>
      <c r="J34" s="248"/>
      <c r="K34" s="37" t="s">
        <v>1299</v>
      </c>
      <c r="L34" s="36" t="s">
        <v>977</v>
      </c>
      <c r="M34" s="514"/>
      <c r="N34" s="514">
        <f>IF($C34="","",VLOOKUP($C34,'2017 Pricelist'!$C:$I,7,FALSE))</f>
        <v>24.990000000000002</v>
      </c>
      <c r="O34" s="35">
        <v>1</v>
      </c>
      <c r="P34" s="239">
        <v>20</v>
      </c>
      <c r="Q34" s="44">
        <f>CONVERT(0.135,"kg","lbm")</f>
        <v>0.29762405394958474</v>
      </c>
      <c r="R34" s="441">
        <f t="shared" si="8"/>
        <v>8.8188976377952759</v>
      </c>
      <c r="S34" s="441">
        <f t="shared" si="7"/>
        <v>4.0944881889763778</v>
      </c>
      <c r="T34" s="442">
        <v>3.2</v>
      </c>
      <c r="U34" s="120"/>
      <c r="V34" s="121"/>
      <c r="W34" s="121"/>
      <c r="X34" s="122"/>
      <c r="Y34" s="90" t="s">
        <v>259</v>
      </c>
      <c r="Z34" s="89" t="s">
        <v>259</v>
      </c>
      <c r="AA34" s="89" t="s">
        <v>259</v>
      </c>
      <c r="AB34" s="249" t="s">
        <v>259</v>
      </c>
      <c r="AC34" s="44">
        <v>8.6</v>
      </c>
      <c r="AD34" s="33">
        <v>12</v>
      </c>
      <c r="AE34" s="33">
        <v>10.375</v>
      </c>
      <c r="AF34" s="70">
        <v>8.5</v>
      </c>
      <c r="AG34" s="42"/>
      <c r="AH34" s="85" t="s">
        <v>3551</v>
      </c>
      <c r="AI34" s="85" t="s">
        <v>3537</v>
      </c>
      <c r="AJ34" s="85" t="s">
        <v>3552</v>
      </c>
      <c r="AK34" s="37" t="s">
        <v>3553</v>
      </c>
      <c r="AL34" s="85" t="s">
        <v>3545</v>
      </c>
      <c r="AM34" s="85" t="s">
        <v>3554</v>
      </c>
      <c r="AN34" s="85"/>
      <c r="AO34" s="85"/>
      <c r="AP34" s="85" t="s">
        <v>3555</v>
      </c>
      <c r="AQ34" s="18" t="s">
        <v>2909</v>
      </c>
      <c r="AR34" s="14" t="s">
        <v>1932</v>
      </c>
    </row>
    <row r="35" spans="1:44" s="14" customFormat="1" x14ac:dyDescent="0.2">
      <c r="A35" s="18" t="s">
        <v>1837</v>
      </c>
      <c r="B35" s="18"/>
      <c r="C35" s="84" t="s">
        <v>2461</v>
      </c>
      <c r="D35" s="1" t="s">
        <v>1550</v>
      </c>
      <c r="E35" s="84" t="s">
        <v>3556</v>
      </c>
      <c r="F35" s="18" t="s">
        <v>484</v>
      </c>
      <c r="G35" s="18" t="s">
        <v>3619</v>
      </c>
      <c r="H35" s="445">
        <v>7391846014850</v>
      </c>
      <c r="I35" s="18"/>
      <c r="J35" s="445">
        <v>7391846014867</v>
      </c>
      <c r="K35" s="37" t="s">
        <v>1299</v>
      </c>
      <c r="L35" s="36" t="s">
        <v>977</v>
      </c>
      <c r="M35" s="514"/>
      <c r="N35" s="514">
        <f>IF($C35="","",VLOOKUP($C35,'2017 Pricelist'!$C:$I,7,FALSE))</f>
        <v>34.99</v>
      </c>
      <c r="O35" s="35">
        <v>1</v>
      </c>
      <c r="P35" s="239">
        <v>5</v>
      </c>
      <c r="Q35" s="44">
        <f>CONVERT(0.1175,"kg","lbm")</f>
        <v>0.25904315806723116</v>
      </c>
      <c r="R35" s="441">
        <f t="shared" si="8"/>
        <v>8.8188976377952759</v>
      </c>
      <c r="S35" s="441">
        <f t="shared" si="7"/>
        <v>4.0944881889763778</v>
      </c>
      <c r="T35" s="442">
        <v>2.5</v>
      </c>
      <c r="U35" s="44">
        <f>CONVERT(117.5,"g","lbm")</f>
        <v>0.25904315806723116</v>
      </c>
      <c r="V35" s="121"/>
      <c r="W35" s="121"/>
      <c r="X35" s="122"/>
      <c r="Y35" s="90" t="s">
        <v>259</v>
      </c>
      <c r="Z35" s="89" t="s">
        <v>259</v>
      </c>
      <c r="AA35" s="89" t="s">
        <v>259</v>
      </c>
      <c r="AB35" s="249" t="s">
        <v>259</v>
      </c>
      <c r="AC35" s="44">
        <v>2.1</v>
      </c>
      <c r="AD35" s="33">
        <v>12</v>
      </c>
      <c r="AE35" s="33">
        <v>5.75</v>
      </c>
      <c r="AF35" s="70">
        <v>5.75</v>
      </c>
      <c r="AG35" s="42"/>
      <c r="AH35" s="85" t="s">
        <v>3536</v>
      </c>
      <c r="AI35" s="85" t="s">
        <v>3557</v>
      </c>
      <c r="AJ35" s="85" t="s">
        <v>3537</v>
      </c>
      <c r="AK35" s="85" t="s">
        <v>3538</v>
      </c>
      <c r="AL35" s="37" t="s">
        <v>3546</v>
      </c>
      <c r="AM35" s="85" t="s">
        <v>3540</v>
      </c>
      <c r="AN35" s="85"/>
      <c r="AO35" s="85"/>
      <c r="AP35" s="85" t="s">
        <v>3559</v>
      </c>
      <c r="AQ35" s="18" t="s">
        <v>2909</v>
      </c>
      <c r="AR35" s="14" t="s">
        <v>1932</v>
      </c>
    </row>
    <row r="36" spans="1:44" s="14" customFormat="1" x14ac:dyDescent="0.2">
      <c r="A36" s="18" t="s">
        <v>1837</v>
      </c>
      <c r="B36" s="18"/>
      <c r="C36" s="84" t="s">
        <v>2462</v>
      </c>
      <c r="D36" s="1" t="s">
        <v>1550</v>
      </c>
      <c r="E36" s="84" t="s">
        <v>3382</v>
      </c>
      <c r="F36" s="18" t="s">
        <v>484</v>
      </c>
      <c r="G36" s="18" t="s">
        <v>2557</v>
      </c>
      <c r="H36" s="445">
        <v>7391846015338</v>
      </c>
      <c r="I36" s="18"/>
      <c r="J36" s="445">
        <v>7391846015345</v>
      </c>
      <c r="K36" s="37" t="s">
        <v>1299</v>
      </c>
      <c r="L36" s="36" t="s">
        <v>977</v>
      </c>
      <c r="M36" s="514"/>
      <c r="N36" s="514">
        <f>IF($C36="","",VLOOKUP($C36,'2017 Pricelist'!$C:$I,7,FALSE))</f>
        <v>49.99</v>
      </c>
      <c r="O36" s="35">
        <v>1</v>
      </c>
      <c r="P36" s="239">
        <v>15</v>
      </c>
      <c r="Q36" s="44">
        <f>CONVERT(0.157,"kg","lbm")</f>
        <v>0.34612575163025777</v>
      </c>
      <c r="R36" s="441">
        <f t="shared" si="8"/>
        <v>8.8188976377952759</v>
      </c>
      <c r="S36" s="441">
        <f t="shared" si="7"/>
        <v>4.0944881889763778</v>
      </c>
      <c r="T36" s="442">
        <v>2.5</v>
      </c>
      <c r="U36" s="44">
        <f>CONVERT(157,"g","lbm")</f>
        <v>0.34612575163025777</v>
      </c>
      <c r="V36" s="121"/>
      <c r="W36" s="121"/>
      <c r="X36" s="122"/>
      <c r="Y36" s="90" t="s">
        <v>259</v>
      </c>
      <c r="Z36" s="89" t="s">
        <v>259</v>
      </c>
      <c r="AA36" s="89" t="s">
        <v>259</v>
      </c>
      <c r="AB36" s="249" t="s">
        <v>259</v>
      </c>
      <c r="AC36" s="44">
        <v>9.6</v>
      </c>
      <c r="AD36" s="33">
        <v>12</v>
      </c>
      <c r="AE36" s="33">
        <v>10.5</v>
      </c>
      <c r="AF36" s="70">
        <v>8.5</v>
      </c>
      <c r="AG36" s="42"/>
      <c r="AH36" s="85" t="s">
        <v>3536</v>
      </c>
      <c r="AI36" s="85" t="s">
        <v>3557</v>
      </c>
      <c r="AJ36" s="85" t="s">
        <v>3537</v>
      </c>
      <c r="AK36" s="85" t="s">
        <v>3538</v>
      </c>
      <c r="AL36" s="37" t="s">
        <v>3500</v>
      </c>
      <c r="AM36" s="85" t="s">
        <v>3558</v>
      </c>
      <c r="AN36" s="85"/>
      <c r="AO36" s="85"/>
      <c r="AP36" s="85" t="s">
        <v>3560</v>
      </c>
      <c r="AQ36" s="18" t="s">
        <v>2909</v>
      </c>
      <c r="AR36" s="14" t="s">
        <v>1932</v>
      </c>
    </row>
    <row r="37" spans="1:44" s="14" customFormat="1" x14ac:dyDescent="0.2">
      <c r="A37" s="18" t="s">
        <v>1837</v>
      </c>
      <c r="B37" s="18"/>
      <c r="C37" s="1" t="s">
        <v>1211</v>
      </c>
      <c r="D37" s="1" t="s">
        <v>1550</v>
      </c>
      <c r="E37" s="1" t="s">
        <v>3383</v>
      </c>
      <c r="F37" s="18" t="s">
        <v>219</v>
      </c>
      <c r="G37" s="18" t="s">
        <v>3344</v>
      </c>
      <c r="H37" s="3" t="s">
        <v>1280</v>
      </c>
      <c r="I37" s="18"/>
      <c r="J37" s="248"/>
      <c r="K37" s="37" t="s">
        <v>1299</v>
      </c>
      <c r="L37" s="36" t="s">
        <v>977</v>
      </c>
      <c r="M37" s="514"/>
      <c r="N37" s="514">
        <f>IF($C37="","",VLOOKUP($C37,'2017 Pricelist'!$C:$I,7,FALSE))</f>
        <v>24.990000000000002</v>
      </c>
      <c r="O37" s="35">
        <v>1</v>
      </c>
      <c r="P37" s="239">
        <v>15</v>
      </c>
      <c r="Q37" s="44">
        <f>CONVERT(0.116,"kg","lbm")</f>
        <v>0.25573622413445801</v>
      </c>
      <c r="R37" s="441">
        <f>CONVERT(218,"mm","in")</f>
        <v>8.5826771653543314</v>
      </c>
      <c r="S37" s="441">
        <f t="shared" si="7"/>
        <v>4.0944881889763778</v>
      </c>
      <c r="T37" s="442">
        <v>2.5</v>
      </c>
      <c r="U37" s="44">
        <v>0.25573622413445796</v>
      </c>
      <c r="V37" s="33">
        <v>9.125</v>
      </c>
      <c r="W37" s="33">
        <v>1.75</v>
      </c>
      <c r="X37" s="70">
        <v>1.375</v>
      </c>
      <c r="Y37" s="90" t="s">
        <v>259</v>
      </c>
      <c r="Z37" s="89" t="s">
        <v>259</v>
      </c>
      <c r="AA37" s="89" t="s">
        <v>259</v>
      </c>
      <c r="AB37" s="249" t="s">
        <v>259</v>
      </c>
      <c r="AC37" s="44">
        <v>4.4000000000000004</v>
      </c>
      <c r="AD37" s="33">
        <v>9.75</v>
      </c>
      <c r="AE37" s="33">
        <v>5</v>
      </c>
      <c r="AF37" s="70">
        <v>10.25</v>
      </c>
      <c r="AG37" s="42">
        <f>AD37*AE37*AF37/(12^3)</f>
        <v>0.28917100694444442</v>
      </c>
      <c r="AH37" s="85" t="s">
        <v>3536</v>
      </c>
      <c r="AI37" s="85" t="s">
        <v>3561</v>
      </c>
      <c r="AJ37" s="85" t="s">
        <v>3538</v>
      </c>
      <c r="AK37" s="37" t="s">
        <v>3545</v>
      </c>
      <c r="AL37" s="85" t="s">
        <v>3562</v>
      </c>
      <c r="AM37" s="85"/>
      <c r="AN37" s="85"/>
      <c r="AO37" s="85"/>
      <c r="AP37" s="85" t="s">
        <v>3563</v>
      </c>
      <c r="AQ37" s="18" t="s">
        <v>2909</v>
      </c>
      <c r="AR37" s="14" t="s">
        <v>1932</v>
      </c>
    </row>
    <row r="38" spans="1:44" s="14" customFormat="1" ht="12.75" customHeight="1" x14ac:dyDescent="0.2">
      <c r="A38" s="18" t="s">
        <v>1837</v>
      </c>
      <c r="B38" s="18"/>
      <c r="C38" s="84" t="s">
        <v>1940</v>
      </c>
      <c r="D38" s="1" t="s">
        <v>1550</v>
      </c>
      <c r="E38" s="1" t="s">
        <v>3383</v>
      </c>
      <c r="F38" s="18" t="s">
        <v>219</v>
      </c>
      <c r="G38" s="18" t="s">
        <v>3619</v>
      </c>
      <c r="H38" s="445">
        <v>7391846014669</v>
      </c>
      <c r="I38" s="18"/>
      <c r="J38" s="248"/>
      <c r="K38" s="37" t="s">
        <v>1299</v>
      </c>
      <c r="L38" s="36" t="s">
        <v>977</v>
      </c>
      <c r="M38" s="514"/>
      <c r="N38" s="514">
        <f>IF($C38="","",VLOOKUP($C38,'2017 Pricelist'!$C:$I,7,FALSE))</f>
        <v>24.990000000000002</v>
      </c>
      <c r="O38" s="35">
        <v>1</v>
      </c>
      <c r="P38" s="239">
        <v>5</v>
      </c>
      <c r="Q38" s="44">
        <f>CONVERT(0.116,"kg","lbm")</f>
        <v>0.25573622413445801</v>
      </c>
      <c r="R38" s="441">
        <f>CONVERT(218,"mm","in")</f>
        <v>8.5826771653543314</v>
      </c>
      <c r="S38" s="441">
        <f t="shared" si="7"/>
        <v>4.0944881889763778</v>
      </c>
      <c r="T38" s="442">
        <v>2.5</v>
      </c>
      <c r="U38" s="44">
        <v>0.37478584571429185</v>
      </c>
      <c r="V38" s="33">
        <v>5.5</v>
      </c>
      <c r="W38" s="33">
        <v>1.25</v>
      </c>
      <c r="X38" s="70">
        <v>11.8125</v>
      </c>
      <c r="Y38" s="90" t="s">
        <v>259</v>
      </c>
      <c r="Z38" s="89" t="s">
        <v>259</v>
      </c>
      <c r="AA38" s="89" t="s">
        <v>259</v>
      </c>
      <c r="AB38" s="249" t="s">
        <v>259</v>
      </c>
      <c r="AC38" s="44">
        <v>2.0499999999999998</v>
      </c>
      <c r="AD38" s="33">
        <v>12</v>
      </c>
      <c r="AE38" s="33">
        <v>5.75</v>
      </c>
      <c r="AF38" s="70">
        <v>5.75</v>
      </c>
      <c r="AG38" s="42">
        <f>AD38*AE38*AF38/(12^3)</f>
        <v>0.22960069444444445</v>
      </c>
      <c r="AH38" s="85" t="s">
        <v>3536</v>
      </c>
      <c r="AI38" s="85" t="s">
        <v>3561</v>
      </c>
      <c r="AJ38" s="85" t="s">
        <v>3538</v>
      </c>
      <c r="AK38" s="37" t="s">
        <v>4292</v>
      </c>
      <c r="AL38" s="85" t="s">
        <v>3562</v>
      </c>
      <c r="AM38" s="85"/>
      <c r="AN38" s="85"/>
      <c r="AO38" s="85"/>
      <c r="AP38" s="85" t="s">
        <v>3563</v>
      </c>
      <c r="AQ38" s="18" t="s">
        <v>2909</v>
      </c>
      <c r="AR38" s="14" t="s">
        <v>1932</v>
      </c>
    </row>
    <row r="39" spans="1:44" s="14" customFormat="1" x14ac:dyDescent="0.2">
      <c r="A39" s="18" t="s">
        <v>1837</v>
      </c>
      <c r="B39" s="18"/>
      <c r="C39" s="1" t="s">
        <v>1212</v>
      </c>
      <c r="D39" s="1" t="s">
        <v>1550</v>
      </c>
      <c r="E39" s="1" t="s">
        <v>3384</v>
      </c>
      <c r="F39" s="18" t="s">
        <v>222</v>
      </c>
      <c r="G39" s="18" t="s">
        <v>3344</v>
      </c>
      <c r="H39" s="3" t="s">
        <v>1281</v>
      </c>
      <c r="I39" s="18"/>
      <c r="J39" s="248"/>
      <c r="K39" s="37" t="s">
        <v>1299</v>
      </c>
      <c r="L39" s="36" t="s">
        <v>977</v>
      </c>
      <c r="M39" s="514"/>
      <c r="N39" s="514">
        <f>IF($C39="","",VLOOKUP($C39,'2017 Pricelist'!$C:$I,7,FALSE))</f>
        <v>29.990000000000002</v>
      </c>
      <c r="O39" s="35">
        <v>1</v>
      </c>
      <c r="P39" s="239">
        <v>15</v>
      </c>
      <c r="Q39" s="44">
        <f>CONVERT(0.116,"kg","lbm")</f>
        <v>0.25573622413445801</v>
      </c>
      <c r="R39" s="441">
        <f>CONVERT(214,"mm","in")</f>
        <v>8.4251968503937</v>
      </c>
      <c r="S39" s="441">
        <f>CONVERT(99,"mm","in")</f>
        <v>3.8976377952755907</v>
      </c>
      <c r="T39" s="442">
        <v>2.5</v>
      </c>
      <c r="U39" s="44">
        <v>0.25573622413445796</v>
      </c>
      <c r="V39" s="33">
        <v>9.1</v>
      </c>
      <c r="W39" s="33">
        <v>1.9</v>
      </c>
      <c r="X39" s="70">
        <v>1.4</v>
      </c>
      <c r="Y39" s="90" t="s">
        <v>259</v>
      </c>
      <c r="Z39" s="89" t="s">
        <v>259</v>
      </c>
      <c r="AA39" s="89" t="s">
        <v>259</v>
      </c>
      <c r="AB39" s="249" t="s">
        <v>259</v>
      </c>
      <c r="AC39" s="44">
        <v>4.4000000000000004</v>
      </c>
      <c r="AD39" s="33">
        <v>9.75</v>
      </c>
      <c r="AE39" s="33">
        <v>5</v>
      </c>
      <c r="AF39" s="70">
        <v>10.25</v>
      </c>
      <c r="AG39" s="42">
        <f>AD39*AE39*AF39/(12^3)</f>
        <v>0.28917100694444442</v>
      </c>
      <c r="AH39" s="85" t="s">
        <v>3564</v>
      </c>
      <c r="AI39" s="85" t="s">
        <v>3561</v>
      </c>
      <c r="AJ39" s="85" t="s">
        <v>3538</v>
      </c>
      <c r="AK39" s="37" t="s">
        <v>3545</v>
      </c>
      <c r="AL39" s="85" t="s">
        <v>3565</v>
      </c>
      <c r="AM39" s="85"/>
      <c r="AN39" s="85"/>
      <c r="AO39" s="85"/>
      <c r="AP39" s="85" t="s">
        <v>3566</v>
      </c>
      <c r="AQ39" s="18" t="s">
        <v>2909</v>
      </c>
      <c r="AR39" s="14" t="s">
        <v>1932</v>
      </c>
    </row>
    <row r="40" spans="1:44" s="14" customFormat="1" x14ac:dyDescent="0.2">
      <c r="A40" s="18" t="s">
        <v>1837</v>
      </c>
      <c r="B40" s="18"/>
      <c r="C40" s="84" t="s">
        <v>1939</v>
      </c>
      <c r="D40" s="1" t="s">
        <v>1550</v>
      </c>
      <c r="E40" s="84" t="s">
        <v>3384</v>
      </c>
      <c r="F40" s="18" t="s">
        <v>219</v>
      </c>
      <c r="G40" s="18" t="s">
        <v>3619</v>
      </c>
      <c r="H40" s="445">
        <v>7391846014645</v>
      </c>
      <c r="I40" s="18"/>
      <c r="J40" s="248"/>
      <c r="K40" s="37" t="s">
        <v>1299</v>
      </c>
      <c r="L40" s="36" t="s">
        <v>977</v>
      </c>
      <c r="M40" s="514"/>
      <c r="N40" s="514">
        <f>IF($C40="","",VLOOKUP($C40,'2017 Pricelist'!$C:$I,7,FALSE))</f>
        <v>29.990000000000002</v>
      </c>
      <c r="O40" s="35">
        <v>1</v>
      </c>
      <c r="P40" s="239">
        <v>5</v>
      </c>
      <c r="Q40" s="44">
        <f>CONVERT(0.116,"kg","lbm")</f>
        <v>0.25573622413445801</v>
      </c>
      <c r="R40" s="441">
        <f>CONVERT(214,"mm","in")</f>
        <v>8.4251968503937</v>
      </c>
      <c r="S40" s="441">
        <f>CONVERT(99,"mm","in")</f>
        <v>3.8976377952755907</v>
      </c>
      <c r="T40" s="442">
        <v>2.5</v>
      </c>
      <c r="U40" s="44">
        <v>0.36376273260504799</v>
      </c>
      <c r="V40" s="33">
        <v>5.5</v>
      </c>
      <c r="W40" s="33">
        <v>1.25</v>
      </c>
      <c r="X40" s="70">
        <v>11.8125</v>
      </c>
      <c r="Y40" s="90" t="s">
        <v>259</v>
      </c>
      <c r="Z40" s="89" t="s">
        <v>259</v>
      </c>
      <c r="AA40" s="89" t="s">
        <v>259</v>
      </c>
      <c r="AB40" s="249" t="s">
        <v>259</v>
      </c>
      <c r="AC40" s="44">
        <v>2.0499999999999998</v>
      </c>
      <c r="AD40" s="33">
        <v>12</v>
      </c>
      <c r="AE40" s="33">
        <v>5.75</v>
      </c>
      <c r="AF40" s="70">
        <v>5.75</v>
      </c>
      <c r="AG40" s="42">
        <f>AD40*AE40*AF40/(12^3)</f>
        <v>0.22960069444444445</v>
      </c>
      <c r="AH40" s="85" t="s">
        <v>3564</v>
      </c>
      <c r="AI40" s="85" t="s">
        <v>3561</v>
      </c>
      <c r="AJ40" s="85" t="s">
        <v>3538</v>
      </c>
      <c r="AK40" s="37" t="s">
        <v>3545</v>
      </c>
      <c r="AL40" s="85" t="s">
        <v>3565</v>
      </c>
      <c r="AM40" s="85"/>
      <c r="AN40" s="85"/>
      <c r="AO40" s="85"/>
      <c r="AP40" s="85" t="s">
        <v>3566</v>
      </c>
      <c r="AQ40" s="18" t="s">
        <v>2909</v>
      </c>
      <c r="AR40" s="14" t="s">
        <v>1932</v>
      </c>
    </row>
    <row r="41" spans="1:44" s="18" customFormat="1" ht="15.75" x14ac:dyDescent="0.25">
      <c r="A41" s="105" t="s">
        <v>623</v>
      </c>
      <c r="B41" s="105"/>
      <c r="C41" s="33"/>
      <c r="D41" s="33"/>
      <c r="E41" s="34"/>
      <c r="H41" s="223"/>
      <c r="K41" s="36"/>
      <c r="L41" s="36"/>
      <c r="M41" s="504"/>
      <c r="N41" s="504"/>
      <c r="O41" s="35"/>
      <c r="P41" s="187"/>
      <c r="Q41" s="44"/>
      <c r="R41" s="33"/>
      <c r="S41" s="33"/>
      <c r="T41" s="70"/>
      <c r="U41" s="44"/>
      <c r="V41" s="33"/>
      <c r="W41" s="33"/>
      <c r="X41" s="70"/>
      <c r="Y41" s="44"/>
      <c r="Z41" s="33"/>
      <c r="AA41" s="33"/>
      <c r="AB41" s="70"/>
      <c r="AC41" s="44"/>
      <c r="AD41" s="33"/>
      <c r="AE41" s="33"/>
      <c r="AF41" s="70"/>
      <c r="AG41" s="44"/>
    </row>
    <row r="42" spans="1:44" s="18" customFormat="1" x14ac:dyDescent="0.2">
      <c r="A42" s="18" t="s">
        <v>1837</v>
      </c>
      <c r="B42" s="539"/>
      <c r="C42" s="33" t="s">
        <v>4160</v>
      </c>
      <c r="D42" s="33" t="s">
        <v>1550</v>
      </c>
      <c r="E42" s="34" t="s">
        <v>4164</v>
      </c>
      <c r="F42" s="18" t="s">
        <v>1916</v>
      </c>
      <c r="G42" s="18" t="s">
        <v>2557</v>
      </c>
      <c r="H42" s="355" t="s">
        <v>4166</v>
      </c>
      <c r="K42" s="37" t="s">
        <v>1299</v>
      </c>
      <c r="L42" s="36" t="s">
        <v>977</v>
      </c>
      <c r="M42" s="514"/>
      <c r="N42" s="514">
        <f>IF($C42="","",VLOOKUP($C42,'2017 Pricelist'!$C:$I,7,FALSE))</f>
        <v>39.99</v>
      </c>
      <c r="O42" s="35">
        <v>1</v>
      </c>
      <c r="P42" s="187">
        <v>5</v>
      </c>
      <c r="Q42" s="44">
        <v>0.28999999999999998</v>
      </c>
      <c r="R42" s="33">
        <v>8.9</v>
      </c>
      <c r="S42" s="33">
        <v>4.3</v>
      </c>
      <c r="T42" s="70">
        <v>2.5</v>
      </c>
      <c r="U42" s="44">
        <v>0.4</v>
      </c>
      <c r="V42" s="33">
        <v>10.9</v>
      </c>
      <c r="W42" s="33">
        <v>2.4</v>
      </c>
      <c r="X42" s="70">
        <v>1.8</v>
      </c>
      <c r="Y42" s="44">
        <v>2.15</v>
      </c>
      <c r="Z42" s="33">
        <v>12.2</v>
      </c>
      <c r="AA42" s="33">
        <v>11</v>
      </c>
      <c r="AB42" s="70">
        <v>2</v>
      </c>
      <c r="AC42" s="44">
        <v>18</v>
      </c>
      <c r="AD42" s="33">
        <v>17.5</v>
      </c>
      <c r="AE42" s="33">
        <v>12.5</v>
      </c>
      <c r="AF42" s="70">
        <v>12</v>
      </c>
      <c r="AG42" s="42">
        <f>AD42*AE42*AF42/(12^3)</f>
        <v>1.5190972222222223</v>
      </c>
      <c r="AH42" s="18" t="s">
        <v>4173</v>
      </c>
      <c r="AI42" s="18" t="s">
        <v>4154</v>
      </c>
      <c r="AJ42" s="18" t="s">
        <v>4155</v>
      </c>
      <c r="AK42" s="18" t="s">
        <v>4175</v>
      </c>
      <c r="AL42" s="18" t="s">
        <v>4157</v>
      </c>
      <c r="AP42" s="18" t="s">
        <v>4221</v>
      </c>
      <c r="AQ42" s="18" t="s">
        <v>2909</v>
      </c>
      <c r="AR42" s="14" t="s">
        <v>1932</v>
      </c>
    </row>
    <row r="43" spans="1:44" s="18" customFormat="1" x14ac:dyDescent="0.2">
      <c r="A43" s="18" t="s">
        <v>1837</v>
      </c>
      <c r="B43" s="539"/>
      <c r="C43" s="33" t="s">
        <v>4161</v>
      </c>
      <c r="D43" s="33" t="s">
        <v>1550</v>
      </c>
      <c r="E43" s="34" t="s">
        <v>4165</v>
      </c>
      <c r="F43" s="18" t="s">
        <v>1916</v>
      </c>
      <c r="G43" s="18" t="s">
        <v>2557</v>
      </c>
      <c r="H43" s="355" t="s">
        <v>4167</v>
      </c>
      <c r="K43" s="37" t="s">
        <v>1299</v>
      </c>
      <c r="L43" s="36" t="s">
        <v>977</v>
      </c>
      <c r="M43" s="514"/>
      <c r="N43" s="514">
        <f>IF($C43="","",VLOOKUP($C43,'2017 Pricelist'!$C:$I,7,FALSE))</f>
        <v>59.99</v>
      </c>
      <c r="O43" s="35">
        <v>1</v>
      </c>
      <c r="P43" s="187">
        <v>5</v>
      </c>
      <c r="Q43" s="44">
        <v>0.39</v>
      </c>
      <c r="R43" s="33">
        <v>8.9</v>
      </c>
      <c r="S43" s="33">
        <v>4.3</v>
      </c>
      <c r="T43" s="70">
        <v>2.5</v>
      </c>
      <c r="U43" s="44">
        <v>0.5</v>
      </c>
      <c r="V43" s="33">
        <v>10.9</v>
      </c>
      <c r="W43" s="33">
        <v>2.4</v>
      </c>
      <c r="X43" s="70">
        <v>1.8</v>
      </c>
      <c r="Y43" s="44">
        <v>2.6</v>
      </c>
      <c r="Z43" s="33">
        <v>12.2</v>
      </c>
      <c r="AA43" s="33">
        <v>11</v>
      </c>
      <c r="AB43" s="70">
        <v>2</v>
      </c>
      <c r="AC43" s="44">
        <v>21.4</v>
      </c>
      <c r="AD43" s="33">
        <v>17.5</v>
      </c>
      <c r="AE43" s="33">
        <v>12.5</v>
      </c>
      <c r="AF43" s="70">
        <v>12</v>
      </c>
      <c r="AG43" s="42">
        <f>AD43*AE43*AF43/(12^3)</f>
        <v>1.5190972222222223</v>
      </c>
      <c r="AH43" s="18" t="s">
        <v>4173</v>
      </c>
      <c r="AI43" s="18" t="s">
        <v>4154</v>
      </c>
      <c r="AJ43" s="18" t="s">
        <v>4155</v>
      </c>
      <c r="AK43" s="18" t="s">
        <v>4175</v>
      </c>
      <c r="AL43" s="18" t="s">
        <v>4174</v>
      </c>
      <c r="AM43" s="18" t="s">
        <v>4157</v>
      </c>
      <c r="AP43" s="18" t="s">
        <v>4221</v>
      </c>
      <c r="AQ43" s="18" t="s">
        <v>2909</v>
      </c>
      <c r="AR43" s="14" t="s">
        <v>1932</v>
      </c>
    </row>
    <row r="44" spans="1:44" s="18" customFormat="1" x14ac:dyDescent="0.2">
      <c r="A44" s="18" t="s">
        <v>1837</v>
      </c>
      <c r="B44" s="539"/>
      <c r="C44" s="33" t="s">
        <v>4205</v>
      </c>
      <c r="D44" s="33" t="s">
        <v>1550</v>
      </c>
      <c r="E44" s="34" t="s">
        <v>4206</v>
      </c>
      <c r="F44" s="18" t="s">
        <v>1916</v>
      </c>
      <c r="G44" s="18" t="s">
        <v>2557</v>
      </c>
      <c r="H44" s="355" t="s">
        <v>4219</v>
      </c>
      <c r="K44" s="37" t="s">
        <v>1299</v>
      </c>
      <c r="L44" s="36" t="s">
        <v>977</v>
      </c>
      <c r="M44" s="514"/>
      <c r="N44" s="514">
        <f>IF($C44="","",VLOOKUP($C44,'2017 Pricelist'!$C:$I,7,FALSE))</f>
        <v>39.99</v>
      </c>
      <c r="O44" s="35">
        <v>1</v>
      </c>
      <c r="P44" s="187">
        <v>5</v>
      </c>
      <c r="Q44" s="44">
        <v>0.28999999999999998</v>
      </c>
      <c r="R44" s="33">
        <v>8.9</v>
      </c>
      <c r="S44" s="33">
        <v>4.3</v>
      </c>
      <c r="T44" s="70">
        <v>2.5</v>
      </c>
      <c r="U44" s="44">
        <v>0.47</v>
      </c>
      <c r="V44" s="33">
        <v>10.95</v>
      </c>
      <c r="W44" s="33">
        <v>5.5</v>
      </c>
      <c r="X44" s="70">
        <v>1.4</v>
      </c>
      <c r="Y44" s="120"/>
      <c r="Z44" s="121"/>
      <c r="AA44" s="121"/>
      <c r="AB44" s="122"/>
      <c r="AC44" s="120"/>
      <c r="AD44" s="121"/>
      <c r="AE44" s="121"/>
      <c r="AF44" s="122"/>
      <c r="AG44" s="120"/>
      <c r="AH44" s="18" t="s">
        <v>4173</v>
      </c>
      <c r="AI44" s="18" t="s">
        <v>4154</v>
      </c>
      <c r="AJ44" s="18" t="s">
        <v>4155</v>
      </c>
      <c r="AK44" s="18" t="s">
        <v>4175</v>
      </c>
      <c r="AL44" s="18" t="s">
        <v>4157</v>
      </c>
      <c r="AP44" s="18" t="s">
        <v>4221</v>
      </c>
      <c r="AQ44" s="18" t="s">
        <v>2909</v>
      </c>
      <c r="AR44" s="14" t="s">
        <v>1932</v>
      </c>
    </row>
    <row r="45" spans="1:44" s="18" customFormat="1" x14ac:dyDescent="0.2">
      <c r="A45" s="18" t="s">
        <v>1837</v>
      </c>
      <c r="B45" s="539"/>
      <c r="C45" s="254" t="s">
        <v>3991</v>
      </c>
      <c r="D45" s="33" t="s">
        <v>1550</v>
      </c>
      <c r="E45" s="518" t="s">
        <v>3983</v>
      </c>
      <c r="F45" s="18" t="s">
        <v>484</v>
      </c>
      <c r="G45" s="18" t="s">
        <v>2557</v>
      </c>
      <c r="H45" s="355" t="s">
        <v>3953</v>
      </c>
      <c r="K45" s="37" t="s">
        <v>1299</v>
      </c>
      <c r="L45" s="36" t="s">
        <v>977</v>
      </c>
      <c r="M45" s="514"/>
      <c r="N45" s="514">
        <f>IF($C45="","",VLOOKUP($C45,'2017 Pricelist'!$C:$I,7,FALSE))</f>
        <v>29.990000000000002</v>
      </c>
      <c r="O45" s="35">
        <v>1</v>
      </c>
      <c r="P45" s="187">
        <v>5</v>
      </c>
      <c r="Q45" s="44">
        <v>0.17199999999999999</v>
      </c>
      <c r="R45" s="18">
        <v>5.6</v>
      </c>
      <c r="S45" s="33">
        <v>2.2000000000000002</v>
      </c>
      <c r="T45" s="70">
        <v>2</v>
      </c>
      <c r="U45" s="44">
        <v>0.28999999999999998</v>
      </c>
      <c r="V45" s="33">
        <v>7.48</v>
      </c>
      <c r="W45" s="33">
        <v>2.36</v>
      </c>
      <c r="X45" s="70">
        <v>1.77</v>
      </c>
      <c r="Y45" s="44">
        <v>1.4</v>
      </c>
      <c r="Z45" s="33">
        <v>12.2</v>
      </c>
      <c r="AA45" s="33">
        <v>11</v>
      </c>
      <c r="AB45" s="70">
        <v>2</v>
      </c>
      <c r="AC45" s="44">
        <v>12</v>
      </c>
      <c r="AD45" s="33">
        <v>17.5</v>
      </c>
      <c r="AE45" s="33">
        <v>12.5</v>
      </c>
      <c r="AF45" s="70">
        <v>12</v>
      </c>
      <c r="AG45" s="42">
        <f t="shared" ref="AG45:AG50" si="9">AD45*AE45*AF45/(12^3)</f>
        <v>1.5190972222222223</v>
      </c>
      <c r="AH45" s="536" t="s">
        <v>4168</v>
      </c>
      <c r="AI45" s="536" t="s">
        <v>4154</v>
      </c>
      <c r="AJ45" s="536" t="s">
        <v>4155</v>
      </c>
      <c r="AK45" s="536" t="s">
        <v>4156</v>
      </c>
      <c r="AL45" s="536" t="s">
        <v>4159</v>
      </c>
      <c r="AP45" s="525" t="s">
        <v>4169</v>
      </c>
      <c r="AQ45" s="18" t="s">
        <v>2909</v>
      </c>
      <c r="AR45" s="14" t="s">
        <v>1932</v>
      </c>
    </row>
    <row r="46" spans="1:44" s="18" customFormat="1" x14ac:dyDescent="0.2">
      <c r="A46" s="18" t="s">
        <v>1837</v>
      </c>
      <c r="B46" s="539"/>
      <c r="C46" s="254" t="s">
        <v>3992</v>
      </c>
      <c r="D46" s="33" t="s">
        <v>1550</v>
      </c>
      <c r="E46" s="518" t="s">
        <v>3983</v>
      </c>
      <c r="F46" s="18" t="s">
        <v>222</v>
      </c>
      <c r="G46" s="18" t="s">
        <v>2557</v>
      </c>
      <c r="H46" s="355" t="s">
        <v>3954</v>
      </c>
      <c r="K46" s="37" t="s">
        <v>1299</v>
      </c>
      <c r="L46" s="36" t="s">
        <v>977</v>
      </c>
      <c r="M46" s="514"/>
      <c r="N46" s="514">
        <f>IF($C46="","",VLOOKUP($C46,'2017 Pricelist'!$C:$I,7,FALSE))</f>
        <v>29.990000000000002</v>
      </c>
      <c r="O46" s="35">
        <v>1</v>
      </c>
      <c r="P46" s="187">
        <v>5</v>
      </c>
      <c r="Q46" s="44">
        <v>0.17199999999999999</v>
      </c>
      <c r="R46" s="18">
        <v>5.6</v>
      </c>
      <c r="S46" s="33">
        <v>2.2000000000000002</v>
      </c>
      <c r="T46" s="70">
        <v>2</v>
      </c>
      <c r="U46" s="44">
        <v>0.28999999999999998</v>
      </c>
      <c r="V46" s="33">
        <v>7.48</v>
      </c>
      <c r="W46" s="33">
        <v>2.36</v>
      </c>
      <c r="X46" s="70">
        <v>1.77</v>
      </c>
      <c r="Y46" s="44">
        <v>1.4</v>
      </c>
      <c r="Z46" s="33">
        <v>12.2</v>
      </c>
      <c r="AA46" s="33">
        <v>11</v>
      </c>
      <c r="AB46" s="70">
        <v>2</v>
      </c>
      <c r="AC46" s="44">
        <v>12</v>
      </c>
      <c r="AD46" s="33">
        <v>17.5</v>
      </c>
      <c r="AE46" s="33">
        <v>12.5</v>
      </c>
      <c r="AF46" s="70">
        <v>12</v>
      </c>
      <c r="AG46" s="42">
        <f t="shared" si="9"/>
        <v>1.5190972222222223</v>
      </c>
      <c r="AH46" s="536" t="s">
        <v>4168</v>
      </c>
      <c r="AI46" s="536" t="s">
        <v>4154</v>
      </c>
      <c r="AJ46" s="536" t="s">
        <v>4155</v>
      </c>
      <c r="AK46" s="536" t="s">
        <v>4156</v>
      </c>
      <c r="AL46" s="536" t="s">
        <v>4159</v>
      </c>
      <c r="AP46" s="525" t="s">
        <v>4169</v>
      </c>
      <c r="AQ46" s="18" t="s">
        <v>2909</v>
      </c>
      <c r="AR46" s="14" t="s">
        <v>1932</v>
      </c>
    </row>
    <row r="47" spans="1:44" s="18" customFormat="1" x14ac:dyDescent="0.2">
      <c r="A47" s="18" t="s">
        <v>1837</v>
      </c>
      <c r="B47" s="539"/>
      <c r="C47" s="254" t="s">
        <v>3993</v>
      </c>
      <c r="D47" s="33" t="s">
        <v>1550</v>
      </c>
      <c r="E47" s="518" t="s">
        <v>3983</v>
      </c>
      <c r="F47" s="18" t="s">
        <v>217</v>
      </c>
      <c r="G47" s="18" t="s">
        <v>2557</v>
      </c>
      <c r="H47" s="355" t="s">
        <v>3955</v>
      </c>
      <c r="K47" s="37" t="s">
        <v>1299</v>
      </c>
      <c r="L47" s="36" t="s">
        <v>977</v>
      </c>
      <c r="M47" s="514"/>
      <c r="N47" s="514">
        <f>IF($C47="","",VLOOKUP($C47,'2017 Pricelist'!$C:$I,7,FALSE))</f>
        <v>29.990000000000002</v>
      </c>
      <c r="O47" s="35">
        <v>1</v>
      </c>
      <c r="P47" s="187">
        <v>5</v>
      </c>
      <c r="Q47" s="44">
        <v>0.17199999999999999</v>
      </c>
      <c r="R47" s="18">
        <v>5.6</v>
      </c>
      <c r="S47" s="33">
        <v>2.2000000000000002</v>
      </c>
      <c r="T47" s="70">
        <v>2</v>
      </c>
      <c r="U47" s="44">
        <v>0.28999999999999998</v>
      </c>
      <c r="V47" s="33">
        <v>7.48</v>
      </c>
      <c r="W47" s="33">
        <v>2.36</v>
      </c>
      <c r="X47" s="70">
        <v>1.77</v>
      </c>
      <c r="Y47" s="44">
        <v>1.4</v>
      </c>
      <c r="Z47" s="33">
        <v>12.2</v>
      </c>
      <c r="AA47" s="33">
        <v>11</v>
      </c>
      <c r="AB47" s="70">
        <v>2</v>
      </c>
      <c r="AC47" s="44">
        <v>12</v>
      </c>
      <c r="AD47" s="33">
        <v>17.5</v>
      </c>
      <c r="AE47" s="33">
        <v>12.5</v>
      </c>
      <c r="AF47" s="70">
        <v>12</v>
      </c>
      <c r="AG47" s="42">
        <f t="shared" si="9"/>
        <v>1.5190972222222223</v>
      </c>
      <c r="AH47" s="536" t="s">
        <v>4168</v>
      </c>
      <c r="AI47" s="536" t="s">
        <v>4154</v>
      </c>
      <c r="AJ47" s="536" t="s">
        <v>4155</v>
      </c>
      <c r="AK47" s="536" t="s">
        <v>4156</v>
      </c>
      <c r="AL47" s="536" t="s">
        <v>4159</v>
      </c>
      <c r="AP47" s="525" t="s">
        <v>4169</v>
      </c>
      <c r="AQ47" s="18" t="s">
        <v>2909</v>
      </c>
      <c r="AR47" s="14" t="s">
        <v>1932</v>
      </c>
    </row>
    <row r="48" spans="1:44" s="18" customFormat="1" x14ac:dyDescent="0.2">
      <c r="A48" s="18" t="s">
        <v>1837</v>
      </c>
      <c r="B48" s="539"/>
      <c r="C48" s="254" t="s">
        <v>3994</v>
      </c>
      <c r="D48" s="33" t="s">
        <v>1550</v>
      </c>
      <c r="E48" s="518" t="s">
        <v>3983</v>
      </c>
      <c r="F48" s="18" t="s">
        <v>483</v>
      </c>
      <c r="G48" s="18" t="s">
        <v>2557</v>
      </c>
      <c r="H48" s="355" t="s">
        <v>3956</v>
      </c>
      <c r="K48" s="37" t="s">
        <v>1299</v>
      </c>
      <c r="L48" s="36" t="s">
        <v>977</v>
      </c>
      <c r="M48" s="514"/>
      <c r="N48" s="514">
        <f>IF($C48="","",VLOOKUP($C48,'2017 Pricelist'!$C:$I,7,FALSE))</f>
        <v>29.990000000000002</v>
      </c>
      <c r="O48" s="35">
        <v>1</v>
      </c>
      <c r="P48" s="187">
        <v>5</v>
      </c>
      <c r="Q48" s="44">
        <v>0.17199999999999999</v>
      </c>
      <c r="R48" s="18">
        <v>5.6</v>
      </c>
      <c r="S48" s="33">
        <v>2.2000000000000002</v>
      </c>
      <c r="T48" s="70">
        <v>2</v>
      </c>
      <c r="U48" s="44">
        <v>0.28999999999999998</v>
      </c>
      <c r="V48" s="33">
        <v>7.48</v>
      </c>
      <c r="W48" s="33">
        <v>2.36</v>
      </c>
      <c r="X48" s="70">
        <v>1.77</v>
      </c>
      <c r="Y48" s="44">
        <v>1.4</v>
      </c>
      <c r="Z48" s="33">
        <v>12.2</v>
      </c>
      <c r="AA48" s="33">
        <v>11</v>
      </c>
      <c r="AB48" s="70">
        <v>2</v>
      </c>
      <c r="AC48" s="44">
        <v>12</v>
      </c>
      <c r="AD48" s="33">
        <v>17.5</v>
      </c>
      <c r="AE48" s="33">
        <v>12.5</v>
      </c>
      <c r="AF48" s="70">
        <v>12</v>
      </c>
      <c r="AG48" s="42">
        <f t="shared" si="9"/>
        <v>1.5190972222222223</v>
      </c>
      <c r="AH48" s="536" t="s">
        <v>4168</v>
      </c>
      <c r="AI48" s="536" t="s">
        <v>4154</v>
      </c>
      <c r="AJ48" s="536" t="s">
        <v>4155</v>
      </c>
      <c r="AK48" s="536" t="s">
        <v>4156</v>
      </c>
      <c r="AL48" s="536" t="s">
        <v>4159</v>
      </c>
      <c r="AP48" s="525" t="s">
        <v>4169</v>
      </c>
      <c r="AQ48" s="18" t="s">
        <v>2909</v>
      </c>
      <c r="AR48" s="14" t="s">
        <v>1932</v>
      </c>
    </row>
    <row r="49" spans="1:44" s="18" customFormat="1" x14ac:dyDescent="0.2">
      <c r="A49" s="18" t="s">
        <v>1837</v>
      </c>
      <c r="B49" s="539"/>
      <c r="C49" s="254" t="s">
        <v>3995</v>
      </c>
      <c r="D49" s="33" t="s">
        <v>1550</v>
      </c>
      <c r="E49" s="518" t="s">
        <v>3983</v>
      </c>
      <c r="F49" s="18" t="s">
        <v>218</v>
      </c>
      <c r="G49" s="18" t="s">
        <v>2557</v>
      </c>
      <c r="H49" s="355" t="s">
        <v>3957</v>
      </c>
      <c r="K49" s="37" t="s">
        <v>1299</v>
      </c>
      <c r="L49" s="36" t="s">
        <v>977</v>
      </c>
      <c r="M49" s="514"/>
      <c r="N49" s="514">
        <f>IF($C49="","",VLOOKUP($C49,'2017 Pricelist'!$C:$I,7,FALSE))</f>
        <v>29.990000000000002</v>
      </c>
      <c r="O49" s="35">
        <v>1</v>
      </c>
      <c r="P49" s="187">
        <v>5</v>
      </c>
      <c r="Q49" s="44">
        <v>0.17199999999999999</v>
      </c>
      <c r="R49" s="18">
        <v>5.6</v>
      </c>
      <c r="S49" s="33">
        <v>2.2000000000000002</v>
      </c>
      <c r="T49" s="70">
        <v>2</v>
      </c>
      <c r="U49" s="44">
        <v>0.28999999999999998</v>
      </c>
      <c r="V49" s="33">
        <v>7.48</v>
      </c>
      <c r="W49" s="33">
        <v>2.36</v>
      </c>
      <c r="X49" s="70">
        <v>1.77</v>
      </c>
      <c r="Y49" s="44">
        <v>1.4</v>
      </c>
      <c r="Z49" s="33">
        <v>12.2</v>
      </c>
      <c r="AA49" s="33">
        <v>11</v>
      </c>
      <c r="AB49" s="70">
        <v>2</v>
      </c>
      <c r="AC49" s="44">
        <v>12</v>
      </c>
      <c r="AD49" s="33">
        <v>17.5</v>
      </c>
      <c r="AE49" s="33">
        <v>12.5</v>
      </c>
      <c r="AF49" s="70">
        <v>12</v>
      </c>
      <c r="AG49" s="42">
        <f t="shared" si="9"/>
        <v>1.5190972222222223</v>
      </c>
      <c r="AH49" s="536" t="s">
        <v>4168</v>
      </c>
      <c r="AI49" s="536" t="s">
        <v>4154</v>
      </c>
      <c r="AJ49" s="536" t="s">
        <v>4155</v>
      </c>
      <c r="AK49" s="536" t="s">
        <v>4156</v>
      </c>
      <c r="AL49" s="536" t="s">
        <v>4159</v>
      </c>
      <c r="AP49" s="525" t="s">
        <v>4169</v>
      </c>
      <c r="AQ49" s="18" t="s">
        <v>2909</v>
      </c>
      <c r="AR49" s="14" t="s">
        <v>1932</v>
      </c>
    </row>
    <row r="50" spans="1:44" s="18" customFormat="1" x14ac:dyDescent="0.2">
      <c r="A50" s="18" t="s">
        <v>1837</v>
      </c>
      <c r="B50" s="539"/>
      <c r="C50" s="254" t="s">
        <v>3996</v>
      </c>
      <c r="D50" s="33" t="s">
        <v>1550</v>
      </c>
      <c r="E50" s="518" t="s">
        <v>3983</v>
      </c>
      <c r="F50" s="18" t="s">
        <v>3982</v>
      </c>
      <c r="G50" s="18" t="s">
        <v>2557</v>
      </c>
      <c r="H50" s="355" t="s">
        <v>3958</v>
      </c>
      <c r="K50" s="37" t="s">
        <v>1299</v>
      </c>
      <c r="L50" s="36" t="s">
        <v>977</v>
      </c>
      <c r="M50" s="514"/>
      <c r="N50" s="514">
        <f>IF($C50="","",VLOOKUP($C50,'2017 Pricelist'!$C:$I,7,FALSE))</f>
        <v>29.990000000000002</v>
      </c>
      <c r="O50" s="35">
        <v>1</v>
      </c>
      <c r="P50" s="187">
        <v>5</v>
      </c>
      <c r="Q50" s="44">
        <v>0.17199999999999999</v>
      </c>
      <c r="R50" s="18">
        <v>5.6</v>
      </c>
      <c r="S50" s="33">
        <v>2.2000000000000002</v>
      </c>
      <c r="T50" s="70">
        <v>2</v>
      </c>
      <c r="U50" s="44">
        <v>0.28999999999999998</v>
      </c>
      <c r="V50" s="33">
        <v>7.48</v>
      </c>
      <c r="W50" s="33">
        <v>2.36</v>
      </c>
      <c r="X50" s="70">
        <v>1.77</v>
      </c>
      <c r="Y50" s="44">
        <v>1.4</v>
      </c>
      <c r="Z50" s="33">
        <v>12.2</v>
      </c>
      <c r="AA50" s="33">
        <v>11</v>
      </c>
      <c r="AB50" s="70">
        <v>2</v>
      </c>
      <c r="AC50" s="44">
        <v>12</v>
      </c>
      <c r="AD50" s="33">
        <v>17.5</v>
      </c>
      <c r="AE50" s="33">
        <v>12.5</v>
      </c>
      <c r="AF50" s="70">
        <v>12</v>
      </c>
      <c r="AG50" s="42">
        <f t="shared" si="9"/>
        <v>1.5190972222222223</v>
      </c>
      <c r="AH50" s="536" t="s">
        <v>4168</v>
      </c>
      <c r="AI50" s="536" t="s">
        <v>4154</v>
      </c>
      <c r="AJ50" s="536" t="s">
        <v>4155</v>
      </c>
      <c r="AK50" s="536" t="s">
        <v>4156</v>
      </c>
      <c r="AL50" s="536" t="s">
        <v>4159</v>
      </c>
      <c r="AP50" s="525" t="s">
        <v>4169</v>
      </c>
      <c r="AQ50" s="18" t="s">
        <v>2909</v>
      </c>
      <c r="AR50" s="14" t="s">
        <v>1932</v>
      </c>
    </row>
    <row r="51" spans="1:44" s="518" customFormat="1" x14ac:dyDescent="0.2">
      <c r="A51" s="518" t="s">
        <v>1837</v>
      </c>
      <c r="B51" s="539"/>
      <c r="C51" s="518" t="s">
        <v>4211</v>
      </c>
      <c r="D51" s="518" t="s">
        <v>1550</v>
      </c>
      <c r="E51" s="518" t="s">
        <v>4220</v>
      </c>
      <c r="F51" s="518" t="s">
        <v>217</v>
      </c>
      <c r="G51" s="18" t="s">
        <v>2557</v>
      </c>
      <c r="H51" s="559">
        <v>7391846018834</v>
      </c>
      <c r="K51" s="37" t="s">
        <v>1299</v>
      </c>
      <c r="L51" s="36" t="s">
        <v>977</v>
      </c>
      <c r="M51" s="514"/>
      <c r="N51" s="514">
        <f>IF($C51="","",VLOOKUP($C51,'2017 Pricelist'!$C:$I,7,FALSE))</f>
        <v>29.990000000000002</v>
      </c>
      <c r="O51" s="35">
        <v>1</v>
      </c>
      <c r="P51" s="187">
        <v>5</v>
      </c>
      <c r="Q51" s="44">
        <v>0.17199999999999999</v>
      </c>
      <c r="R51" s="18">
        <v>5.6</v>
      </c>
      <c r="S51" s="33">
        <v>2.2000000000000002</v>
      </c>
      <c r="T51" s="70">
        <v>2</v>
      </c>
      <c r="U51" s="518">
        <v>0.35</v>
      </c>
      <c r="V51" s="518">
        <v>11.81</v>
      </c>
      <c r="W51" s="518">
        <v>5.51</v>
      </c>
      <c r="X51" s="537">
        <v>1.18</v>
      </c>
      <c r="Z51" s="560"/>
      <c r="AA51" s="560"/>
      <c r="AB51" s="560"/>
      <c r="AC51" s="560"/>
      <c r="AD51" s="560"/>
      <c r="AE51" s="560"/>
      <c r="AF51" s="560"/>
      <c r="AG51" s="560"/>
      <c r="AH51" s="536" t="s">
        <v>4168</v>
      </c>
      <c r="AI51" s="536" t="s">
        <v>4154</v>
      </c>
      <c r="AJ51" s="536" t="s">
        <v>4155</v>
      </c>
      <c r="AK51" s="536" t="s">
        <v>4156</v>
      </c>
      <c r="AL51" s="536" t="s">
        <v>4159</v>
      </c>
      <c r="AP51" s="557" t="s">
        <v>4169</v>
      </c>
      <c r="AQ51" s="18" t="s">
        <v>2909</v>
      </c>
      <c r="AR51" s="14" t="s">
        <v>1932</v>
      </c>
    </row>
    <row r="52" spans="1:44" s="518" customFormat="1" x14ac:dyDescent="0.2">
      <c r="A52" s="518" t="s">
        <v>1837</v>
      </c>
      <c r="B52" s="539"/>
      <c r="C52" s="518" t="s">
        <v>4212</v>
      </c>
      <c r="D52" s="518" t="s">
        <v>1550</v>
      </c>
      <c r="E52" s="518" t="s">
        <v>4220</v>
      </c>
      <c r="F52" s="518" t="s">
        <v>218</v>
      </c>
      <c r="G52" s="18" t="s">
        <v>2557</v>
      </c>
      <c r="H52" s="559">
        <v>7391846018865</v>
      </c>
      <c r="K52" s="37" t="s">
        <v>1299</v>
      </c>
      <c r="L52" s="36" t="s">
        <v>977</v>
      </c>
      <c r="M52" s="514"/>
      <c r="N52" s="514">
        <f>IF($C52="","",VLOOKUP($C52,'2017 Pricelist'!$C:$I,7,FALSE))</f>
        <v>29.990000000000002</v>
      </c>
      <c r="O52" s="35">
        <v>1</v>
      </c>
      <c r="P52" s="187">
        <v>5</v>
      </c>
      <c r="Q52" s="44">
        <v>0.17199999999999999</v>
      </c>
      <c r="R52" s="18">
        <v>5.6</v>
      </c>
      <c r="S52" s="33">
        <v>2.2000000000000002</v>
      </c>
      <c r="T52" s="70">
        <v>2</v>
      </c>
      <c r="U52" s="518">
        <v>0.35</v>
      </c>
      <c r="V52" s="518">
        <v>11.81</v>
      </c>
      <c r="W52" s="518">
        <v>5.51</v>
      </c>
      <c r="X52" s="537">
        <v>1.18</v>
      </c>
      <c r="Z52" s="560"/>
      <c r="AA52" s="560"/>
      <c r="AB52" s="560"/>
      <c r="AC52" s="560"/>
      <c r="AD52" s="560"/>
      <c r="AE52" s="560"/>
      <c r="AF52" s="560"/>
      <c r="AG52" s="560"/>
      <c r="AH52" s="536" t="s">
        <v>4168</v>
      </c>
      <c r="AI52" s="536" t="s">
        <v>4154</v>
      </c>
      <c r="AJ52" s="536" t="s">
        <v>4155</v>
      </c>
      <c r="AK52" s="536" t="s">
        <v>4156</v>
      </c>
      <c r="AL52" s="536" t="s">
        <v>4159</v>
      </c>
      <c r="AP52" s="557" t="s">
        <v>4169</v>
      </c>
      <c r="AQ52" s="18" t="s">
        <v>2909</v>
      </c>
      <c r="AR52" s="14" t="s">
        <v>1932</v>
      </c>
    </row>
    <row r="53" spans="1:44" s="518" customFormat="1" x14ac:dyDescent="0.2">
      <c r="A53" s="518" t="s">
        <v>1837</v>
      </c>
      <c r="B53" s="539"/>
      <c r="C53" s="518" t="s">
        <v>4213</v>
      </c>
      <c r="D53" s="518" t="s">
        <v>1550</v>
      </c>
      <c r="E53" s="518" t="s">
        <v>4220</v>
      </c>
      <c r="F53" s="518" t="s">
        <v>483</v>
      </c>
      <c r="G53" s="18" t="s">
        <v>2557</v>
      </c>
      <c r="H53" s="559">
        <v>7391846018896</v>
      </c>
      <c r="K53" s="37" t="s">
        <v>1299</v>
      </c>
      <c r="L53" s="36" t="s">
        <v>977</v>
      </c>
      <c r="M53" s="514"/>
      <c r="N53" s="514">
        <f>IF($C53="","",VLOOKUP($C53,'2017 Pricelist'!$C:$I,7,FALSE))</f>
        <v>29.990000000000002</v>
      </c>
      <c r="O53" s="35">
        <v>1</v>
      </c>
      <c r="P53" s="187">
        <v>5</v>
      </c>
      <c r="Q53" s="44">
        <v>0.17199999999999999</v>
      </c>
      <c r="R53" s="18">
        <v>5.6</v>
      </c>
      <c r="S53" s="33">
        <v>2.2000000000000002</v>
      </c>
      <c r="T53" s="70">
        <v>2</v>
      </c>
      <c r="U53" s="518">
        <v>0.35</v>
      </c>
      <c r="V53" s="518">
        <v>11.81</v>
      </c>
      <c r="W53" s="518">
        <v>5.51</v>
      </c>
      <c r="X53" s="537">
        <v>1.18</v>
      </c>
      <c r="Z53" s="560"/>
      <c r="AA53" s="560"/>
      <c r="AB53" s="560"/>
      <c r="AC53" s="560"/>
      <c r="AD53" s="560"/>
      <c r="AE53" s="560"/>
      <c r="AF53" s="560"/>
      <c r="AG53" s="560"/>
      <c r="AH53" s="536" t="s">
        <v>4168</v>
      </c>
      <c r="AI53" s="536" t="s">
        <v>4154</v>
      </c>
      <c r="AJ53" s="536" t="s">
        <v>4155</v>
      </c>
      <c r="AK53" s="536" t="s">
        <v>4156</v>
      </c>
      <c r="AL53" s="536" t="s">
        <v>4159</v>
      </c>
      <c r="AP53" s="557" t="s">
        <v>4169</v>
      </c>
      <c r="AQ53" s="18" t="s">
        <v>2909</v>
      </c>
      <c r="AR53" s="14" t="s">
        <v>1932</v>
      </c>
    </row>
    <row r="54" spans="1:44" s="518" customFormat="1" x14ac:dyDescent="0.2">
      <c r="A54" s="518" t="s">
        <v>1837</v>
      </c>
      <c r="B54" s="539"/>
      <c r="C54" s="518" t="s">
        <v>4214</v>
      </c>
      <c r="D54" s="518" t="s">
        <v>1550</v>
      </c>
      <c r="E54" s="518" t="s">
        <v>4220</v>
      </c>
      <c r="F54" s="518" t="s">
        <v>222</v>
      </c>
      <c r="G54" s="18" t="s">
        <v>2557</v>
      </c>
      <c r="H54" s="559">
        <v>7391846018926</v>
      </c>
      <c r="K54" s="37" t="s">
        <v>1299</v>
      </c>
      <c r="L54" s="36" t="s">
        <v>977</v>
      </c>
      <c r="M54" s="514"/>
      <c r="N54" s="514">
        <f>IF($C54="","",VLOOKUP($C54,'2017 Pricelist'!$C:$I,7,FALSE))</f>
        <v>29.990000000000002</v>
      </c>
      <c r="O54" s="35">
        <v>1</v>
      </c>
      <c r="P54" s="187">
        <v>5</v>
      </c>
      <c r="Q54" s="44">
        <v>0.17199999999999999</v>
      </c>
      <c r="R54" s="18">
        <v>5.6</v>
      </c>
      <c r="S54" s="33">
        <v>2.2000000000000002</v>
      </c>
      <c r="T54" s="70">
        <v>2</v>
      </c>
      <c r="U54" s="518">
        <v>0.35</v>
      </c>
      <c r="V54" s="518">
        <v>11.81</v>
      </c>
      <c r="W54" s="518">
        <v>5.51</v>
      </c>
      <c r="X54" s="537">
        <v>1.18</v>
      </c>
      <c r="Z54" s="560"/>
      <c r="AA54" s="560"/>
      <c r="AB54" s="560"/>
      <c r="AC54" s="560"/>
      <c r="AD54" s="560"/>
      <c r="AE54" s="560"/>
      <c r="AF54" s="560"/>
      <c r="AG54" s="560"/>
      <c r="AH54" s="536" t="s">
        <v>4168</v>
      </c>
      <c r="AI54" s="536" t="s">
        <v>4154</v>
      </c>
      <c r="AJ54" s="536" t="s">
        <v>4155</v>
      </c>
      <c r="AK54" s="536" t="s">
        <v>4156</v>
      </c>
      <c r="AL54" s="536" t="s">
        <v>4159</v>
      </c>
      <c r="AP54" s="557" t="s">
        <v>4169</v>
      </c>
      <c r="AQ54" s="18" t="s">
        <v>2909</v>
      </c>
      <c r="AR54" s="14" t="s">
        <v>1932</v>
      </c>
    </row>
    <row r="55" spans="1:44" s="518" customFormat="1" x14ac:dyDescent="0.2">
      <c r="A55" s="518" t="s">
        <v>1837</v>
      </c>
      <c r="B55" s="539"/>
      <c r="C55" s="518" t="s">
        <v>4215</v>
      </c>
      <c r="D55" s="518" t="s">
        <v>1550</v>
      </c>
      <c r="E55" s="518" t="s">
        <v>4220</v>
      </c>
      <c r="F55" s="518" t="s">
        <v>484</v>
      </c>
      <c r="G55" s="18" t="s">
        <v>2557</v>
      </c>
      <c r="H55" s="559">
        <v>7391846018957</v>
      </c>
      <c r="K55" s="37" t="s">
        <v>1299</v>
      </c>
      <c r="L55" s="36" t="s">
        <v>977</v>
      </c>
      <c r="M55" s="514"/>
      <c r="N55" s="514">
        <f>IF($C55="","",VLOOKUP($C55,'2017 Pricelist'!$C:$I,7,FALSE))</f>
        <v>29.990000000000002</v>
      </c>
      <c r="O55" s="35">
        <v>1</v>
      </c>
      <c r="P55" s="187">
        <v>5</v>
      </c>
      <c r="Q55" s="44">
        <v>0.17199999999999999</v>
      </c>
      <c r="R55" s="18">
        <v>5.6</v>
      </c>
      <c r="S55" s="33">
        <v>2.2000000000000002</v>
      </c>
      <c r="T55" s="70">
        <v>2</v>
      </c>
      <c r="U55" s="518">
        <v>0.35</v>
      </c>
      <c r="V55" s="518">
        <v>11.81</v>
      </c>
      <c r="W55" s="518">
        <v>5.51</v>
      </c>
      <c r="X55" s="537">
        <v>1.18</v>
      </c>
      <c r="Z55" s="560"/>
      <c r="AA55" s="560"/>
      <c r="AB55" s="560"/>
      <c r="AC55" s="560"/>
      <c r="AD55" s="560"/>
      <c r="AE55" s="560"/>
      <c r="AF55" s="560"/>
      <c r="AG55" s="560"/>
      <c r="AH55" s="536" t="s">
        <v>4168</v>
      </c>
      <c r="AI55" s="536" t="s">
        <v>4154</v>
      </c>
      <c r="AJ55" s="536" t="s">
        <v>4155</v>
      </c>
      <c r="AK55" s="536" t="s">
        <v>4156</v>
      </c>
      <c r="AL55" s="536" t="s">
        <v>4159</v>
      </c>
      <c r="AP55" s="557" t="s">
        <v>4169</v>
      </c>
      <c r="AQ55" s="18" t="s">
        <v>2909</v>
      </c>
      <c r="AR55" s="14" t="s">
        <v>1932</v>
      </c>
    </row>
    <row r="56" spans="1:44" s="18" customFormat="1" x14ac:dyDescent="0.2">
      <c r="A56" s="18" t="s">
        <v>1837</v>
      </c>
      <c r="B56" s="539"/>
      <c r="C56" s="254" t="s">
        <v>3997</v>
      </c>
      <c r="D56" s="33" t="s">
        <v>1550</v>
      </c>
      <c r="E56" s="518" t="s">
        <v>3984</v>
      </c>
      <c r="F56" s="18" t="s">
        <v>484</v>
      </c>
      <c r="G56" s="18" t="s">
        <v>2557</v>
      </c>
      <c r="H56" s="355" t="s">
        <v>3959</v>
      </c>
      <c r="K56" s="37" t="s">
        <v>1299</v>
      </c>
      <c r="L56" s="36" t="s">
        <v>977</v>
      </c>
      <c r="M56" s="514"/>
      <c r="N56" s="514">
        <f>IF($C56="","",VLOOKUP($C56,'2017 Pricelist'!$C:$I,7,FALSE))</f>
        <v>49.99</v>
      </c>
      <c r="O56" s="35">
        <v>1</v>
      </c>
      <c r="P56" s="187">
        <v>5</v>
      </c>
      <c r="Q56" s="44">
        <v>0.26400000000000001</v>
      </c>
      <c r="R56" s="18">
        <v>5.6</v>
      </c>
      <c r="S56" s="33">
        <v>2.2000000000000002</v>
      </c>
      <c r="T56" s="70">
        <v>2</v>
      </c>
      <c r="U56" s="44">
        <v>0.41</v>
      </c>
      <c r="V56" s="33">
        <v>10.94</v>
      </c>
      <c r="W56" s="33">
        <v>2.36</v>
      </c>
      <c r="X56" s="70">
        <v>1.77</v>
      </c>
      <c r="Y56" s="44">
        <v>2.1</v>
      </c>
      <c r="Z56" s="33">
        <v>12.2</v>
      </c>
      <c r="AA56" s="33">
        <v>11</v>
      </c>
      <c r="AB56" s="70">
        <v>2</v>
      </c>
      <c r="AC56" s="44">
        <v>16.8</v>
      </c>
      <c r="AD56" s="33">
        <v>17.5</v>
      </c>
      <c r="AE56" s="33">
        <v>12.5</v>
      </c>
      <c r="AF56" s="70">
        <v>12</v>
      </c>
      <c r="AG56" s="42">
        <f t="shared" ref="AG56:AG61" si="10">AD56*AE56*AF56/(12^3)</f>
        <v>1.5190972222222223</v>
      </c>
      <c r="AH56" s="525" t="s">
        <v>4171</v>
      </c>
      <c r="AI56" s="525" t="s">
        <v>4172</v>
      </c>
      <c r="AJ56" s="525" t="s">
        <v>4168</v>
      </c>
      <c r="AK56" s="525" t="s">
        <v>4155</v>
      </c>
      <c r="AL56" s="525" t="s">
        <v>4156</v>
      </c>
      <c r="AM56" s="525" t="s">
        <v>4159</v>
      </c>
      <c r="AP56" s="525" t="s">
        <v>4170</v>
      </c>
      <c r="AQ56" s="18" t="s">
        <v>2909</v>
      </c>
      <c r="AR56" s="14" t="s">
        <v>1932</v>
      </c>
    </row>
    <row r="57" spans="1:44" s="18" customFormat="1" x14ac:dyDescent="0.2">
      <c r="A57" s="18" t="s">
        <v>1837</v>
      </c>
      <c r="B57" s="539"/>
      <c r="C57" s="254" t="s">
        <v>3998</v>
      </c>
      <c r="D57" s="33" t="s">
        <v>1550</v>
      </c>
      <c r="E57" s="518" t="s">
        <v>3984</v>
      </c>
      <c r="F57" s="18" t="s">
        <v>222</v>
      </c>
      <c r="G57" s="18" t="s">
        <v>2557</v>
      </c>
      <c r="H57" s="355" t="s">
        <v>3960</v>
      </c>
      <c r="K57" s="37" t="s">
        <v>1299</v>
      </c>
      <c r="L57" s="36" t="s">
        <v>977</v>
      </c>
      <c r="M57" s="514"/>
      <c r="N57" s="514">
        <f>IF($C57="","",VLOOKUP($C57,'2017 Pricelist'!$C:$I,7,FALSE))</f>
        <v>49.99</v>
      </c>
      <c r="O57" s="35">
        <v>1</v>
      </c>
      <c r="P57" s="187">
        <v>5</v>
      </c>
      <c r="Q57" s="44">
        <v>0.26400000000000001</v>
      </c>
      <c r="R57" s="18">
        <v>5.6</v>
      </c>
      <c r="S57" s="33">
        <v>2.2000000000000002</v>
      </c>
      <c r="T57" s="70">
        <v>2</v>
      </c>
      <c r="U57" s="44">
        <v>0.41</v>
      </c>
      <c r="V57" s="33">
        <v>10.94</v>
      </c>
      <c r="W57" s="33">
        <v>2.36</v>
      </c>
      <c r="X57" s="70">
        <v>1.77</v>
      </c>
      <c r="Y57" s="44">
        <v>2.1</v>
      </c>
      <c r="Z57" s="33">
        <v>12.2</v>
      </c>
      <c r="AA57" s="33">
        <v>11</v>
      </c>
      <c r="AB57" s="70">
        <v>2</v>
      </c>
      <c r="AC57" s="44">
        <v>16.8</v>
      </c>
      <c r="AD57" s="33">
        <v>17.5</v>
      </c>
      <c r="AE57" s="33">
        <v>12.5</v>
      </c>
      <c r="AF57" s="70">
        <v>12</v>
      </c>
      <c r="AG57" s="42">
        <f t="shared" si="10"/>
        <v>1.5190972222222223</v>
      </c>
      <c r="AH57" s="525" t="s">
        <v>4171</v>
      </c>
      <c r="AI57" s="525" t="s">
        <v>4172</v>
      </c>
      <c r="AJ57" s="525" t="s">
        <v>4168</v>
      </c>
      <c r="AK57" s="525" t="s">
        <v>4155</v>
      </c>
      <c r="AL57" s="525" t="s">
        <v>4156</v>
      </c>
      <c r="AM57" s="525" t="s">
        <v>4159</v>
      </c>
      <c r="AP57" s="525" t="s">
        <v>4170</v>
      </c>
      <c r="AQ57" s="18" t="s">
        <v>2909</v>
      </c>
      <c r="AR57" s="14" t="s">
        <v>1932</v>
      </c>
    </row>
    <row r="58" spans="1:44" s="18" customFormat="1" x14ac:dyDescent="0.2">
      <c r="A58" s="18" t="s">
        <v>1837</v>
      </c>
      <c r="B58" s="539"/>
      <c r="C58" s="254" t="s">
        <v>3999</v>
      </c>
      <c r="D58" s="33" t="s">
        <v>1550</v>
      </c>
      <c r="E58" s="518" t="s">
        <v>3984</v>
      </c>
      <c r="F58" s="18" t="s">
        <v>217</v>
      </c>
      <c r="G58" s="18" t="s">
        <v>2557</v>
      </c>
      <c r="H58" s="355" t="s">
        <v>3961</v>
      </c>
      <c r="K58" s="37" t="s">
        <v>1299</v>
      </c>
      <c r="L58" s="36" t="s">
        <v>977</v>
      </c>
      <c r="M58" s="514"/>
      <c r="N58" s="514">
        <f>IF($C58="","",VLOOKUP($C58,'2017 Pricelist'!$C:$I,7,FALSE))</f>
        <v>49.99</v>
      </c>
      <c r="O58" s="35">
        <v>1</v>
      </c>
      <c r="P58" s="187">
        <v>5</v>
      </c>
      <c r="Q58" s="44">
        <v>0.26400000000000001</v>
      </c>
      <c r="R58" s="18">
        <v>5.6</v>
      </c>
      <c r="S58" s="33">
        <v>2.2000000000000002</v>
      </c>
      <c r="T58" s="70">
        <v>2</v>
      </c>
      <c r="U58" s="44">
        <v>0.41</v>
      </c>
      <c r="V58" s="33">
        <v>10.94</v>
      </c>
      <c r="W58" s="33">
        <v>2.36</v>
      </c>
      <c r="X58" s="70">
        <v>1.77</v>
      </c>
      <c r="Y58" s="44">
        <v>2.1</v>
      </c>
      <c r="Z58" s="33">
        <v>12.2</v>
      </c>
      <c r="AA58" s="33">
        <v>11</v>
      </c>
      <c r="AB58" s="70">
        <v>2</v>
      </c>
      <c r="AC58" s="44">
        <v>16.8</v>
      </c>
      <c r="AD58" s="33">
        <v>17.5</v>
      </c>
      <c r="AE58" s="33">
        <v>12.5</v>
      </c>
      <c r="AF58" s="70">
        <v>12</v>
      </c>
      <c r="AG58" s="42">
        <f t="shared" si="10"/>
        <v>1.5190972222222223</v>
      </c>
      <c r="AH58" s="525" t="s">
        <v>4171</v>
      </c>
      <c r="AI58" s="525" t="s">
        <v>4172</v>
      </c>
      <c r="AJ58" s="525" t="s">
        <v>4168</v>
      </c>
      <c r="AK58" s="525" t="s">
        <v>4155</v>
      </c>
      <c r="AL58" s="525" t="s">
        <v>4156</v>
      </c>
      <c r="AM58" s="525" t="s">
        <v>4159</v>
      </c>
      <c r="AP58" s="525" t="s">
        <v>4170</v>
      </c>
      <c r="AQ58" s="18" t="s">
        <v>2909</v>
      </c>
      <c r="AR58" s="14" t="s">
        <v>1932</v>
      </c>
    </row>
    <row r="59" spans="1:44" s="18" customFormat="1" x14ac:dyDescent="0.2">
      <c r="A59" s="18" t="s">
        <v>1837</v>
      </c>
      <c r="B59" s="539"/>
      <c r="C59" s="254" t="s">
        <v>4000</v>
      </c>
      <c r="D59" s="33" t="s">
        <v>1550</v>
      </c>
      <c r="E59" s="518" t="s">
        <v>3984</v>
      </c>
      <c r="F59" s="18" t="s">
        <v>483</v>
      </c>
      <c r="G59" s="18" t="s">
        <v>2557</v>
      </c>
      <c r="H59" s="355" t="s">
        <v>3962</v>
      </c>
      <c r="K59" s="37" t="s">
        <v>1299</v>
      </c>
      <c r="L59" s="36" t="s">
        <v>977</v>
      </c>
      <c r="M59" s="514"/>
      <c r="N59" s="514">
        <f>IF($C59="","",VLOOKUP($C59,'2017 Pricelist'!$C:$I,7,FALSE))</f>
        <v>49.99</v>
      </c>
      <c r="O59" s="35">
        <v>1</v>
      </c>
      <c r="P59" s="187">
        <v>5</v>
      </c>
      <c r="Q59" s="44">
        <v>0.26400000000000001</v>
      </c>
      <c r="R59" s="18">
        <v>5.6</v>
      </c>
      <c r="S59" s="33">
        <v>2.2000000000000002</v>
      </c>
      <c r="T59" s="70">
        <v>2</v>
      </c>
      <c r="U59" s="44">
        <v>0.41</v>
      </c>
      <c r="V59" s="33">
        <v>10.94</v>
      </c>
      <c r="W59" s="33">
        <v>2.36</v>
      </c>
      <c r="X59" s="70">
        <v>1.77</v>
      </c>
      <c r="Y59" s="44">
        <v>2.1</v>
      </c>
      <c r="Z59" s="33">
        <v>12.2</v>
      </c>
      <c r="AA59" s="33">
        <v>11</v>
      </c>
      <c r="AB59" s="70">
        <v>2</v>
      </c>
      <c r="AC59" s="44">
        <v>16.8</v>
      </c>
      <c r="AD59" s="33">
        <v>17.5</v>
      </c>
      <c r="AE59" s="33">
        <v>12.5</v>
      </c>
      <c r="AF59" s="70">
        <v>12</v>
      </c>
      <c r="AG59" s="42">
        <f t="shared" si="10"/>
        <v>1.5190972222222223</v>
      </c>
      <c r="AH59" s="525" t="s">
        <v>4171</v>
      </c>
      <c r="AI59" s="525" t="s">
        <v>4172</v>
      </c>
      <c r="AJ59" s="525" t="s">
        <v>4168</v>
      </c>
      <c r="AK59" s="525" t="s">
        <v>4155</v>
      </c>
      <c r="AL59" s="525" t="s">
        <v>4156</v>
      </c>
      <c r="AM59" s="525" t="s">
        <v>4159</v>
      </c>
      <c r="AP59" s="525" t="s">
        <v>4170</v>
      </c>
      <c r="AQ59" s="18" t="s">
        <v>2909</v>
      </c>
      <c r="AR59" s="14" t="s">
        <v>1932</v>
      </c>
    </row>
    <row r="60" spans="1:44" s="18" customFormat="1" x14ac:dyDescent="0.2">
      <c r="A60" s="18" t="s">
        <v>1837</v>
      </c>
      <c r="B60" s="539"/>
      <c r="C60" s="254" t="s">
        <v>4001</v>
      </c>
      <c r="D60" s="33" t="s">
        <v>1550</v>
      </c>
      <c r="E60" s="518" t="s">
        <v>3984</v>
      </c>
      <c r="F60" s="18" t="s">
        <v>218</v>
      </c>
      <c r="G60" s="18" t="s">
        <v>2557</v>
      </c>
      <c r="H60" s="355" t="s">
        <v>3963</v>
      </c>
      <c r="K60" s="37" t="s">
        <v>1299</v>
      </c>
      <c r="L60" s="36" t="s">
        <v>977</v>
      </c>
      <c r="M60" s="514"/>
      <c r="N60" s="514">
        <f>IF($C60="","",VLOOKUP($C60,'2017 Pricelist'!$C:$I,7,FALSE))</f>
        <v>49.99</v>
      </c>
      <c r="O60" s="35">
        <v>1</v>
      </c>
      <c r="P60" s="187">
        <v>5</v>
      </c>
      <c r="Q60" s="44">
        <v>0.26400000000000001</v>
      </c>
      <c r="R60" s="18">
        <v>5.6</v>
      </c>
      <c r="S60" s="33">
        <v>2.2000000000000002</v>
      </c>
      <c r="T60" s="70">
        <v>2</v>
      </c>
      <c r="U60" s="44">
        <v>0.41</v>
      </c>
      <c r="V60" s="33">
        <v>10.94</v>
      </c>
      <c r="W60" s="33">
        <v>2.36</v>
      </c>
      <c r="X60" s="70">
        <v>1.77</v>
      </c>
      <c r="Y60" s="44">
        <v>2.1</v>
      </c>
      <c r="Z60" s="33">
        <v>12.2</v>
      </c>
      <c r="AA60" s="33">
        <v>11</v>
      </c>
      <c r="AB60" s="70">
        <v>2</v>
      </c>
      <c r="AC60" s="44">
        <v>16.8</v>
      </c>
      <c r="AD60" s="33">
        <v>17.5</v>
      </c>
      <c r="AE60" s="33">
        <v>12.5</v>
      </c>
      <c r="AF60" s="70">
        <v>12</v>
      </c>
      <c r="AG60" s="42">
        <f t="shared" si="10"/>
        <v>1.5190972222222223</v>
      </c>
      <c r="AH60" s="525" t="s">
        <v>4171</v>
      </c>
      <c r="AI60" s="525" t="s">
        <v>4172</v>
      </c>
      <c r="AJ60" s="525" t="s">
        <v>4168</v>
      </c>
      <c r="AK60" s="525" t="s">
        <v>4155</v>
      </c>
      <c r="AL60" s="525" t="s">
        <v>4156</v>
      </c>
      <c r="AM60" s="525" t="s">
        <v>4159</v>
      </c>
      <c r="AP60" s="525" t="s">
        <v>4170</v>
      </c>
      <c r="AQ60" s="18" t="s">
        <v>2909</v>
      </c>
      <c r="AR60" s="14" t="s">
        <v>1932</v>
      </c>
    </row>
    <row r="61" spans="1:44" s="18" customFormat="1" x14ac:dyDescent="0.2">
      <c r="A61" s="18" t="s">
        <v>1837</v>
      </c>
      <c r="B61" s="539"/>
      <c r="C61" s="254" t="s">
        <v>4267</v>
      </c>
      <c r="D61" s="33" t="s">
        <v>1550</v>
      </c>
      <c r="E61" s="518" t="s">
        <v>3984</v>
      </c>
      <c r="F61" s="18" t="s">
        <v>3982</v>
      </c>
      <c r="G61" s="18" t="s">
        <v>2557</v>
      </c>
      <c r="H61" s="355" t="s">
        <v>3964</v>
      </c>
      <c r="K61" s="37" t="s">
        <v>1299</v>
      </c>
      <c r="L61" s="36" t="s">
        <v>977</v>
      </c>
      <c r="M61" s="514"/>
      <c r="N61" s="514">
        <f>IF($C61="","",VLOOKUP($C61,'2017 Pricelist'!$C:$I,7,FALSE))</f>
        <v>49.99</v>
      </c>
      <c r="O61" s="35">
        <v>1</v>
      </c>
      <c r="P61" s="187">
        <v>5</v>
      </c>
      <c r="Q61" s="44">
        <v>0.26400000000000001</v>
      </c>
      <c r="R61" s="18">
        <v>5.6</v>
      </c>
      <c r="S61" s="33">
        <v>2.2000000000000002</v>
      </c>
      <c r="T61" s="70">
        <v>2</v>
      </c>
      <c r="U61" s="44">
        <v>0.41</v>
      </c>
      <c r="V61" s="33">
        <v>10.94</v>
      </c>
      <c r="W61" s="33">
        <v>2.36</v>
      </c>
      <c r="X61" s="70">
        <v>1.77</v>
      </c>
      <c r="Y61" s="44">
        <v>2.1</v>
      </c>
      <c r="Z61" s="33">
        <v>12.2</v>
      </c>
      <c r="AA61" s="33">
        <v>11</v>
      </c>
      <c r="AB61" s="70">
        <v>2</v>
      </c>
      <c r="AC61" s="44">
        <v>16.8</v>
      </c>
      <c r="AD61" s="33">
        <v>17.5</v>
      </c>
      <c r="AE61" s="33">
        <v>12.5</v>
      </c>
      <c r="AF61" s="70">
        <v>12</v>
      </c>
      <c r="AG61" s="42">
        <f t="shared" si="10"/>
        <v>1.5190972222222223</v>
      </c>
      <c r="AH61" s="525" t="s">
        <v>4171</v>
      </c>
      <c r="AI61" s="525" t="s">
        <v>4172</v>
      </c>
      <c r="AJ61" s="525" t="s">
        <v>4168</v>
      </c>
      <c r="AK61" s="525" t="s">
        <v>4155</v>
      </c>
      <c r="AL61" s="525" t="s">
        <v>4156</v>
      </c>
      <c r="AM61" s="525" t="s">
        <v>4159</v>
      </c>
      <c r="AP61" s="525" t="s">
        <v>4170</v>
      </c>
      <c r="AQ61" s="18" t="s">
        <v>2909</v>
      </c>
      <c r="AR61" s="14" t="s">
        <v>1932</v>
      </c>
    </row>
    <row r="62" spans="1:44" s="518" customFormat="1" x14ac:dyDescent="0.2">
      <c r="A62" s="518" t="s">
        <v>1837</v>
      </c>
      <c r="B62" s="539"/>
      <c r="C62" s="518" t="s">
        <v>4207</v>
      </c>
      <c r="D62" s="518" t="s">
        <v>1550</v>
      </c>
      <c r="E62" s="518" t="s">
        <v>4217</v>
      </c>
      <c r="F62" s="518" t="s">
        <v>217</v>
      </c>
      <c r="G62" s="18" t="s">
        <v>2557</v>
      </c>
      <c r="H62" s="559">
        <v>7391846018681</v>
      </c>
      <c r="K62" s="37" t="s">
        <v>1299</v>
      </c>
      <c r="L62" s="36" t="s">
        <v>977</v>
      </c>
      <c r="M62" s="514"/>
      <c r="N62" s="514">
        <f>IF($C62="","",VLOOKUP($C62,'2017 Pricelist'!$C:$I,7,FALSE))</f>
        <v>49.99</v>
      </c>
      <c r="O62" s="35">
        <v>1</v>
      </c>
      <c r="P62" s="187">
        <v>5</v>
      </c>
      <c r="Q62" s="44">
        <v>0.26400000000000001</v>
      </c>
      <c r="R62" s="18">
        <v>5.6</v>
      </c>
      <c r="S62" s="33">
        <v>2.2000000000000002</v>
      </c>
      <c r="T62" s="70">
        <v>2</v>
      </c>
      <c r="U62" s="518">
        <v>0.43</v>
      </c>
      <c r="V62" s="518">
        <v>11.81</v>
      </c>
      <c r="W62" s="518">
        <v>5.51</v>
      </c>
      <c r="X62" s="580">
        <v>1.18</v>
      </c>
      <c r="Z62" s="560"/>
      <c r="AA62" s="560"/>
      <c r="AB62" s="560"/>
      <c r="AC62" s="560"/>
      <c r="AD62" s="560"/>
      <c r="AE62" s="560"/>
      <c r="AF62" s="560"/>
      <c r="AG62" s="560"/>
      <c r="AH62" s="557" t="s">
        <v>4171</v>
      </c>
      <c r="AI62" s="557" t="s">
        <v>4172</v>
      </c>
      <c r="AJ62" s="557" t="s">
        <v>4168</v>
      </c>
      <c r="AK62" s="557" t="s">
        <v>4155</v>
      </c>
      <c r="AL62" s="557" t="s">
        <v>4156</v>
      </c>
      <c r="AM62" s="557" t="s">
        <v>4159</v>
      </c>
      <c r="AP62" s="557" t="s">
        <v>4170</v>
      </c>
      <c r="AQ62" s="18" t="s">
        <v>2909</v>
      </c>
      <c r="AR62" s="14" t="s">
        <v>1932</v>
      </c>
    </row>
    <row r="63" spans="1:44" s="518" customFormat="1" x14ac:dyDescent="0.2">
      <c r="A63" s="518" t="s">
        <v>1837</v>
      </c>
      <c r="B63" s="539"/>
      <c r="C63" s="518" t="s">
        <v>4208</v>
      </c>
      <c r="D63" s="518" t="s">
        <v>1550</v>
      </c>
      <c r="E63" s="518" t="s">
        <v>4217</v>
      </c>
      <c r="F63" s="518" t="s">
        <v>218</v>
      </c>
      <c r="G63" s="18" t="s">
        <v>2557</v>
      </c>
      <c r="H63" s="559">
        <v>7391846018711</v>
      </c>
      <c r="K63" s="37" t="s">
        <v>1299</v>
      </c>
      <c r="L63" s="36" t="s">
        <v>977</v>
      </c>
      <c r="M63" s="514"/>
      <c r="N63" s="514">
        <f>IF($C63="","",VLOOKUP($C63,'2017 Pricelist'!$C:$I,7,FALSE))</f>
        <v>49.99</v>
      </c>
      <c r="O63" s="35">
        <v>1</v>
      </c>
      <c r="P63" s="187">
        <v>5</v>
      </c>
      <c r="Q63" s="44">
        <v>0.26400000000000001</v>
      </c>
      <c r="R63" s="18">
        <v>5.6</v>
      </c>
      <c r="S63" s="33">
        <v>2.2000000000000002</v>
      </c>
      <c r="T63" s="70">
        <v>2</v>
      </c>
      <c r="U63" s="518">
        <v>0.43</v>
      </c>
      <c r="V63" s="518">
        <v>11.81</v>
      </c>
      <c r="W63" s="518">
        <v>5.51</v>
      </c>
      <c r="X63" s="580">
        <v>1.18</v>
      </c>
      <c r="Z63" s="560"/>
      <c r="AA63" s="560"/>
      <c r="AB63" s="560"/>
      <c r="AC63" s="560"/>
      <c r="AD63" s="560"/>
      <c r="AE63" s="560"/>
      <c r="AF63" s="560"/>
      <c r="AG63" s="560"/>
      <c r="AH63" s="557" t="s">
        <v>4171</v>
      </c>
      <c r="AI63" s="557" t="s">
        <v>4172</v>
      </c>
      <c r="AJ63" s="557" t="s">
        <v>4168</v>
      </c>
      <c r="AK63" s="557" t="s">
        <v>4155</v>
      </c>
      <c r="AL63" s="557" t="s">
        <v>4156</v>
      </c>
      <c r="AM63" s="557" t="s">
        <v>4159</v>
      </c>
      <c r="AP63" s="557" t="s">
        <v>4170</v>
      </c>
      <c r="AQ63" s="18" t="s">
        <v>2909</v>
      </c>
      <c r="AR63" s="14" t="s">
        <v>1932</v>
      </c>
    </row>
    <row r="64" spans="1:44" s="518" customFormat="1" x14ac:dyDescent="0.2">
      <c r="A64" s="518" t="s">
        <v>1837</v>
      </c>
      <c r="B64" s="539"/>
      <c r="C64" s="518" t="s">
        <v>4209</v>
      </c>
      <c r="D64" s="518" t="s">
        <v>1550</v>
      </c>
      <c r="E64" s="518" t="s">
        <v>4217</v>
      </c>
      <c r="F64" s="518" t="s">
        <v>483</v>
      </c>
      <c r="G64" s="18" t="s">
        <v>2557</v>
      </c>
      <c r="H64" s="559">
        <v>7391846018742</v>
      </c>
      <c r="K64" s="37" t="s">
        <v>1299</v>
      </c>
      <c r="L64" s="36" t="s">
        <v>977</v>
      </c>
      <c r="M64" s="514"/>
      <c r="N64" s="514">
        <f>IF($C64="","",VLOOKUP($C64,'2017 Pricelist'!$C:$I,7,FALSE))</f>
        <v>49.99</v>
      </c>
      <c r="O64" s="35">
        <v>1</v>
      </c>
      <c r="P64" s="187">
        <v>5</v>
      </c>
      <c r="Q64" s="44">
        <v>0.26400000000000001</v>
      </c>
      <c r="R64" s="18">
        <v>5.6</v>
      </c>
      <c r="S64" s="33">
        <v>2.2000000000000002</v>
      </c>
      <c r="T64" s="70">
        <v>2</v>
      </c>
      <c r="U64" s="518">
        <v>0.43</v>
      </c>
      <c r="V64" s="518">
        <v>11.81</v>
      </c>
      <c r="W64" s="518">
        <v>5.51</v>
      </c>
      <c r="X64" s="580">
        <v>1.18</v>
      </c>
      <c r="Z64" s="560"/>
      <c r="AA64" s="560"/>
      <c r="AB64" s="560"/>
      <c r="AC64" s="560"/>
      <c r="AD64" s="560"/>
      <c r="AE64" s="560"/>
      <c r="AF64" s="560"/>
      <c r="AG64" s="560"/>
      <c r="AH64" s="557" t="s">
        <v>4171</v>
      </c>
      <c r="AI64" s="557" t="s">
        <v>4172</v>
      </c>
      <c r="AJ64" s="557" t="s">
        <v>4168</v>
      </c>
      <c r="AK64" s="557" t="s">
        <v>4155</v>
      </c>
      <c r="AL64" s="557" t="s">
        <v>4156</v>
      </c>
      <c r="AM64" s="557" t="s">
        <v>4159</v>
      </c>
      <c r="AP64" s="557" t="s">
        <v>4170</v>
      </c>
      <c r="AQ64" s="18" t="s">
        <v>2909</v>
      </c>
      <c r="AR64" s="14" t="s">
        <v>1932</v>
      </c>
    </row>
    <row r="65" spans="1:44" s="518" customFormat="1" x14ac:dyDescent="0.2">
      <c r="A65" s="518" t="s">
        <v>1837</v>
      </c>
      <c r="B65" s="539"/>
      <c r="C65" s="518" t="s">
        <v>4216</v>
      </c>
      <c r="D65" s="518" t="s">
        <v>1550</v>
      </c>
      <c r="E65" s="518" t="s">
        <v>4217</v>
      </c>
      <c r="F65" s="518" t="s">
        <v>4218</v>
      </c>
      <c r="G65" s="18" t="s">
        <v>2557</v>
      </c>
      <c r="H65" s="559">
        <v>7391846018773</v>
      </c>
      <c r="K65" s="37" t="s">
        <v>1299</v>
      </c>
      <c r="L65" s="36" t="s">
        <v>977</v>
      </c>
      <c r="M65" s="514"/>
      <c r="N65" s="514">
        <f>IF($C65="","",VLOOKUP($C65,'2017 Pricelist'!$C:$I,7,FALSE))</f>
        <v>49.99</v>
      </c>
      <c r="O65" s="35">
        <v>1</v>
      </c>
      <c r="P65" s="187">
        <v>5</v>
      </c>
      <c r="Q65" s="44">
        <v>0.26400000000000001</v>
      </c>
      <c r="R65" s="18">
        <v>5.6</v>
      </c>
      <c r="S65" s="33">
        <v>2.2000000000000002</v>
      </c>
      <c r="T65" s="70">
        <v>2</v>
      </c>
      <c r="U65" s="518">
        <v>0.43</v>
      </c>
      <c r="V65" s="518">
        <v>11.81</v>
      </c>
      <c r="W65" s="518">
        <v>5.51</v>
      </c>
      <c r="X65" s="580">
        <v>1.18</v>
      </c>
      <c r="Z65" s="560"/>
      <c r="AA65" s="560"/>
      <c r="AB65" s="560"/>
      <c r="AC65" s="560"/>
      <c r="AD65" s="560"/>
      <c r="AE65" s="560"/>
      <c r="AF65" s="560"/>
      <c r="AG65" s="560"/>
      <c r="AH65" s="557" t="s">
        <v>4171</v>
      </c>
      <c r="AI65" s="557" t="s">
        <v>4172</v>
      </c>
      <c r="AJ65" s="557" t="s">
        <v>4168</v>
      </c>
      <c r="AK65" s="557" t="s">
        <v>4155</v>
      </c>
      <c r="AL65" s="557" t="s">
        <v>4156</v>
      </c>
      <c r="AM65" s="557" t="s">
        <v>4159</v>
      </c>
      <c r="AP65" s="557" t="s">
        <v>4170</v>
      </c>
      <c r="AQ65" s="18" t="s">
        <v>2909</v>
      </c>
      <c r="AR65" s="14" t="s">
        <v>1932</v>
      </c>
    </row>
    <row r="66" spans="1:44" s="518" customFormat="1" x14ac:dyDescent="0.2">
      <c r="A66" s="518" t="s">
        <v>1837</v>
      </c>
      <c r="B66" s="539"/>
      <c r="C66" s="518" t="s">
        <v>4210</v>
      </c>
      <c r="D66" s="518" t="s">
        <v>1550</v>
      </c>
      <c r="E66" s="518" t="s">
        <v>4217</v>
      </c>
      <c r="F66" s="518" t="s">
        <v>484</v>
      </c>
      <c r="G66" s="18" t="s">
        <v>2557</v>
      </c>
      <c r="H66" s="559">
        <v>7391846018803</v>
      </c>
      <c r="K66" s="37" t="s">
        <v>1299</v>
      </c>
      <c r="L66" s="36" t="s">
        <v>977</v>
      </c>
      <c r="M66" s="514"/>
      <c r="N66" s="514">
        <f>IF($C66="","",VLOOKUP($C66,'2017 Pricelist'!$C:$I,7,FALSE))</f>
        <v>49.99</v>
      </c>
      <c r="O66" s="35">
        <v>1</v>
      </c>
      <c r="P66" s="187">
        <v>5</v>
      </c>
      <c r="Q66" s="44">
        <v>0.26400000000000001</v>
      </c>
      <c r="R66" s="18">
        <v>5.6</v>
      </c>
      <c r="S66" s="33">
        <v>2.2000000000000002</v>
      </c>
      <c r="T66" s="70">
        <v>2</v>
      </c>
      <c r="U66" s="518">
        <v>0.43</v>
      </c>
      <c r="V66" s="518">
        <v>11.81</v>
      </c>
      <c r="W66" s="518">
        <v>5.51</v>
      </c>
      <c r="X66" s="580">
        <v>1.18</v>
      </c>
      <c r="Z66" s="560"/>
      <c r="AA66" s="560"/>
      <c r="AB66" s="560"/>
      <c r="AC66" s="560"/>
      <c r="AD66" s="560"/>
      <c r="AE66" s="560"/>
      <c r="AF66" s="560"/>
      <c r="AG66" s="560"/>
      <c r="AH66" s="557" t="s">
        <v>4171</v>
      </c>
      <c r="AI66" s="557" t="s">
        <v>4172</v>
      </c>
      <c r="AJ66" s="557" t="s">
        <v>4168</v>
      </c>
      <c r="AK66" s="557" t="s">
        <v>4155</v>
      </c>
      <c r="AL66" s="557" t="s">
        <v>4156</v>
      </c>
      <c r="AM66" s="557" t="s">
        <v>4159</v>
      </c>
      <c r="AP66" s="557" t="s">
        <v>4170</v>
      </c>
      <c r="AQ66" s="18" t="s">
        <v>2909</v>
      </c>
      <c r="AR66" s="14" t="s">
        <v>1932</v>
      </c>
    </row>
    <row r="67" spans="1:44" s="518" customFormat="1" x14ac:dyDescent="0.2">
      <c r="A67" s="518" t="s">
        <v>1837</v>
      </c>
      <c r="B67" s="539" t="s">
        <v>4283</v>
      </c>
      <c r="C67" s="518" t="s">
        <v>4274</v>
      </c>
      <c r="D67" s="518" t="s">
        <v>4032</v>
      </c>
      <c r="E67" s="518" t="s">
        <v>4275</v>
      </c>
      <c r="F67" s="518" t="s">
        <v>4032</v>
      </c>
      <c r="G67" s="18" t="s">
        <v>2557</v>
      </c>
      <c r="H67" s="559">
        <v>7391846019077</v>
      </c>
      <c r="K67" s="37" t="s">
        <v>1044</v>
      </c>
      <c r="L67" s="36" t="s">
        <v>977</v>
      </c>
      <c r="M67" s="514"/>
      <c r="N67" s="514">
        <f>IF($C67="","",VLOOKUP($C67,'2017 Pricelist'!$C:$I,7,FALSE))</f>
        <v>24.990000000000002</v>
      </c>
      <c r="O67" s="35">
        <v>1</v>
      </c>
      <c r="P67" s="187">
        <v>5</v>
      </c>
      <c r="Q67" s="44"/>
      <c r="R67" s="18"/>
      <c r="S67" s="33"/>
      <c r="T67" s="70"/>
      <c r="U67" s="518">
        <v>0.13</v>
      </c>
      <c r="V67" s="518">
        <v>2.36</v>
      </c>
      <c r="W67" s="518">
        <v>1.77</v>
      </c>
      <c r="X67" s="580">
        <v>3.43</v>
      </c>
      <c r="Y67" s="518">
        <v>0.75</v>
      </c>
      <c r="Z67" s="537">
        <v>9.25</v>
      </c>
      <c r="AA67" s="537">
        <v>3.75</v>
      </c>
      <c r="AB67" s="537">
        <v>3.125</v>
      </c>
      <c r="AC67" s="560"/>
      <c r="AD67" s="560"/>
      <c r="AE67" s="560"/>
      <c r="AF67" s="560"/>
      <c r="AG67" s="560"/>
      <c r="AH67" s="643" t="s">
        <v>5443</v>
      </c>
      <c r="AI67" s="643" t="s">
        <v>5444</v>
      </c>
      <c r="AJ67" s="643" t="s">
        <v>5445</v>
      </c>
      <c r="AK67" s="575"/>
      <c r="AL67" s="575"/>
      <c r="AM67" s="575"/>
      <c r="AP67" s="575" t="s">
        <v>5446</v>
      </c>
      <c r="AQ67" s="18" t="s">
        <v>2909</v>
      </c>
      <c r="AR67" s="14" t="s">
        <v>1932</v>
      </c>
    </row>
    <row r="68" spans="1:44" s="14" customFormat="1" x14ac:dyDescent="0.2">
      <c r="A68" s="18" t="s">
        <v>1837</v>
      </c>
      <c r="B68" s="18"/>
      <c r="C68" s="1" t="s">
        <v>1213</v>
      </c>
      <c r="D68" s="1" t="s">
        <v>1494</v>
      </c>
      <c r="E68" s="1" t="s">
        <v>1623</v>
      </c>
      <c r="F68" s="18" t="s">
        <v>1431</v>
      </c>
      <c r="G68" s="18" t="s">
        <v>3344</v>
      </c>
      <c r="H68" s="3" t="s">
        <v>1282</v>
      </c>
      <c r="I68" s="18"/>
      <c r="J68" s="18"/>
      <c r="K68" s="37" t="s">
        <v>1299</v>
      </c>
      <c r="L68" s="36" t="s">
        <v>977</v>
      </c>
      <c r="M68" s="514"/>
      <c r="N68" s="514">
        <f>IF($C68="","",VLOOKUP($C68,'2017 Pricelist'!$C:$I,7,FALSE))</f>
        <v>19.989999999999998</v>
      </c>
      <c r="O68" s="35">
        <v>1</v>
      </c>
      <c r="P68" s="239">
        <v>15</v>
      </c>
      <c r="Q68" s="44">
        <f>CONVERT(0.103,"kg","lbm")</f>
        <v>0.2270761300504239</v>
      </c>
      <c r="R68" s="441">
        <f>CONVERT(216,"mm","in")</f>
        <v>8.5039370078740166</v>
      </c>
      <c r="S68" s="441">
        <f>CONVERT(103,"mm","in")</f>
        <v>4.0551181102362204</v>
      </c>
      <c r="T68" s="442">
        <v>2</v>
      </c>
      <c r="U68" s="44">
        <v>0.2270761300504239</v>
      </c>
      <c r="V68" s="33">
        <v>9</v>
      </c>
      <c r="W68" s="33">
        <v>1.8125</v>
      </c>
      <c r="X68" s="577">
        <v>1.375</v>
      </c>
      <c r="Y68" s="89" t="s">
        <v>259</v>
      </c>
      <c r="Z68" s="89" t="s">
        <v>259</v>
      </c>
      <c r="AA68" s="89" t="s">
        <v>259</v>
      </c>
      <c r="AB68" s="249" t="s">
        <v>259</v>
      </c>
      <c r="AC68" s="44">
        <v>3.9572976062185523</v>
      </c>
      <c r="AD68" s="33">
        <v>9.8125</v>
      </c>
      <c r="AE68" s="33">
        <v>5.25</v>
      </c>
      <c r="AF68" s="70">
        <v>10.25</v>
      </c>
      <c r="AG68" s="42">
        <f t="shared" ref="AG68:AG76" si="11">AD68*AE68*AF68/(12^3)</f>
        <v>0.3055759006076389</v>
      </c>
      <c r="AH68" s="85" t="s">
        <v>3542</v>
      </c>
      <c r="AI68" s="85" t="s">
        <v>3538</v>
      </c>
      <c r="AJ68" s="37" t="s">
        <v>3546</v>
      </c>
      <c r="AK68" s="85" t="s">
        <v>3567</v>
      </c>
      <c r="AL68" s="18"/>
      <c r="AM68" s="18"/>
      <c r="AN68" s="18"/>
      <c r="AO68" s="18"/>
      <c r="AP68" s="18" t="s">
        <v>3568</v>
      </c>
      <c r="AQ68" s="18" t="s">
        <v>2909</v>
      </c>
      <c r="AR68" s="14" t="s">
        <v>1932</v>
      </c>
    </row>
    <row r="69" spans="1:44" s="14" customFormat="1" ht="12.75" customHeight="1" x14ac:dyDescent="0.2">
      <c r="A69" s="18" t="s">
        <v>1837</v>
      </c>
      <c r="B69" s="18"/>
      <c r="C69" s="1" t="s">
        <v>1905</v>
      </c>
      <c r="D69" s="1" t="s">
        <v>1494</v>
      </c>
      <c r="E69" s="1" t="s">
        <v>1906</v>
      </c>
      <c r="F69" s="18" t="s">
        <v>484</v>
      </c>
      <c r="G69" s="18" t="s">
        <v>3344</v>
      </c>
      <c r="H69" s="3" t="s">
        <v>1907</v>
      </c>
      <c r="I69" s="18"/>
      <c r="J69" s="18"/>
      <c r="K69" s="37" t="s">
        <v>1299</v>
      </c>
      <c r="L69" s="36" t="s">
        <v>977</v>
      </c>
      <c r="M69" s="514"/>
      <c r="N69" s="514">
        <f>IF($C69="","",VLOOKUP($C69,'2017 Pricelist'!$C:$I,7,FALSE))</f>
        <v>17.989999999999998</v>
      </c>
      <c r="O69" s="35">
        <v>1</v>
      </c>
      <c r="P69" s="239">
        <v>15</v>
      </c>
      <c r="Q69" s="44">
        <f>CONVERT(0.0888,"kg","lbm")</f>
        <v>0.19577048882017131</v>
      </c>
      <c r="R69" s="441">
        <f>CONVERT(208,"mm","in")</f>
        <v>8.1889763779527556</v>
      </c>
      <c r="S69" s="441">
        <f>CONVERT(95,"mm","in")</f>
        <v>3.7401574803149606</v>
      </c>
      <c r="T69" s="442">
        <v>2</v>
      </c>
      <c r="U69" s="44">
        <v>0.22046226218487758</v>
      </c>
      <c r="V69" s="33">
        <v>9</v>
      </c>
      <c r="W69" s="33">
        <v>1.25</v>
      </c>
      <c r="X69" s="70">
        <v>1</v>
      </c>
      <c r="Y69" s="90" t="s">
        <v>259</v>
      </c>
      <c r="Z69" s="89" t="s">
        <v>259</v>
      </c>
      <c r="AA69" s="89" t="s">
        <v>259</v>
      </c>
      <c r="AB69" s="249" t="s">
        <v>259</v>
      </c>
      <c r="AC69" s="44">
        <v>3.45</v>
      </c>
      <c r="AD69" s="33">
        <v>10</v>
      </c>
      <c r="AE69" s="33">
        <v>5.25</v>
      </c>
      <c r="AF69" s="70">
        <v>1.25</v>
      </c>
      <c r="AG69" s="42">
        <f t="shared" si="11"/>
        <v>3.7977430555555552E-2</v>
      </c>
      <c r="AH69" s="85" t="s">
        <v>3542</v>
      </c>
      <c r="AI69" s="466" t="s">
        <v>3572</v>
      </c>
      <c r="AJ69" s="85" t="s">
        <v>3569</v>
      </c>
      <c r="AK69" s="85" t="s">
        <v>3570</v>
      </c>
      <c r="AL69" s="467"/>
      <c r="AM69" s="467"/>
      <c r="AN69" s="467"/>
      <c r="AO69" s="467"/>
      <c r="AP69" s="85" t="s">
        <v>3571</v>
      </c>
      <c r="AQ69" s="18" t="s">
        <v>2909</v>
      </c>
      <c r="AR69" s="14" t="s">
        <v>1932</v>
      </c>
    </row>
    <row r="70" spans="1:44" s="18" customFormat="1" x14ac:dyDescent="0.2">
      <c r="A70" s="18" t="s">
        <v>1837</v>
      </c>
      <c r="C70" s="1" t="s">
        <v>3763</v>
      </c>
      <c r="D70" s="1" t="s">
        <v>1550</v>
      </c>
      <c r="E70" s="1" t="s">
        <v>3385</v>
      </c>
      <c r="F70" s="18" t="s">
        <v>218</v>
      </c>
      <c r="G70" s="18" t="s">
        <v>3619</v>
      </c>
      <c r="H70" s="3" t="s">
        <v>5222</v>
      </c>
      <c r="K70" s="37" t="s">
        <v>3387</v>
      </c>
      <c r="L70" s="36" t="s">
        <v>977</v>
      </c>
      <c r="M70" s="514"/>
      <c r="N70" s="514">
        <f>IF($C70="","",VLOOKUP($C70,'2017 Pricelist'!$C:$I,7,FALSE))</f>
        <v>39.99</v>
      </c>
      <c r="O70" s="35">
        <v>1</v>
      </c>
      <c r="P70" s="239">
        <v>5</v>
      </c>
      <c r="Q70" s="44">
        <f>CONVERT(0.069,"kg","lbm")</f>
        <v>0.15211896090756555</v>
      </c>
      <c r="R70" s="441">
        <f>CONVERT(178,"mm","in")</f>
        <v>7.0078740157480315</v>
      </c>
      <c r="S70" s="441">
        <f>CONVERT(85,"mm","in")</f>
        <v>3.3464566929133857</v>
      </c>
      <c r="T70" s="442">
        <v>2</v>
      </c>
      <c r="U70" s="44">
        <v>0.15211896090756552</v>
      </c>
      <c r="V70" s="33">
        <v>9.75</v>
      </c>
      <c r="W70" s="33">
        <v>5</v>
      </c>
      <c r="X70" s="70">
        <v>1.5</v>
      </c>
      <c r="Y70" s="578" t="s">
        <v>259</v>
      </c>
      <c r="Z70" s="579" t="s">
        <v>259</v>
      </c>
      <c r="AA70" s="579" t="s">
        <v>259</v>
      </c>
      <c r="AB70" s="89" t="s">
        <v>259</v>
      </c>
      <c r="AC70" s="44">
        <v>1.55</v>
      </c>
      <c r="AD70" s="33">
        <v>12</v>
      </c>
      <c r="AE70" s="33">
        <v>5.75</v>
      </c>
      <c r="AF70" s="70">
        <v>5.75</v>
      </c>
      <c r="AG70" s="44">
        <f t="shared" si="11"/>
        <v>0.22960069444444445</v>
      </c>
      <c r="AH70" s="85" t="s">
        <v>3573</v>
      </c>
      <c r="AI70" s="18" t="s">
        <v>3575</v>
      </c>
      <c r="AJ70" s="85" t="s">
        <v>3764</v>
      </c>
      <c r="AK70" s="85" t="s">
        <v>3591</v>
      </c>
      <c r="AL70" s="85" t="s">
        <v>3765</v>
      </c>
      <c r="AP70" s="85" t="s">
        <v>3577</v>
      </c>
      <c r="AQ70" s="18" t="s">
        <v>2909</v>
      </c>
      <c r="AR70" s="18" t="s">
        <v>1932</v>
      </c>
    </row>
    <row r="71" spans="1:44" s="18" customFormat="1" x14ac:dyDescent="0.2">
      <c r="A71" s="18" t="s">
        <v>1837</v>
      </c>
      <c r="C71" s="1" t="s">
        <v>4276</v>
      </c>
      <c r="D71" s="1" t="s">
        <v>1550</v>
      </c>
      <c r="E71" s="1" t="s">
        <v>3385</v>
      </c>
      <c r="F71" s="18" t="s">
        <v>219</v>
      </c>
      <c r="G71" s="18" t="s">
        <v>3619</v>
      </c>
      <c r="H71" s="3" t="s">
        <v>4374</v>
      </c>
      <c r="K71" s="37" t="s">
        <v>3387</v>
      </c>
      <c r="L71" s="36" t="s">
        <v>977</v>
      </c>
      <c r="M71" s="514"/>
      <c r="N71" s="514">
        <f>IF($C71="","",VLOOKUP($C71,'2017 Pricelist'!$C:$I,7,FALSE))</f>
        <v>39.99</v>
      </c>
      <c r="O71" s="35">
        <v>1</v>
      </c>
      <c r="P71" s="239">
        <v>5</v>
      </c>
      <c r="Q71" s="44">
        <f>CONVERT(0.069,"kg","lbm")</f>
        <v>0.15211896090756555</v>
      </c>
      <c r="R71" s="441">
        <f>CONVERT(178,"mm","in")</f>
        <v>7.0078740157480315</v>
      </c>
      <c r="S71" s="441">
        <f>CONVERT(85,"mm","in")</f>
        <v>3.3464566929133857</v>
      </c>
      <c r="T71" s="442">
        <v>2</v>
      </c>
      <c r="U71" s="44">
        <v>0.15211896090756552</v>
      </c>
      <c r="V71" s="33">
        <v>9.75</v>
      </c>
      <c r="W71" s="33">
        <v>5</v>
      </c>
      <c r="X71" s="70">
        <v>1.5</v>
      </c>
      <c r="Y71" s="578" t="s">
        <v>259</v>
      </c>
      <c r="Z71" s="579" t="s">
        <v>259</v>
      </c>
      <c r="AA71" s="579" t="s">
        <v>259</v>
      </c>
      <c r="AB71" s="89" t="s">
        <v>259</v>
      </c>
      <c r="AC71" s="44">
        <v>1.55</v>
      </c>
      <c r="AD71" s="33">
        <v>12</v>
      </c>
      <c r="AE71" s="33">
        <v>5.75</v>
      </c>
      <c r="AF71" s="70">
        <v>5.75</v>
      </c>
      <c r="AG71" s="44">
        <f t="shared" si="11"/>
        <v>0.22960069444444445</v>
      </c>
      <c r="AH71" s="85" t="s">
        <v>3573</v>
      </c>
      <c r="AI71" s="18" t="s">
        <v>3575</v>
      </c>
      <c r="AJ71" s="85" t="s">
        <v>4277</v>
      </c>
      <c r="AK71" s="85" t="s">
        <v>3591</v>
      </c>
      <c r="AL71" s="85" t="s">
        <v>3765</v>
      </c>
      <c r="AP71" s="85" t="s">
        <v>3577</v>
      </c>
      <c r="AQ71" s="18" t="s">
        <v>2909</v>
      </c>
      <c r="AR71" s="18" t="s">
        <v>1932</v>
      </c>
    </row>
    <row r="72" spans="1:44" s="14" customFormat="1" x14ac:dyDescent="0.2">
      <c r="A72" s="18" t="s">
        <v>1837</v>
      </c>
      <c r="B72" s="18"/>
      <c r="C72" s="1" t="s">
        <v>1217</v>
      </c>
      <c r="D72" s="1" t="s">
        <v>1534</v>
      </c>
      <c r="E72" s="1" t="s">
        <v>3389</v>
      </c>
      <c r="F72" s="18" t="s">
        <v>219</v>
      </c>
      <c r="G72" s="18" t="s">
        <v>2547</v>
      </c>
      <c r="H72" s="66">
        <v>7391846013839</v>
      </c>
      <c r="I72" s="18"/>
      <c r="J72" s="18"/>
      <c r="K72" s="37" t="s">
        <v>1304</v>
      </c>
      <c r="L72" s="36" t="s">
        <v>977</v>
      </c>
      <c r="M72" s="514"/>
      <c r="N72" s="514">
        <f>IF($C72="","",VLOOKUP($C72,'2017 Pricelist'!$C:$I,7,FALSE))</f>
        <v>69.990000000000009</v>
      </c>
      <c r="O72" s="35">
        <v>1</v>
      </c>
      <c r="P72" s="239">
        <v>5</v>
      </c>
      <c r="Q72" s="44">
        <f>CONVERT(0.5,"kg","lbm")</f>
        <v>1.1023113109243878</v>
      </c>
      <c r="R72" s="441">
        <f>CONVERT(322,"mm","in")</f>
        <v>12.677165354330709</v>
      </c>
      <c r="S72" s="441">
        <f>CONVERT(115,"mm","in")</f>
        <v>4.5275590551181102</v>
      </c>
      <c r="T72" s="442">
        <v>6</v>
      </c>
      <c r="U72" s="44" t="s">
        <v>2696</v>
      </c>
      <c r="V72" s="33">
        <v>5</v>
      </c>
      <c r="W72" s="33">
        <v>1.375</v>
      </c>
      <c r="X72" s="70">
        <v>13.317500000000001</v>
      </c>
      <c r="Y72" s="578" t="s">
        <v>259</v>
      </c>
      <c r="Z72" s="89" t="s">
        <v>259</v>
      </c>
      <c r="AA72" s="89" t="s">
        <v>259</v>
      </c>
      <c r="AB72" s="249" t="s">
        <v>259</v>
      </c>
      <c r="AC72" s="44">
        <v>6.11</v>
      </c>
      <c r="AD72" s="33">
        <v>15</v>
      </c>
      <c r="AE72" s="33">
        <v>5.25</v>
      </c>
      <c r="AF72" s="70">
        <v>3.75</v>
      </c>
      <c r="AG72" s="42">
        <f t="shared" si="11"/>
        <v>0.1708984375</v>
      </c>
      <c r="AH72" s="85" t="s">
        <v>1305</v>
      </c>
      <c r="AI72" s="85" t="s">
        <v>1306</v>
      </c>
      <c r="AJ72" s="85" t="s">
        <v>3578</v>
      </c>
      <c r="AK72" s="85" t="s">
        <v>3579</v>
      </c>
      <c r="AL72" s="85"/>
      <c r="AM72" s="85"/>
      <c r="AN72" s="85"/>
      <c r="AO72" s="85"/>
      <c r="AP72" s="85" t="s">
        <v>3580</v>
      </c>
      <c r="AQ72" s="18" t="s">
        <v>2909</v>
      </c>
      <c r="AR72" s="14" t="s">
        <v>1932</v>
      </c>
    </row>
    <row r="73" spans="1:44" s="14" customFormat="1" x14ac:dyDescent="0.2">
      <c r="A73" s="18" t="s">
        <v>1837</v>
      </c>
      <c r="B73" s="18"/>
      <c r="C73" s="1" t="s">
        <v>1544</v>
      </c>
      <c r="D73" s="1" t="s">
        <v>1534</v>
      </c>
      <c r="E73" s="1" t="s">
        <v>3389</v>
      </c>
      <c r="F73" s="18" t="s">
        <v>1916</v>
      </c>
      <c r="G73" s="18" t="s">
        <v>2547</v>
      </c>
      <c r="H73" s="66">
        <v>7391846199106</v>
      </c>
      <c r="I73" s="18"/>
      <c r="J73" s="18"/>
      <c r="K73" s="37" t="s">
        <v>1304</v>
      </c>
      <c r="L73" s="36" t="s">
        <v>977</v>
      </c>
      <c r="M73" s="514"/>
      <c r="N73" s="514">
        <f>IF($C73="","",VLOOKUP($C73,'2017 Pricelist'!$C:$I,7,FALSE))</f>
        <v>69.990000000000009</v>
      </c>
      <c r="O73" s="35">
        <v>1</v>
      </c>
      <c r="P73" s="239">
        <v>5</v>
      </c>
      <c r="Q73" s="44">
        <f>CONVERT(0.5,"kg","lbm")</f>
        <v>1.1023113109243878</v>
      </c>
      <c r="R73" s="441">
        <f>CONVERT(322,"mm","in")</f>
        <v>12.677165354330709</v>
      </c>
      <c r="S73" s="441">
        <f>CONVERT(115,"mm","in")</f>
        <v>4.5275590551181102</v>
      </c>
      <c r="T73" s="442">
        <v>6</v>
      </c>
      <c r="U73" s="44" t="s">
        <v>2696</v>
      </c>
      <c r="V73" s="33">
        <v>5</v>
      </c>
      <c r="W73" s="33">
        <v>1.375</v>
      </c>
      <c r="X73" s="70">
        <v>13.317500000000001</v>
      </c>
      <c r="Y73" s="90" t="s">
        <v>259</v>
      </c>
      <c r="Z73" s="89" t="s">
        <v>259</v>
      </c>
      <c r="AA73" s="89" t="s">
        <v>259</v>
      </c>
      <c r="AB73" s="249" t="s">
        <v>259</v>
      </c>
      <c r="AC73" s="44">
        <v>6.15</v>
      </c>
      <c r="AD73" s="33">
        <v>15</v>
      </c>
      <c r="AE73" s="33">
        <v>5.25</v>
      </c>
      <c r="AF73" s="70">
        <v>4</v>
      </c>
      <c r="AG73" s="42">
        <f t="shared" si="11"/>
        <v>0.18229166666666666</v>
      </c>
      <c r="AH73" s="85" t="s">
        <v>1305</v>
      </c>
      <c r="AI73" s="85" t="s">
        <v>1306</v>
      </c>
      <c r="AJ73" s="85" t="s">
        <v>3578</v>
      </c>
      <c r="AK73" s="85" t="s">
        <v>3579</v>
      </c>
      <c r="AL73" s="85"/>
      <c r="AM73" s="85"/>
      <c r="AN73" s="85"/>
      <c r="AO73" s="85"/>
      <c r="AP73" s="85" t="s">
        <v>3580</v>
      </c>
      <c r="AQ73" s="18" t="s">
        <v>2909</v>
      </c>
      <c r="AR73" s="14" t="s">
        <v>1932</v>
      </c>
    </row>
    <row r="74" spans="1:44" s="14" customFormat="1" ht="12.75" customHeight="1" x14ac:dyDescent="0.2">
      <c r="A74" s="18" t="s">
        <v>1837</v>
      </c>
      <c r="B74" s="18"/>
      <c r="C74" s="1" t="s">
        <v>1218</v>
      </c>
      <c r="D74" s="1" t="s">
        <v>2723</v>
      </c>
      <c r="E74" s="1" t="s">
        <v>3392</v>
      </c>
      <c r="F74" s="18" t="s">
        <v>219</v>
      </c>
      <c r="G74" s="18" t="s">
        <v>2520</v>
      </c>
      <c r="H74" s="3" t="s">
        <v>1286</v>
      </c>
      <c r="I74" s="18"/>
      <c r="J74" s="18"/>
      <c r="K74" s="37" t="s">
        <v>1304</v>
      </c>
      <c r="L74" s="36" t="s">
        <v>977</v>
      </c>
      <c r="M74" s="514"/>
      <c r="N74" s="514">
        <f>IF($C74="","",VLOOKUP($C74,'2017 Pricelist'!$C:$I,7,FALSE))</f>
        <v>99.990000000000009</v>
      </c>
      <c r="O74" s="35">
        <v>1</v>
      </c>
      <c r="P74" s="239">
        <v>5</v>
      </c>
      <c r="Q74" s="228" t="s">
        <v>3390</v>
      </c>
      <c r="R74" s="129" t="s">
        <v>3395</v>
      </c>
      <c r="S74" s="129" t="s">
        <v>3394</v>
      </c>
      <c r="T74" s="130" t="s">
        <v>3393</v>
      </c>
      <c r="U74" s="44">
        <f>26.9/16</f>
        <v>1.6812499999999999</v>
      </c>
      <c r="V74" s="33">
        <v>5.75</v>
      </c>
      <c r="W74" s="33">
        <v>1.75</v>
      </c>
      <c r="X74" s="70">
        <v>16</v>
      </c>
      <c r="Y74" s="90" t="s">
        <v>259</v>
      </c>
      <c r="Z74" s="89" t="s">
        <v>259</v>
      </c>
      <c r="AA74" s="89" t="s">
        <v>259</v>
      </c>
      <c r="AB74" s="249" t="s">
        <v>259</v>
      </c>
      <c r="AC74" s="44">
        <v>8.91</v>
      </c>
      <c r="AD74" s="33">
        <v>15</v>
      </c>
      <c r="AE74" s="33">
        <v>8.5</v>
      </c>
      <c r="AF74" s="70">
        <v>6.25</v>
      </c>
      <c r="AG74" s="42">
        <f t="shared" si="11"/>
        <v>0.4611545138888889</v>
      </c>
      <c r="AH74" s="85" t="s">
        <v>3582</v>
      </c>
      <c r="AI74" s="85" t="s">
        <v>1301</v>
      </c>
      <c r="AJ74" s="85" t="s">
        <v>3583</v>
      </c>
      <c r="AK74" s="85" t="s">
        <v>1305</v>
      </c>
      <c r="AL74" s="85" t="s">
        <v>1306</v>
      </c>
      <c r="AM74" s="85" t="s">
        <v>3578</v>
      </c>
      <c r="AN74" s="85" t="s">
        <v>3587</v>
      </c>
      <c r="AO74" s="85" t="s">
        <v>3584</v>
      </c>
      <c r="AP74" s="86" t="s">
        <v>3581</v>
      </c>
      <c r="AQ74" s="18" t="s">
        <v>2909</v>
      </c>
      <c r="AR74" s="14" t="s">
        <v>1932</v>
      </c>
    </row>
    <row r="75" spans="1:44" s="14" customFormat="1" x14ac:dyDescent="0.2">
      <c r="A75" s="18" t="s">
        <v>1837</v>
      </c>
      <c r="B75" s="18"/>
      <c r="C75" s="1" t="s">
        <v>1215</v>
      </c>
      <c r="D75" s="1" t="s">
        <v>1550</v>
      </c>
      <c r="E75" s="1" t="s">
        <v>3391</v>
      </c>
      <c r="F75" s="18" t="s">
        <v>1916</v>
      </c>
      <c r="G75" s="18" t="s">
        <v>3344</v>
      </c>
      <c r="H75" s="3" t="s">
        <v>1284</v>
      </c>
      <c r="I75" s="18"/>
      <c r="J75" s="18"/>
      <c r="K75" s="37" t="s">
        <v>1299</v>
      </c>
      <c r="L75" s="36" t="s">
        <v>977</v>
      </c>
      <c r="M75" s="514"/>
      <c r="N75" s="514">
        <f>IF($C75="","",VLOOKUP($C75,'2017 Pricelist'!$C:$I,7,FALSE))</f>
        <v>39.99</v>
      </c>
      <c r="O75" s="35">
        <v>1</v>
      </c>
      <c r="P75" s="239">
        <v>15</v>
      </c>
      <c r="Q75" s="44">
        <f>CONVERT(0.141,"kg","lbm")</f>
        <v>0.31085178968067734</v>
      </c>
      <c r="R75" s="441">
        <f>CONVERT(220,"mm","in")</f>
        <v>8.6614173228346463</v>
      </c>
      <c r="S75" s="441">
        <f>CONVERT(109,"mm","in")</f>
        <v>4.2913385826771657</v>
      </c>
      <c r="T75" s="442">
        <v>2.5</v>
      </c>
      <c r="U75" s="44">
        <v>0.31085178968067739</v>
      </c>
      <c r="V75" s="33">
        <v>10</v>
      </c>
      <c r="W75" s="33">
        <v>1.5</v>
      </c>
      <c r="X75" s="70">
        <v>1.5</v>
      </c>
      <c r="Y75" s="90" t="s">
        <v>259</v>
      </c>
      <c r="Z75" s="89" t="s">
        <v>259</v>
      </c>
      <c r="AA75" s="89" t="s">
        <v>259</v>
      </c>
      <c r="AB75" s="249" t="s">
        <v>259</v>
      </c>
      <c r="AC75" s="44">
        <v>5.0816551433614281</v>
      </c>
      <c r="AD75" s="33">
        <v>9.8125</v>
      </c>
      <c r="AE75" s="33">
        <v>5.25</v>
      </c>
      <c r="AF75" s="70">
        <v>10.25</v>
      </c>
      <c r="AG75" s="42">
        <f t="shared" si="11"/>
        <v>0.3055759006076389</v>
      </c>
      <c r="AH75" s="85" t="s">
        <v>3582</v>
      </c>
      <c r="AI75" s="85" t="s">
        <v>1301</v>
      </c>
      <c r="AJ75" s="85" t="s">
        <v>3585</v>
      </c>
      <c r="AK75" s="85" t="s">
        <v>3586</v>
      </c>
      <c r="AL75" s="18"/>
      <c r="AM75" s="18"/>
      <c r="AN75" s="18"/>
      <c r="AO75" s="18"/>
      <c r="AP75" s="18" t="s">
        <v>3588</v>
      </c>
      <c r="AQ75" s="18" t="s">
        <v>2909</v>
      </c>
      <c r="AR75" s="14" t="s">
        <v>1932</v>
      </c>
    </row>
    <row r="76" spans="1:44" s="14" customFormat="1" x14ac:dyDescent="0.2">
      <c r="A76" s="18" t="s">
        <v>1837</v>
      </c>
      <c r="B76" s="18"/>
      <c r="C76" s="1" t="s">
        <v>3794</v>
      </c>
      <c r="D76" s="1" t="s">
        <v>1550</v>
      </c>
      <c r="E76" s="1" t="s">
        <v>3391</v>
      </c>
      <c r="F76" s="18" t="s">
        <v>219</v>
      </c>
      <c r="G76" s="18" t="s">
        <v>3344</v>
      </c>
      <c r="H76" s="3" t="s">
        <v>3795</v>
      </c>
      <c r="I76" s="18"/>
      <c r="J76" s="18"/>
      <c r="K76" s="37" t="s">
        <v>1299</v>
      </c>
      <c r="L76" s="36" t="s">
        <v>977</v>
      </c>
      <c r="M76" s="514"/>
      <c r="N76" s="514">
        <f>IF($C76="","",VLOOKUP($C76,'2017 Pricelist'!$C:$I,7,FALSE))</f>
        <v>39.99</v>
      </c>
      <c r="O76" s="35">
        <v>1</v>
      </c>
      <c r="P76" s="239">
        <v>15</v>
      </c>
      <c r="Q76" s="44">
        <f>CONVERT(0.141,"kg","lbm")</f>
        <v>0.31085178968067734</v>
      </c>
      <c r="R76" s="441">
        <f>CONVERT(220,"mm","in")</f>
        <v>8.6614173228346463</v>
      </c>
      <c r="S76" s="441">
        <f>CONVERT(109,"mm","in")</f>
        <v>4.2913385826771657</v>
      </c>
      <c r="T76" s="442">
        <v>2.5</v>
      </c>
      <c r="U76" s="44">
        <v>0.31085178968067739</v>
      </c>
      <c r="V76" s="33">
        <v>10</v>
      </c>
      <c r="W76" s="33">
        <v>1.5</v>
      </c>
      <c r="X76" s="70">
        <v>1.5</v>
      </c>
      <c r="Y76" s="90" t="s">
        <v>259</v>
      </c>
      <c r="Z76" s="89" t="s">
        <v>259</v>
      </c>
      <c r="AA76" s="89" t="s">
        <v>259</v>
      </c>
      <c r="AB76" s="249" t="s">
        <v>259</v>
      </c>
      <c r="AC76" s="44">
        <v>5.0816551433614281</v>
      </c>
      <c r="AD76" s="33">
        <v>9.8125</v>
      </c>
      <c r="AE76" s="33">
        <v>5.25</v>
      </c>
      <c r="AF76" s="70">
        <v>10.25</v>
      </c>
      <c r="AG76" s="42">
        <f t="shared" si="11"/>
        <v>0.3055759006076389</v>
      </c>
      <c r="AH76" s="85" t="s">
        <v>3582</v>
      </c>
      <c r="AI76" s="85" t="s">
        <v>1301</v>
      </c>
      <c r="AJ76" s="85" t="s">
        <v>3583</v>
      </c>
      <c r="AK76" s="85" t="s">
        <v>3586</v>
      </c>
      <c r="AL76" s="18"/>
      <c r="AM76" s="18"/>
      <c r="AN76" s="18"/>
      <c r="AO76" s="18"/>
      <c r="AP76" s="18" t="s">
        <v>3796</v>
      </c>
      <c r="AQ76" s="18" t="s">
        <v>2909</v>
      </c>
      <c r="AR76" s="14" t="s">
        <v>1932</v>
      </c>
    </row>
    <row r="77" spans="1:44" s="18" customFormat="1" ht="15.75" x14ac:dyDescent="0.25">
      <c r="A77" s="105" t="s">
        <v>1159</v>
      </c>
      <c r="B77" s="105"/>
      <c r="C77" s="33"/>
      <c r="D77" s="33"/>
      <c r="E77" s="34"/>
      <c r="H77" s="223"/>
      <c r="K77" s="36"/>
      <c r="L77" s="36"/>
      <c r="M77" s="504"/>
      <c r="N77" s="504"/>
      <c r="O77" s="35"/>
      <c r="P77" s="187"/>
      <c r="Q77" s="44"/>
      <c r="R77" s="33"/>
      <c r="S77" s="33"/>
      <c r="T77" s="70"/>
      <c r="U77" s="44"/>
      <c r="V77" s="33"/>
      <c r="W77" s="33"/>
      <c r="X77" s="70"/>
      <c r="Y77" s="44"/>
      <c r="Z77" s="33"/>
      <c r="AA77" s="33"/>
      <c r="AB77" s="70"/>
      <c r="AC77" s="44"/>
      <c r="AD77" s="33"/>
      <c r="AE77" s="33"/>
      <c r="AF77" s="70"/>
      <c r="AG77" s="44"/>
      <c r="AJ77" s="85"/>
      <c r="AK77" s="85"/>
    </row>
    <row r="78" spans="1:44" s="14" customFormat="1" x14ac:dyDescent="0.2">
      <c r="A78" s="18" t="s">
        <v>1837</v>
      </c>
      <c r="B78" s="18"/>
      <c r="C78" s="1" t="s">
        <v>2077</v>
      </c>
      <c r="D78" s="1" t="s">
        <v>1550</v>
      </c>
      <c r="E78" s="1" t="s">
        <v>3396</v>
      </c>
      <c r="F78" s="18" t="s">
        <v>3397</v>
      </c>
      <c r="G78" s="18" t="s">
        <v>3619</v>
      </c>
      <c r="H78" s="3" t="s">
        <v>2079</v>
      </c>
      <c r="I78" s="18"/>
      <c r="J78" s="18"/>
      <c r="K78" s="37" t="s">
        <v>1299</v>
      </c>
      <c r="L78" s="36" t="s">
        <v>977</v>
      </c>
      <c r="M78" s="514"/>
      <c r="N78" s="514">
        <f>IF($C78="","",VLOOKUP($C78,'2017 Pricelist'!$C:$I,7,FALSE))</f>
        <v>24.990000000000002</v>
      </c>
      <c r="O78" s="35">
        <v>1</v>
      </c>
      <c r="P78" s="239">
        <v>5</v>
      </c>
      <c r="Q78" s="44">
        <f>CONVERT(0.093,"kg","lbm")</f>
        <v>0.20502990383193614</v>
      </c>
      <c r="R78" s="441">
        <f>CONVERT(204,"mm","in")</f>
        <v>8.0314960629921259</v>
      </c>
      <c r="S78" s="441">
        <f>CONVERT(90,"mm","in")</f>
        <v>3.5433070866141736</v>
      </c>
      <c r="T78" s="442">
        <v>1.3</v>
      </c>
      <c r="U78" s="120"/>
      <c r="V78" s="121"/>
      <c r="W78" s="121"/>
      <c r="X78" s="122"/>
      <c r="Y78" s="90" t="s">
        <v>259</v>
      </c>
      <c r="Z78" s="89" t="s">
        <v>259</v>
      </c>
      <c r="AA78" s="89" t="s">
        <v>259</v>
      </c>
      <c r="AB78" s="249" t="s">
        <v>259</v>
      </c>
      <c r="AC78" s="44">
        <v>1.9</v>
      </c>
      <c r="AD78" s="33">
        <v>12</v>
      </c>
      <c r="AE78" s="33">
        <v>5.75</v>
      </c>
      <c r="AF78" s="70">
        <v>5.75</v>
      </c>
      <c r="AG78" s="42"/>
      <c r="AH78" s="85" t="s">
        <v>3625</v>
      </c>
      <c r="AI78" s="85" t="s">
        <v>3538</v>
      </c>
      <c r="AJ78" s="37" t="s">
        <v>3490</v>
      </c>
      <c r="AK78" s="85" t="s">
        <v>3623</v>
      </c>
      <c r="AM78" s="85"/>
      <c r="AN78" s="85"/>
      <c r="AO78" s="85"/>
      <c r="AP78" s="85" t="s">
        <v>3624</v>
      </c>
      <c r="AQ78" s="18" t="s">
        <v>2909</v>
      </c>
      <c r="AR78" s="14" t="s">
        <v>1932</v>
      </c>
    </row>
    <row r="79" spans="1:44" s="14" customFormat="1" x14ac:dyDescent="0.2">
      <c r="A79" s="18" t="s">
        <v>1837</v>
      </c>
      <c r="B79" s="18"/>
      <c r="C79" s="1" t="s">
        <v>2076</v>
      </c>
      <c r="D79" s="1" t="s">
        <v>1550</v>
      </c>
      <c r="E79" s="469" t="s">
        <v>1629</v>
      </c>
      <c r="F79" s="18" t="s">
        <v>3397</v>
      </c>
      <c r="G79" s="18" t="s">
        <v>3619</v>
      </c>
      <c r="H79" s="3" t="s">
        <v>2078</v>
      </c>
      <c r="I79" s="18"/>
      <c r="J79" s="18"/>
      <c r="K79" s="37" t="s">
        <v>1299</v>
      </c>
      <c r="L79" s="36" t="s">
        <v>977</v>
      </c>
      <c r="M79" s="514"/>
      <c r="N79" s="514">
        <f>IF($C79="","",VLOOKUP($C79,'2017 Pricelist'!$C:$I,7,FALSE))</f>
        <v>24.990000000000002</v>
      </c>
      <c r="O79" s="35">
        <v>1</v>
      </c>
      <c r="P79" s="239">
        <v>5</v>
      </c>
      <c r="Q79" s="44">
        <f>CONVERT(0.104,"kg","lbm")</f>
        <v>0.22928075267227266</v>
      </c>
      <c r="R79" s="441">
        <f>CONVERT(214,"mm","in")</f>
        <v>8.4251968503937</v>
      </c>
      <c r="S79" s="441">
        <f>CONVERT(98,"mm","in")</f>
        <v>3.8582677165354329</v>
      </c>
      <c r="T79" s="442">
        <v>2</v>
      </c>
      <c r="U79" s="120"/>
      <c r="V79" s="121"/>
      <c r="W79" s="121"/>
      <c r="X79" s="122"/>
      <c r="Y79" s="90" t="s">
        <v>259</v>
      </c>
      <c r="Z79" s="89" t="s">
        <v>259</v>
      </c>
      <c r="AA79" s="89" t="s">
        <v>259</v>
      </c>
      <c r="AB79" s="249" t="s">
        <v>259</v>
      </c>
      <c r="AC79" s="44">
        <v>2</v>
      </c>
      <c r="AD79" s="33">
        <v>12</v>
      </c>
      <c r="AE79" s="33">
        <v>5.75</v>
      </c>
      <c r="AF79" s="70">
        <v>5.75</v>
      </c>
      <c r="AG79" s="42"/>
      <c r="AH79" s="85" t="s">
        <v>3627</v>
      </c>
      <c r="AI79" s="85" t="s">
        <v>3538</v>
      </c>
      <c r="AJ79" s="37" t="s">
        <v>3490</v>
      </c>
      <c r="AK79" s="85" t="s">
        <v>3628</v>
      </c>
      <c r="AL79" s="85"/>
      <c r="AM79" s="85"/>
      <c r="AN79" s="85"/>
      <c r="AO79" s="85"/>
      <c r="AP79" s="85" t="s">
        <v>3626</v>
      </c>
      <c r="AQ79" s="18" t="s">
        <v>2909</v>
      </c>
      <c r="AR79" s="14" t="s">
        <v>1932</v>
      </c>
    </row>
    <row r="80" spans="1:44" s="14" customFormat="1" x14ac:dyDescent="0.2">
      <c r="A80" s="18" t="s">
        <v>1837</v>
      </c>
      <c r="B80" s="18"/>
      <c r="C80" s="1" t="s">
        <v>1224</v>
      </c>
      <c r="D80" s="1" t="s">
        <v>1550</v>
      </c>
      <c r="E80" s="1" t="s">
        <v>3398</v>
      </c>
      <c r="F80" s="18" t="s">
        <v>3397</v>
      </c>
      <c r="G80" s="18" t="s">
        <v>3619</v>
      </c>
      <c r="H80" s="3" t="s">
        <v>1289</v>
      </c>
      <c r="I80" s="18"/>
      <c r="J80" s="18"/>
      <c r="K80" s="37" t="s">
        <v>1299</v>
      </c>
      <c r="L80" s="36" t="s">
        <v>977</v>
      </c>
      <c r="M80" s="514"/>
      <c r="N80" s="514">
        <f>IF($C80="","",VLOOKUP($C80,'2017 Pricelist'!$C:$I,7,FALSE))</f>
        <v>34.99</v>
      </c>
      <c r="O80" s="35">
        <v>1</v>
      </c>
      <c r="P80" s="239">
        <v>5</v>
      </c>
      <c r="Q80" s="44">
        <f>CONVERT(0.099,"kg","lbm")</f>
        <v>0.21825763956302879</v>
      </c>
      <c r="R80" s="441">
        <f>CONVERT(270,"mm","in")</f>
        <v>10.62992125984252</v>
      </c>
      <c r="S80" s="441">
        <f>CONVERT(155,"mm","in")</f>
        <v>6.1023622047244102</v>
      </c>
      <c r="T80" s="442">
        <v>1.9</v>
      </c>
      <c r="U80" s="44">
        <v>0.35</v>
      </c>
      <c r="V80" s="33">
        <v>13.5</v>
      </c>
      <c r="W80" s="33">
        <v>5.0999999999999996</v>
      </c>
      <c r="X80" s="70">
        <v>2</v>
      </c>
      <c r="Y80" s="90" t="s">
        <v>259</v>
      </c>
      <c r="Z80" s="89" t="s">
        <v>259</v>
      </c>
      <c r="AA80" s="89" t="s">
        <v>259</v>
      </c>
      <c r="AB80" s="249" t="s">
        <v>259</v>
      </c>
      <c r="AC80" s="44">
        <v>2.4</v>
      </c>
      <c r="AD80" s="33">
        <v>14</v>
      </c>
      <c r="AE80" s="33">
        <v>9.5</v>
      </c>
      <c r="AF80" s="70">
        <v>4</v>
      </c>
      <c r="AG80" s="42">
        <f>AD80*AE80*AF80/(12^3)</f>
        <v>0.30787037037037035</v>
      </c>
      <c r="AH80" s="85" t="s">
        <v>3629</v>
      </c>
      <c r="AI80" s="84" t="s">
        <v>3538</v>
      </c>
      <c r="AJ80" s="85" t="s">
        <v>3630</v>
      </c>
      <c r="AK80" s="85" t="s">
        <v>3631</v>
      </c>
      <c r="AL80" s="85"/>
      <c r="AM80" s="85"/>
      <c r="AN80" s="85"/>
      <c r="AO80" s="85"/>
      <c r="AP80" s="85" t="s">
        <v>3632</v>
      </c>
      <c r="AQ80" s="18" t="s">
        <v>2909</v>
      </c>
      <c r="AR80" s="14" t="s">
        <v>1932</v>
      </c>
    </row>
    <row r="81" spans="1:44" s="14" customFormat="1" x14ac:dyDescent="0.2">
      <c r="A81" s="18" t="s">
        <v>1837</v>
      </c>
      <c r="B81" s="18"/>
      <c r="C81" s="1" t="s">
        <v>1226</v>
      </c>
      <c r="D81" s="1" t="s">
        <v>1550</v>
      </c>
      <c r="E81" s="1" t="s">
        <v>1628</v>
      </c>
      <c r="F81" s="18" t="s">
        <v>3397</v>
      </c>
      <c r="G81" s="18" t="s">
        <v>3619</v>
      </c>
      <c r="H81" s="3" t="s">
        <v>1291</v>
      </c>
      <c r="I81" s="18"/>
      <c r="J81" s="18"/>
      <c r="K81" s="37" t="s">
        <v>1299</v>
      </c>
      <c r="L81" s="36" t="s">
        <v>977</v>
      </c>
      <c r="M81" s="514"/>
      <c r="N81" s="514">
        <f>IF($C81="","",VLOOKUP($C81,'2017 Pricelist'!$C:$I,7,FALSE))</f>
        <v>34.99</v>
      </c>
      <c r="O81" s="35">
        <v>1</v>
      </c>
      <c r="P81" s="239">
        <v>5</v>
      </c>
      <c r="Q81" s="44">
        <f>CONVERT(0.115,"kg","lbm")</f>
        <v>0.25353160151260923</v>
      </c>
      <c r="R81" s="441">
        <f>CONVERT(265,"mm","in")</f>
        <v>10.433070866141732</v>
      </c>
      <c r="S81" s="441">
        <f>CONVERT(150,"mm","in")</f>
        <v>5.9055118110236222</v>
      </c>
      <c r="T81" s="442">
        <v>2</v>
      </c>
      <c r="U81" s="44">
        <v>0.42</v>
      </c>
      <c r="V81" s="33">
        <v>13.5</v>
      </c>
      <c r="W81" s="33">
        <v>5.0999999999999996</v>
      </c>
      <c r="X81" s="70">
        <v>2</v>
      </c>
      <c r="Y81" s="90" t="s">
        <v>259</v>
      </c>
      <c r="Z81" s="89" t="s">
        <v>259</v>
      </c>
      <c r="AA81" s="89" t="s">
        <v>259</v>
      </c>
      <c r="AB81" s="249" t="s">
        <v>259</v>
      </c>
      <c r="AC81" s="44">
        <v>2.75</v>
      </c>
      <c r="AD81" s="33">
        <v>14.25</v>
      </c>
      <c r="AE81" s="33">
        <v>9</v>
      </c>
      <c r="AF81" s="70">
        <v>4</v>
      </c>
      <c r="AG81" s="42">
        <f>AD81*AE81*AF81/(12^3)</f>
        <v>0.296875</v>
      </c>
      <c r="AH81" s="85" t="s">
        <v>3633</v>
      </c>
      <c r="AI81" s="84" t="s">
        <v>3538</v>
      </c>
      <c r="AJ81" s="85" t="s">
        <v>3630</v>
      </c>
      <c r="AK81" s="85" t="s">
        <v>3634</v>
      </c>
      <c r="AL81" s="85"/>
      <c r="AM81" s="85"/>
      <c r="AN81" s="85"/>
      <c r="AO81" s="85"/>
      <c r="AP81" s="85" t="s">
        <v>3639</v>
      </c>
      <c r="AQ81" s="18" t="s">
        <v>2909</v>
      </c>
      <c r="AR81" s="14" t="s">
        <v>1932</v>
      </c>
    </row>
    <row r="82" spans="1:44" s="14" customFormat="1" x14ac:dyDescent="0.2">
      <c r="A82" s="18" t="s">
        <v>1837</v>
      </c>
      <c r="B82" s="18"/>
      <c r="C82" s="1" t="s">
        <v>1908</v>
      </c>
      <c r="D82" s="1" t="s">
        <v>1550</v>
      </c>
      <c r="E82" s="1" t="s">
        <v>3399</v>
      </c>
      <c r="F82" s="18" t="s">
        <v>484</v>
      </c>
      <c r="G82" s="18" t="s">
        <v>3344</v>
      </c>
      <c r="H82" s="3" t="s">
        <v>1909</v>
      </c>
      <c r="I82" s="18"/>
      <c r="J82" s="18"/>
      <c r="K82" s="37" t="s">
        <v>1299</v>
      </c>
      <c r="L82" s="36" t="s">
        <v>977</v>
      </c>
      <c r="M82" s="514"/>
      <c r="N82" s="514">
        <f>IF($C82="","",VLOOKUP($C82,'2017 Pricelist'!$C:$I,7,FALSE))</f>
        <v>22.99</v>
      </c>
      <c r="O82" s="35">
        <v>1</v>
      </c>
      <c r="P82" s="239">
        <v>15</v>
      </c>
      <c r="Q82" s="44">
        <f>CONVERT(0.0934,"kg","lbm")</f>
        <v>0.20591175288067565</v>
      </c>
      <c r="R82" s="441">
        <f>CONVERT(198,"mm","in")</f>
        <v>7.7952755905511815</v>
      </c>
      <c r="S82" s="441">
        <f>CONVERT(91,"mm","in")</f>
        <v>3.5826771653543306</v>
      </c>
      <c r="T82" s="442">
        <v>2</v>
      </c>
      <c r="U82" s="44">
        <v>0.21384839431933125</v>
      </c>
      <c r="V82" s="33">
        <v>8.75</v>
      </c>
      <c r="W82" s="33">
        <v>2</v>
      </c>
      <c r="X82" s="70">
        <v>1.1499999999999999</v>
      </c>
      <c r="Y82" s="90" t="s">
        <v>259</v>
      </c>
      <c r="Z82" s="89" t="s">
        <v>259</v>
      </c>
      <c r="AA82" s="89" t="s">
        <v>259</v>
      </c>
      <c r="AB82" s="249" t="s">
        <v>259</v>
      </c>
      <c r="AC82" s="44">
        <v>4.5999999999999996</v>
      </c>
      <c r="AD82" s="33">
        <v>9.75</v>
      </c>
      <c r="AE82" s="33">
        <v>5.25</v>
      </c>
      <c r="AF82" s="70">
        <v>10.25</v>
      </c>
      <c r="AG82" s="42">
        <f>AD82*AE82*AF82/(12^3)</f>
        <v>0.30362955729166669</v>
      </c>
      <c r="AH82" s="85" t="s">
        <v>3635</v>
      </c>
      <c r="AI82" s="85" t="s">
        <v>3636</v>
      </c>
      <c r="AJ82" s="85" t="s">
        <v>3637</v>
      </c>
      <c r="AK82" s="470" t="s">
        <v>3569</v>
      </c>
      <c r="AL82" s="85" t="s">
        <v>3638</v>
      </c>
      <c r="AM82" s="18"/>
      <c r="AN82" s="18"/>
      <c r="AO82" s="18"/>
      <c r="AP82" s="85" t="s">
        <v>3640</v>
      </c>
      <c r="AQ82" s="18" t="s">
        <v>2909</v>
      </c>
      <c r="AR82" s="14" t="s">
        <v>1932</v>
      </c>
    </row>
    <row r="83" spans="1:44" s="18" customFormat="1" ht="15.75" x14ac:dyDescent="0.25">
      <c r="A83" s="105" t="s">
        <v>3346</v>
      </c>
      <c r="B83" s="105"/>
      <c r="C83" s="33"/>
      <c r="D83" s="33"/>
      <c r="E83" s="34"/>
      <c r="H83" s="223"/>
      <c r="K83" s="36"/>
      <c r="L83" s="36"/>
      <c r="M83" s="504"/>
      <c r="N83" s="504"/>
      <c r="O83" s="35"/>
      <c r="P83" s="187"/>
      <c r="Q83" s="44"/>
      <c r="R83" s="33"/>
      <c r="S83" s="33"/>
      <c r="T83" s="70"/>
      <c r="U83" s="44"/>
      <c r="V83" s="33"/>
      <c r="W83" s="33"/>
      <c r="X83" s="70"/>
      <c r="Y83" s="44"/>
      <c r="Z83" s="33"/>
      <c r="AA83" s="33"/>
      <c r="AB83" s="70"/>
      <c r="AC83" s="44"/>
      <c r="AD83" s="33"/>
      <c r="AE83" s="33"/>
      <c r="AF83" s="70"/>
      <c r="AG83" s="44"/>
    </row>
    <row r="84" spans="1:44" s="14" customFormat="1" x14ac:dyDescent="0.2">
      <c r="A84" s="18" t="s">
        <v>1837</v>
      </c>
      <c r="B84" s="18"/>
      <c r="C84" s="40" t="s">
        <v>4304</v>
      </c>
      <c r="D84" s="1" t="s">
        <v>1550</v>
      </c>
      <c r="E84" s="242" t="s">
        <v>4305</v>
      </c>
      <c r="F84" s="18" t="s">
        <v>4278</v>
      </c>
      <c r="G84" s="18" t="s">
        <v>2520</v>
      </c>
      <c r="H84" s="3" t="s">
        <v>3400</v>
      </c>
      <c r="I84" s="18"/>
      <c r="J84" s="18"/>
      <c r="K84" s="37" t="s">
        <v>1299</v>
      </c>
      <c r="L84" s="36" t="s">
        <v>977</v>
      </c>
      <c r="M84" s="514"/>
      <c r="N84" s="514">
        <v>29.99</v>
      </c>
      <c r="O84" s="35">
        <v>1</v>
      </c>
      <c r="P84" s="239">
        <v>100</v>
      </c>
      <c r="Q84" s="44">
        <f>CONVERT(0.055,"kg","lbm")</f>
        <v>0.12125424420168267</v>
      </c>
      <c r="R84" s="441">
        <f>CONVERT(141,"mm","in")</f>
        <v>5.5511811023622046</v>
      </c>
      <c r="S84" s="441">
        <f>CONVERT(62,"mm","in")</f>
        <v>2.4409448818897634</v>
      </c>
      <c r="T84" s="442">
        <v>1.6</v>
      </c>
      <c r="U84" s="44">
        <v>0.52910942924370619</v>
      </c>
      <c r="V84" s="33">
        <v>6</v>
      </c>
      <c r="W84" s="33">
        <v>2.5</v>
      </c>
      <c r="X84" s="70">
        <v>1.1499999999999999</v>
      </c>
      <c r="Y84" s="90" t="s">
        <v>259</v>
      </c>
      <c r="Z84" s="89" t="s">
        <v>259</v>
      </c>
      <c r="AA84" s="89" t="s">
        <v>259</v>
      </c>
      <c r="AB84" s="249" t="s">
        <v>259</v>
      </c>
      <c r="AC84" s="90">
        <v>11.45</v>
      </c>
      <c r="AD84" s="89">
        <v>15.25</v>
      </c>
      <c r="AE84" s="89">
        <v>8.5</v>
      </c>
      <c r="AF84" s="249">
        <v>6</v>
      </c>
      <c r="AG84" s="42"/>
      <c r="AH84" s="85" t="s">
        <v>3599</v>
      </c>
      <c r="AI84" s="468" t="s">
        <v>3600</v>
      </c>
      <c r="AJ84" s="468" t="s">
        <v>3601</v>
      </c>
      <c r="AK84" s="468" t="s">
        <v>3602</v>
      </c>
      <c r="AL84" s="14" t="s">
        <v>4279</v>
      </c>
      <c r="AM84" s="85" t="s">
        <v>3604</v>
      </c>
      <c r="AN84" s="468"/>
      <c r="AO84" s="85"/>
      <c r="AP84" s="85" t="s">
        <v>3603</v>
      </c>
      <c r="AQ84" s="18" t="s">
        <v>2909</v>
      </c>
      <c r="AR84" s="14" t="s">
        <v>1932</v>
      </c>
    </row>
    <row r="85" spans="1:44" s="14" customFormat="1" x14ac:dyDescent="0.2">
      <c r="A85" s="18" t="s">
        <v>1837</v>
      </c>
      <c r="B85" s="18"/>
      <c r="C85" s="40" t="s">
        <v>4375</v>
      </c>
      <c r="D85" s="1" t="s">
        <v>1550</v>
      </c>
      <c r="E85" s="242" t="s">
        <v>4376</v>
      </c>
      <c r="F85" s="18" t="s">
        <v>484</v>
      </c>
      <c r="G85" s="18" t="s">
        <v>2520</v>
      </c>
      <c r="H85" s="3" t="s">
        <v>3400</v>
      </c>
      <c r="I85" s="18"/>
      <c r="J85" s="18"/>
      <c r="K85" s="37" t="s">
        <v>1299</v>
      </c>
      <c r="L85" s="36" t="s">
        <v>977</v>
      </c>
      <c r="M85" s="514"/>
      <c r="N85" s="514">
        <v>29.99</v>
      </c>
      <c r="O85" s="35">
        <v>1</v>
      </c>
      <c r="P85" s="239">
        <v>100</v>
      </c>
      <c r="Q85" s="44">
        <f t="shared" ref="Q85:Q87" si="12">CONVERT(0.055,"kg","lbm")</f>
        <v>0.12125424420168267</v>
      </c>
      <c r="R85" s="441">
        <f t="shared" ref="R85:R87" si="13">CONVERT(141,"mm","in")</f>
        <v>5.5511811023622046</v>
      </c>
      <c r="S85" s="441">
        <f t="shared" ref="S85:S87" si="14">CONVERT(62,"mm","in")</f>
        <v>2.4409448818897634</v>
      </c>
      <c r="T85" s="442">
        <v>1.6</v>
      </c>
      <c r="U85" s="44">
        <v>0.52910942924370619</v>
      </c>
      <c r="V85" s="33">
        <v>6</v>
      </c>
      <c r="W85" s="33">
        <v>2.5</v>
      </c>
      <c r="X85" s="70">
        <v>1.1499999999999999</v>
      </c>
      <c r="Y85" s="90" t="s">
        <v>259</v>
      </c>
      <c r="Z85" s="89" t="s">
        <v>259</v>
      </c>
      <c r="AA85" s="89" t="s">
        <v>259</v>
      </c>
      <c r="AB85" s="249" t="s">
        <v>259</v>
      </c>
      <c r="AC85" s="90">
        <v>11.45</v>
      </c>
      <c r="AD85" s="89">
        <v>15.25</v>
      </c>
      <c r="AE85" s="89">
        <v>8.5</v>
      </c>
      <c r="AF85" s="249">
        <v>6</v>
      </c>
      <c r="AG85" s="42"/>
      <c r="AH85" s="85" t="s">
        <v>3599</v>
      </c>
      <c r="AI85" s="468" t="s">
        <v>3600</v>
      </c>
      <c r="AJ85" s="468" t="s">
        <v>4311</v>
      </c>
      <c r="AK85" s="468" t="s">
        <v>3602</v>
      </c>
      <c r="AL85" s="14" t="s">
        <v>4377</v>
      </c>
      <c r="AM85" s="85" t="s">
        <v>3604</v>
      </c>
      <c r="AN85" s="468"/>
      <c r="AO85" s="85"/>
      <c r="AP85" s="85" t="s">
        <v>3603</v>
      </c>
      <c r="AQ85" s="18" t="s">
        <v>2909</v>
      </c>
      <c r="AR85" s="14" t="s">
        <v>1932</v>
      </c>
    </row>
    <row r="86" spans="1:44" s="14" customFormat="1" x14ac:dyDescent="0.2">
      <c r="A86" s="18" t="s">
        <v>1837</v>
      </c>
      <c r="B86" s="18"/>
      <c r="C86" s="40" t="s">
        <v>4302</v>
      </c>
      <c r="D86" s="1" t="s">
        <v>1550</v>
      </c>
      <c r="E86" s="242" t="s">
        <v>4306</v>
      </c>
      <c r="F86" s="18" t="s">
        <v>4308</v>
      </c>
      <c r="G86" s="18" t="s">
        <v>2520</v>
      </c>
      <c r="H86" s="3" t="s">
        <v>5306</v>
      </c>
      <c r="I86" s="18"/>
      <c r="J86" s="18"/>
      <c r="K86" s="37" t="s">
        <v>1299</v>
      </c>
      <c r="L86" s="36" t="s">
        <v>977</v>
      </c>
      <c r="M86" s="514"/>
      <c r="N86" s="514">
        <f>IF($C86="","",VLOOKUP($C86,'2017 Pricelist'!$C:$I,7,FALSE))</f>
        <v>29.990000000000002</v>
      </c>
      <c r="O86" s="35">
        <v>1</v>
      </c>
      <c r="P86" s="239">
        <v>100</v>
      </c>
      <c r="Q86" s="44">
        <f t="shared" si="12"/>
        <v>0.12125424420168267</v>
      </c>
      <c r="R86" s="441">
        <f t="shared" si="13"/>
        <v>5.5511811023622046</v>
      </c>
      <c r="S86" s="441">
        <f t="shared" si="14"/>
        <v>2.4409448818897634</v>
      </c>
      <c r="T86" s="442">
        <v>1.6</v>
      </c>
      <c r="U86" s="44">
        <v>0.52910942924370619</v>
      </c>
      <c r="V86" s="33">
        <v>6</v>
      </c>
      <c r="W86" s="33">
        <v>2.5</v>
      </c>
      <c r="X86" s="70">
        <v>1.1499999999999999</v>
      </c>
      <c r="Y86" s="90" t="s">
        <v>259</v>
      </c>
      <c r="Z86" s="89" t="s">
        <v>259</v>
      </c>
      <c r="AA86" s="89" t="s">
        <v>259</v>
      </c>
      <c r="AB86" s="249" t="s">
        <v>259</v>
      </c>
      <c r="AC86" s="90">
        <v>11.45</v>
      </c>
      <c r="AD86" s="89">
        <v>15.25</v>
      </c>
      <c r="AE86" s="89">
        <v>8.5</v>
      </c>
      <c r="AF86" s="249">
        <v>6</v>
      </c>
      <c r="AG86" s="42"/>
      <c r="AH86" s="85" t="s">
        <v>3599</v>
      </c>
      <c r="AI86" s="468" t="s">
        <v>3600</v>
      </c>
      <c r="AJ86" s="468" t="s">
        <v>4311</v>
      </c>
      <c r="AK86" s="468" t="s">
        <v>3602</v>
      </c>
      <c r="AL86" s="14" t="s">
        <v>4309</v>
      </c>
      <c r="AM86" s="85" t="s">
        <v>3604</v>
      </c>
      <c r="AN86" s="468"/>
      <c r="AO86" s="85"/>
      <c r="AP86" s="85" t="s">
        <v>3603</v>
      </c>
      <c r="AQ86" s="18" t="s">
        <v>2909</v>
      </c>
      <c r="AR86" s="14" t="s">
        <v>1932</v>
      </c>
    </row>
    <row r="87" spans="1:44" s="14" customFormat="1" x14ac:dyDescent="0.2">
      <c r="A87" s="18" t="s">
        <v>1837</v>
      </c>
      <c r="B87" s="18"/>
      <c r="C87" s="40" t="s">
        <v>4303</v>
      </c>
      <c r="D87" s="1" t="s">
        <v>1550</v>
      </c>
      <c r="E87" s="242" t="s">
        <v>4307</v>
      </c>
      <c r="F87" s="18" t="s">
        <v>222</v>
      </c>
      <c r="G87" s="18" t="s">
        <v>2520</v>
      </c>
      <c r="H87" s="3" t="s">
        <v>5307</v>
      </c>
      <c r="I87" s="18"/>
      <c r="J87" s="18"/>
      <c r="K87" s="37" t="s">
        <v>1299</v>
      </c>
      <c r="L87" s="36" t="s">
        <v>977</v>
      </c>
      <c r="M87" s="514"/>
      <c r="N87" s="514">
        <f>IF($C87="","",VLOOKUP($C87,'2017 Pricelist'!$C:$I,7,FALSE))</f>
        <v>29.990000000000002</v>
      </c>
      <c r="O87" s="35">
        <v>1</v>
      </c>
      <c r="P87" s="239">
        <v>100</v>
      </c>
      <c r="Q87" s="44">
        <f t="shared" si="12"/>
        <v>0.12125424420168267</v>
      </c>
      <c r="R87" s="441">
        <f t="shared" si="13"/>
        <v>5.5511811023622046</v>
      </c>
      <c r="S87" s="441">
        <f t="shared" si="14"/>
        <v>2.4409448818897634</v>
      </c>
      <c r="T87" s="442">
        <v>1.6</v>
      </c>
      <c r="U87" s="44">
        <v>0.52910942924370619</v>
      </c>
      <c r="V87" s="33">
        <v>6</v>
      </c>
      <c r="W87" s="33">
        <v>2.5</v>
      </c>
      <c r="X87" s="70">
        <v>1.1499999999999999</v>
      </c>
      <c r="Y87" s="90" t="s">
        <v>259</v>
      </c>
      <c r="Z87" s="89" t="s">
        <v>259</v>
      </c>
      <c r="AA87" s="89" t="s">
        <v>259</v>
      </c>
      <c r="AB87" s="249" t="s">
        <v>259</v>
      </c>
      <c r="AC87" s="90">
        <v>11.45</v>
      </c>
      <c r="AD87" s="89">
        <v>15.25</v>
      </c>
      <c r="AE87" s="89">
        <v>8.5</v>
      </c>
      <c r="AF87" s="249">
        <v>6</v>
      </c>
      <c r="AG87" s="42"/>
      <c r="AH87" s="85" t="s">
        <v>3599</v>
      </c>
      <c r="AI87" s="468" t="s">
        <v>3600</v>
      </c>
      <c r="AJ87" s="468" t="s">
        <v>4312</v>
      </c>
      <c r="AK87" s="468" t="s">
        <v>3602</v>
      </c>
      <c r="AL87" s="14" t="s">
        <v>4310</v>
      </c>
      <c r="AM87" s="85" t="s">
        <v>3604</v>
      </c>
      <c r="AN87" s="468"/>
      <c r="AO87" s="85"/>
      <c r="AP87" s="85" t="s">
        <v>3603</v>
      </c>
      <c r="AQ87" s="18" t="s">
        <v>2909</v>
      </c>
      <c r="AR87" s="14" t="s">
        <v>1932</v>
      </c>
    </row>
    <row r="88" spans="1:44" s="18" customFormat="1" x14ac:dyDescent="0.2">
      <c r="A88" s="18" t="s">
        <v>1837</v>
      </c>
      <c r="C88" s="1" t="s">
        <v>1807</v>
      </c>
      <c r="D88" s="1" t="s">
        <v>1550</v>
      </c>
      <c r="E88" s="1" t="s">
        <v>2526</v>
      </c>
      <c r="F88" s="18" t="s">
        <v>484</v>
      </c>
      <c r="G88" s="18" t="s">
        <v>2520</v>
      </c>
      <c r="H88" s="107">
        <v>7391846011989</v>
      </c>
      <c r="K88" s="37" t="s">
        <v>1299</v>
      </c>
      <c r="L88" s="36" t="s">
        <v>977</v>
      </c>
      <c r="M88" s="514"/>
      <c r="N88" s="514">
        <f>IF($C88="","",VLOOKUP($C88,'2017 Pricelist'!$C:$I,7,FALSE))</f>
        <v>29.990000000000002</v>
      </c>
      <c r="O88" s="35">
        <v>1</v>
      </c>
      <c r="P88" s="239">
        <v>10</v>
      </c>
      <c r="Q88" s="44">
        <f>CONVERT(0.111,"kg","lbm")</f>
        <v>0.24471311102521412</v>
      </c>
      <c r="R88" s="441">
        <f>CONVERT(180,"mm","in")</f>
        <v>7.0866141732283472</v>
      </c>
      <c r="S88" s="441">
        <f>CONVERT(66,"mm","in")</f>
        <v>2.5984251968503935</v>
      </c>
      <c r="T88" s="442">
        <v>2</v>
      </c>
      <c r="U88" s="44">
        <v>0.22376919611765073</v>
      </c>
      <c r="V88" s="33">
        <v>9</v>
      </c>
      <c r="W88" s="33">
        <v>3</v>
      </c>
      <c r="X88" s="70">
        <v>1</v>
      </c>
      <c r="Y88" s="90" t="s">
        <v>259</v>
      </c>
      <c r="Z88" s="89" t="s">
        <v>259</v>
      </c>
      <c r="AA88" s="89" t="s">
        <v>259</v>
      </c>
      <c r="AB88" s="249" t="s">
        <v>259</v>
      </c>
      <c r="AC88" s="90">
        <v>2.4</v>
      </c>
      <c r="AD88" s="89">
        <v>14.5</v>
      </c>
      <c r="AE88" s="89">
        <v>5</v>
      </c>
      <c r="AF88" s="249">
        <v>3</v>
      </c>
      <c r="AG88" s="42">
        <f>AD88*AE88*AF88/(12^3)</f>
        <v>0.12586805555555555</v>
      </c>
      <c r="AH88" s="85" t="s">
        <v>3605</v>
      </c>
      <c r="AI88" s="85" t="s">
        <v>1684</v>
      </c>
      <c r="AJ88" s="468" t="s">
        <v>3606</v>
      </c>
      <c r="AK88" s="85" t="s">
        <v>3607</v>
      </c>
      <c r="AP88" s="85" t="s">
        <v>3608</v>
      </c>
      <c r="AQ88" s="18" t="s">
        <v>2909</v>
      </c>
      <c r="AR88" s="14" t="s">
        <v>1932</v>
      </c>
    </row>
    <row r="89" spans="1:44" s="14" customFormat="1" x14ac:dyDescent="0.2">
      <c r="A89" s="18" t="s">
        <v>1837</v>
      </c>
      <c r="B89" s="18"/>
      <c r="C89" s="1" t="s">
        <v>1221</v>
      </c>
      <c r="D89" s="1" t="s">
        <v>1550</v>
      </c>
      <c r="E89" s="1" t="s">
        <v>3401</v>
      </c>
      <c r="F89" s="18" t="s">
        <v>2863</v>
      </c>
      <c r="G89" s="18" t="s">
        <v>2547</v>
      </c>
      <c r="H89" s="107">
        <v>7391846013860</v>
      </c>
      <c r="I89" s="18"/>
      <c r="J89" s="18"/>
      <c r="K89" s="37" t="s">
        <v>1299</v>
      </c>
      <c r="L89" s="36" t="s">
        <v>977</v>
      </c>
      <c r="M89" s="514"/>
      <c r="N89" s="514">
        <f>IF($C89="","",VLOOKUP($C89,'2017 Pricelist'!$C:$I,7,FALSE))</f>
        <v>79.990000000000009</v>
      </c>
      <c r="O89" s="35">
        <v>1</v>
      </c>
      <c r="P89" s="239">
        <v>5</v>
      </c>
      <c r="Q89" s="44">
        <f>CONVERT(0.337,"kg","lbm")</f>
        <v>0.74295782356303741</v>
      </c>
      <c r="R89" s="33" t="s">
        <v>3616</v>
      </c>
      <c r="S89" s="129" t="s">
        <v>3402</v>
      </c>
      <c r="T89" s="130" t="s">
        <v>2606</v>
      </c>
      <c r="U89" s="44">
        <f>17/16</f>
        <v>1.0625</v>
      </c>
      <c r="V89" s="33">
        <v>4</v>
      </c>
      <c r="W89" s="33">
        <v>5</v>
      </c>
      <c r="X89" s="70">
        <v>1.25</v>
      </c>
      <c r="Y89" s="90" t="s">
        <v>259</v>
      </c>
      <c r="Z89" s="89" t="s">
        <v>259</v>
      </c>
      <c r="AA89" s="89" t="s">
        <v>259</v>
      </c>
      <c r="AB89" s="249" t="s">
        <v>259</v>
      </c>
      <c r="AC89" s="44">
        <v>5.7</v>
      </c>
      <c r="AD89" s="33">
        <v>15.5</v>
      </c>
      <c r="AE89" s="33">
        <v>8.5</v>
      </c>
      <c r="AF89" s="70">
        <v>6.25</v>
      </c>
      <c r="AG89" s="42">
        <f>AD89*AE89*AF89/(12^3)</f>
        <v>0.47652633101851855</v>
      </c>
      <c r="AH89" s="85" t="s">
        <v>3609</v>
      </c>
      <c r="AI89" s="18" t="s">
        <v>3610</v>
      </c>
      <c r="AJ89" s="85" t="s">
        <v>3612</v>
      </c>
      <c r="AK89" s="37" t="s">
        <v>3611</v>
      </c>
      <c r="AL89" s="18" t="s">
        <v>3614</v>
      </c>
      <c r="AM89" s="85" t="s">
        <v>3615</v>
      </c>
      <c r="AN89" s="85" t="s">
        <v>3618</v>
      </c>
      <c r="AO89" s="85" t="s">
        <v>3617</v>
      </c>
      <c r="AP89" s="85" t="s">
        <v>3613</v>
      </c>
      <c r="AQ89" s="18" t="s">
        <v>2909</v>
      </c>
      <c r="AR89" s="14" t="s">
        <v>1932</v>
      </c>
    </row>
    <row r="90" spans="1:44" s="18" customFormat="1" ht="15.75" customHeight="1" x14ac:dyDescent="0.25">
      <c r="A90" s="421" t="s">
        <v>3347</v>
      </c>
      <c r="B90" s="424"/>
      <c r="C90" s="424"/>
      <c r="D90" s="33"/>
      <c r="E90" s="34"/>
      <c r="H90" s="223"/>
      <c r="K90" s="36"/>
      <c r="L90" s="36"/>
      <c r="M90" s="504"/>
      <c r="N90" s="504"/>
      <c r="O90" s="35"/>
      <c r="P90" s="187"/>
      <c r="Q90" s="44"/>
      <c r="R90" s="33"/>
      <c r="S90" s="33"/>
      <c r="T90" s="70"/>
      <c r="U90" s="44"/>
      <c r="V90" s="33"/>
      <c r="W90" s="33"/>
      <c r="X90" s="70"/>
      <c r="Y90" s="44"/>
      <c r="Z90" s="33"/>
      <c r="AA90" s="33"/>
      <c r="AB90" s="70"/>
      <c r="AC90" s="44"/>
      <c r="AD90" s="33"/>
      <c r="AE90" s="33"/>
      <c r="AF90" s="70"/>
      <c r="AG90" s="44"/>
    </row>
    <row r="91" spans="1:44" s="18" customFormat="1" ht="15.75" x14ac:dyDescent="0.25">
      <c r="A91" s="18" t="s">
        <v>1837</v>
      </c>
      <c r="B91" s="517"/>
      <c r="C91" s="1" t="s">
        <v>3988</v>
      </c>
      <c r="D91" s="33" t="s">
        <v>1494</v>
      </c>
      <c r="E91" s="34" t="s">
        <v>3989</v>
      </c>
      <c r="F91" s="18" t="s">
        <v>3386</v>
      </c>
      <c r="G91" s="18" t="s">
        <v>2520</v>
      </c>
      <c r="H91" s="223" t="s">
        <v>3990</v>
      </c>
      <c r="K91" s="36" t="s">
        <v>3387</v>
      </c>
      <c r="L91" s="36" t="s">
        <v>977</v>
      </c>
      <c r="M91" s="514"/>
      <c r="N91" s="514">
        <v>59.99</v>
      </c>
      <c r="O91" s="35">
        <v>1</v>
      </c>
      <c r="P91" s="187">
        <v>20</v>
      </c>
      <c r="Q91" s="44">
        <f>4.6/16</f>
        <v>0.28749999999999998</v>
      </c>
      <c r="R91" s="33">
        <v>7.1</v>
      </c>
      <c r="S91" s="33">
        <v>3.3</v>
      </c>
      <c r="T91" s="70">
        <v>2.7</v>
      </c>
      <c r="U91" s="44">
        <v>0.3</v>
      </c>
      <c r="V91" s="33">
        <v>10</v>
      </c>
      <c r="W91" s="33">
        <v>2.5</v>
      </c>
      <c r="X91" s="70">
        <v>2</v>
      </c>
      <c r="Y91" s="90" t="s">
        <v>259</v>
      </c>
      <c r="Z91" s="89" t="s">
        <v>259</v>
      </c>
      <c r="AA91" s="89" t="s">
        <v>259</v>
      </c>
      <c r="AB91" s="249" t="s">
        <v>259</v>
      </c>
      <c r="AC91" s="44">
        <v>6.85</v>
      </c>
      <c r="AD91" s="33">
        <v>12</v>
      </c>
      <c r="AE91" s="33">
        <v>10.5</v>
      </c>
      <c r="AF91" s="70">
        <v>8.5</v>
      </c>
      <c r="AG91" s="44"/>
    </row>
    <row r="92" spans="1:44" s="14" customFormat="1" x14ac:dyDescent="0.2">
      <c r="A92" s="18" t="s">
        <v>1837</v>
      </c>
      <c r="B92" s="18"/>
      <c r="C92" s="1" t="s">
        <v>1186</v>
      </c>
      <c r="D92" s="1" t="s">
        <v>1494</v>
      </c>
      <c r="E92" s="1" t="s">
        <v>2537</v>
      </c>
      <c r="F92" s="18" t="s">
        <v>3403</v>
      </c>
      <c r="G92" s="18" t="s">
        <v>2520</v>
      </c>
      <c r="H92" s="3" t="s">
        <v>1256</v>
      </c>
      <c r="I92" s="18"/>
      <c r="J92" s="18"/>
      <c r="K92" s="37" t="s">
        <v>3387</v>
      </c>
      <c r="L92" s="36" t="s">
        <v>977</v>
      </c>
      <c r="M92" s="514"/>
      <c r="N92" s="514">
        <v>24.99</v>
      </c>
      <c r="O92" s="35">
        <v>1</v>
      </c>
      <c r="P92" s="239">
        <v>10</v>
      </c>
      <c r="Q92" s="44">
        <f>CONVERT(0.05,"kg","lbm")</f>
        <v>0.11023113109243879</v>
      </c>
      <c r="R92" s="441">
        <f>CONVERT(170,"mm","in")</f>
        <v>6.6929133858267713</v>
      </c>
      <c r="S92" s="441">
        <f>CONVERT(74,"mm","in")</f>
        <v>2.9133858267716537</v>
      </c>
      <c r="T92" s="442">
        <v>2.5</v>
      </c>
      <c r="U92" s="44">
        <v>0.11023113109243879</v>
      </c>
      <c r="V92" s="33">
        <v>7.875</v>
      </c>
      <c r="W92" s="33">
        <v>1.125</v>
      </c>
      <c r="X92" s="70">
        <v>0.875</v>
      </c>
      <c r="Y92" s="90" t="s">
        <v>259</v>
      </c>
      <c r="Z92" s="89" t="s">
        <v>259</v>
      </c>
      <c r="AA92" s="89" t="s">
        <v>259</v>
      </c>
      <c r="AB92" s="249" t="s">
        <v>259</v>
      </c>
      <c r="AC92" s="44">
        <v>1.2015193289075827</v>
      </c>
      <c r="AD92" s="33">
        <v>8.75</v>
      </c>
      <c r="AE92" s="33">
        <v>5</v>
      </c>
      <c r="AF92" s="70">
        <v>2</v>
      </c>
      <c r="AG92" s="42">
        <f t="shared" ref="AG92:AG99" si="15">AD92*AE92*AF92/(12^3)</f>
        <v>5.0636574074074077E-2</v>
      </c>
      <c r="AH92" s="85" t="s">
        <v>3682</v>
      </c>
      <c r="AI92" s="18" t="s">
        <v>3683</v>
      </c>
      <c r="AJ92" s="85" t="s">
        <v>3684</v>
      </c>
      <c r="AK92" s="85" t="s">
        <v>3685</v>
      </c>
      <c r="AL92" s="18"/>
      <c r="AM92" s="18"/>
      <c r="AN92" s="18"/>
      <c r="AO92" s="18"/>
      <c r="AP92" s="85" t="s">
        <v>1382</v>
      </c>
      <c r="AQ92" s="18" t="s">
        <v>2909</v>
      </c>
      <c r="AR92" s="14" t="s">
        <v>1932</v>
      </c>
    </row>
    <row r="93" spans="1:44" s="14" customFormat="1" x14ac:dyDescent="0.2">
      <c r="A93" s="18" t="s">
        <v>1837</v>
      </c>
      <c r="B93" s="18"/>
      <c r="C93" s="1" t="s">
        <v>1184</v>
      </c>
      <c r="D93" s="1" t="s">
        <v>1494</v>
      </c>
      <c r="E93" s="1" t="s">
        <v>2535</v>
      </c>
      <c r="F93" s="18" t="s">
        <v>3403</v>
      </c>
      <c r="G93" s="18" t="s">
        <v>2520</v>
      </c>
      <c r="H93" s="3" t="s">
        <v>1254</v>
      </c>
      <c r="I93" s="18"/>
      <c r="J93" s="18"/>
      <c r="K93" s="37" t="s">
        <v>3387</v>
      </c>
      <c r="L93" s="36" t="s">
        <v>977</v>
      </c>
      <c r="M93" s="514"/>
      <c r="N93" s="514">
        <f>IF($C93="","",VLOOKUP($C93,'2017 Pricelist'!$C:$I,7,FALSE))</f>
        <v>19.989999999999998</v>
      </c>
      <c r="O93" s="35">
        <v>1</v>
      </c>
      <c r="P93" s="239">
        <v>10</v>
      </c>
      <c r="Q93" s="44">
        <f>CONVERT(0.0784,"kg","lbm")</f>
        <v>0.17284241355294402</v>
      </c>
      <c r="R93" s="441">
        <f>CONVERT(200,"mm","in")</f>
        <v>7.8740157480314963</v>
      </c>
      <c r="S93" s="441">
        <f>CONVERT(98,"mm","in")</f>
        <v>3.8582677165354329</v>
      </c>
      <c r="T93" s="442">
        <v>2</v>
      </c>
      <c r="U93" s="44">
        <v>0.17284241355294402</v>
      </c>
      <c r="V93" s="33">
        <v>8.875</v>
      </c>
      <c r="W93" s="33">
        <v>1.25</v>
      </c>
      <c r="X93" s="70">
        <v>1.25</v>
      </c>
      <c r="Y93" s="90" t="s">
        <v>259</v>
      </c>
      <c r="Z93" s="89" t="s">
        <v>259</v>
      </c>
      <c r="AA93" s="89" t="s">
        <v>259</v>
      </c>
      <c r="AB93" s="249" t="s">
        <v>259</v>
      </c>
      <c r="AC93" s="44">
        <v>1.8849523416807032</v>
      </c>
      <c r="AD93" s="33">
        <v>10.5</v>
      </c>
      <c r="AE93" s="33">
        <v>8.75</v>
      </c>
      <c r="AF93" s="70">
        <v>1.875</v>
      </c>
      <c r="AG93" s="42">
        <f t="shared" si="15"/>
        <v>9.9690755208333329E-2</v>
      </c>
      <c r="AH93" s="85" t="s">
        <v>1307</v>
      </c>
      <c r="AI93" s="18" t="s">
        <v>1378</v>
      </c>
      <c r="AJ93" s="85" t="s">
        <v>1310</v>
      </c>
      <c r="AK93" s="37" t="s">
        <v>1336</v>
      </c>
      <c r="AL93" s="85" t="s">
        <v>1376</v>
      </c>
      <c r="AM93" s="85"/>
      <c r="AN93" s="85"/>
      <c r="AO93" s="85"/>
      <c r="AP93" s="85" t="s">
        <v>1377</v>
      </c>
      <c r="AQ93" s="18" t="s">
        <v>2909</v>
      </c>
      <c r="AR93" s="14" t="s">
        <v>1932</v>
      </c>
    </row>
    <row r="94" spans="1:44" s="14" customFormat="1" x14ac:dyDescent="0.2">
      <c r="A94" s="18" t="s">
        <v>1837</v>
      </c>
      <c r="B94" s="18"/>
      <c r="C94" s="1" t="s">
        <v>1185</v>
      </c>
      <c r="D94" s="1" t="s">
        <v>1494</v>
      </c>
      <c r="E94" s="1" t="s">
        <v>2536</v>
      </c>
      <c r="F94" s="18" t="s">
        <v>3403</v>
      </c>
      <c r="G94" s="18" t="s">
        <v>2520</v>
      </c>
      <c r="H94" s="3" t="s">
        <v>1255</v>
      </c>
      <c r="I94" s="18"/>
      <c r="J94" s="18"/>
      <c r="K94" s="37" t="s">
        <v>3387</v>
      </c>
      <c r="L94" s="36" t="s">
        <v>977</v>
      </c>
      <c r="M94" s="514"/>
      <c r="N94" s="514">
        <f>IF($C94="","",VLOOKUP($C94,'2017 Pricelist'!$C:$I,7,FALSE))</f>
        <v>22.99</v>
      </c>
      <c r="O94" s="35">
        <v>1</v>
      </c>
      <c r="P94" s="239">
        <v>10</v>
      </c>
      <c r="Q94" s="44">
        <f>CONVERT(0.0857,"kg","lbm")</f>
        <v>0.18893615869244007</v>
      </c>
      <c r="R94" s="441">
        <f>CONVERT(210,"mm","in")</f>
        <v>8.2677165354330704</v>
      </c>
      <c r="S94" s="441">
        <f>CONVERT(106,"mm","in")</f>
        <v>4.1732283464566926</v>
      </c>
      <c r="T94" s="442">
        <v>2.5</v>
      </c>
      <c r="U94" s="44">
        <v>0.1889361586924401</v>
      </c>
      <c r="V94" s="33">
        <v>9</v>
      </c>
      <c r="W94" s="33">
        <v>1.25</v>
      </c>
      <c r="X94" s="70">
        <v>1.125</v>
      </c>
      <c r="Y94" s="90" t="s">
        <v>259</v>
      </c>
      <c r="Z94" s="89" t="s">
        <v>259</v>
      </c>
      <c r="AA94" s="89" t="s">
        <v>259</v>
      </c>
      <c r="AB94" s="249" t="s">
        <v>259</v>
      </c>
      <c r="AC94" s="44">
        <v>2.0613221514286053</v>
      </c>
      <c r="AD94" s="33">
        <v>10.5</v>
      </c>
      <c r="AE94" s="33">
        <v>8.75</v>
      </c>
      <c r="AF94" s="70">
        <v>1.875</v>
      </c>
      <c r="AG94" s="42">
        <f t="shared" si="15"/>
        <v>9.9690755208333329E-2</v>
      </c>
      <c r="AH94" s="85" t="s">
        <v>1307</v>
      </c>
      <c r="AI94" s="18" t="s">
        <v>1378</v>
      </c>
      <c r="AJ94" s="85" t="s">
        <v>1310</v>
      </c>
      <c r="AK94" s="37" t="s">
        <v>1336</v>
      </c>
      <c r="AL94" s="18" t="s">
        <v>1379</v>
      </c>
      <c r="AM94" s="18"/>
      <c r="AN94" s="18"/>
      <c r="AO94" s="18"/>
      <c r="AP94" s="85" t="s">
        <v>1377</v>
      </c>
      <c r="AQ94" s="18" t="s">
        <v>2909</v>
      </c>
      <c r="AR94" s="14" t="s">
        <v>1932</v>
      </c>
    </row>
    <row r="95" spans="1:44" s="14" customFormat="1" x14ac:dyDescent="0.2">
      <c r="A95" s="18" t="s">
        <v>1837</v>
      </c>
      <c r="B95" s="18"/>
      <c r="C95" s="1" t="s">
        <v>1187</v>
      </c>
      <c r="D95" s="1" t="s">
        <v>1494</v>
      </c>
      <c r="E95" s="1" t="s">
        <v>2538</v>
      </c>
      <c r="F95" s="18" t="s">
        <v>3403</v>
      </c>
      <c r="G95" s="18" t="s">
        <v>2520</v>
      </c>
      <c r="H95" s="3" t="s">
        <v>1257</v>
      </c>
      <c r="I95" s="18"/>
      <c r="J95" s="18"/>
      <c r="K95" s="37" t="s">
        <v>3387</v>
      </c>
      <c r="L95" s="36" t="s">
        <v>977</v>
      </c>
      <c r="M95" s="514"/>
      <c r="N95" s="514">
        <f>IF($C95="","",VLOOKUP($C95,'2017 Pricelist'!$C:$I,7,FALSE))</f>
        <v>29.990000000000002</v>
      </c>
      <c r="O95" s="35">
        <v>1</v>
      </c>
      <c r="P95" s="239">
        <v>10</v>
      </c>
      <c r="Q95" s="44">
        <f>CONVERT(0.127,"kg","lbm")</f>
        <v>0.27998707297479453</v>
      </c>
      <c r="R95" s="441">
        <f>CONVERT(265,"mm","in")</f>
        <v>10.433070866141732</v>
      </c>
      <c r="S95" s="441">
        <f>CONVERT(150,"mm","in")</f>
        <v>5.9055118110236222</v>
      </c>
      <c r="T95" s="442">
        <v>2.5</v>
      </c>
      <c r="U95" s="44">
        <v>0.27998707297479453</v>
      </c>
      <c r="V95" s="33">
        <v>11.125</v>
      </c>
      <c r="W95" s="33">
        <v>1.3125</v>
      </c>
      <c r="X95" s="70">
        <v>1.1875</v>
      </c>
      <c r="Y95" s="90" t="s">
        <v>259</v>
      </c>
      <c r="Z95" s="89" t="s">
        <v>259</v>
      </c>
      <c r="AA95" s="89" t="s">
        <v>259</v>
      </c>
      <c r="AB95" s="249" t="s">
        <v>259</v>
      </c>
      <c r="AC95" s="44">
        <v>2.9872636526050913</v>
      </c>
      <c r="AD95" s="33">
        <v>14.25</v>
      </c>
      <c r="AE95" s="33">
        <v>5</v>
      </c>
      <c r="AF95" s="70">
        <v>2.625</v>
      </c>
      <c r="AG95" s="42">
        <f t="shared" si="15"/>
        <v>0.10823567708333333</v>
      </c>
      <c r="AH95" s="85" t="s">
        <v>1307</v>
      </c>
      <c r="AI95" s="18" t="s">
        <v>1378</v>
      </c>
      <c r="AJ95" s="85" t="s">
        <v>1310</v>
      </c>
      <c r="AK95" s="37" t="s">
        <v>1336</v>
      </c>
      <c r="AL95" s="18" t="s">
        <v>1380</v>
      </c>
      <c r="AM95" s="18"/>
      <c r="AN95" s="18"/>
      <c r="AO95" s="18"/>
      <c r="AP95" s="85" t="s">
        <v>1381</v>
      </c>
      <c r="AQ95" s="18" t="s">
        <v>2909</v>
      </c>
      <c r="AR95" s="14" t="s">
        <v>1932</v>
      </c>
    </row>
    <row r="96" spans="1:44" s="14" customFormat="1" x14ac:dyDescent="0.2">
      <c r="A96" s="18" t="s">
        <v>1837</v>
      </c>
      <c r="B96" s="18"/>
      <c r="C96" s="1" t="s">
        <v>2027</v>
      </c>
      <c r="D96" s="1" t="s">
        <v>1298</v>
      </c>
      <c r="E96" s="1" t="s">
        <v>2028</v>
      </c>
      <c r="F96" s="18" t="s">
        <v>3386</v>
      </c>
      <c r="G96" s="18" t="s">
        <v>2523</v>
      </c>
      <c r="H96" s="47">
        <v>7391846013068</v>
      </c>
      <c r="I96" s="18"/>
      <c r="J96" s="18"/>
      <c r="K96" s="37" t="s">
        <v>3387</v>
      </c>
      <c r="L96" s="36" t="s">
        <v>977</v>
      </c>
      <c r="M96" s="514"/>
      <c r="N96" s="514">
        <f>IF($C96="","",VLOOKUP($C96,'2017 Pricelist'!$C:$I,7,FALSE))</f>
        <v>99.990000000000009</v>
      </c>
      <c r="O96" s="35">
        <v>1</v>
      </c>
      <c r="P96" s="239">
        <v>1</v>
      </c>
      <c r="Q96" s="44">
        <f>CONVERT(0.18,"kg","lbm")</f>
        <v>0.39683207193277964</v>
      </c>
      <c r="R96" s="441">
        <f>CONVERT(198,"mm","in")</f>
        <v>7.7952755905511815</v>
      </c>
      <c r="S96" s="441">
        <f>CONVERT(99,"mm","in")</f>
        <v>3.8976377952755907</v>
      </c>
      <c r="T96" s="442">
        <v>2.7</v>
      </c>
      <c r="U96" s="44">
        <v>0.39683207193277964</v>
      </c>
      <c r="V96" s="121"/>
      <c r="W96" s="121"/>
      <c r="X96" s="122"/>
      <c r="Y96" s="90" t="s">
        <v>259</v>
      </c>
      <c r="Z96" s="89" t="s">
        <v>259</v>
      </c>
      <c r="AA96" s="89" t="s">
        <v>259</v>
      </c>
      <c r="AB96" s="249" t="s">
        <v>259</v>
      </c>
      <c r="AC96" s="44">
        <v>0.35</v>
      </c>
      <c r="AD96" s="33">
        <v>10.375</v>
      </c>
      <c r="AE96" s="33">
        <v>2.25</v>
      </c>
      <c r="AF96" s="70">
        <v>2</v>
      </c>
      <c r="AG96" s="42">
        <f t="shared" si="15"/>
        <v>2.7018229166666668E-2</v>
      </c>
      <c r="AH96" s="460"/>
      <c r="AI96" s="248"/>
      <c r="AJ96" s="460"/>
      <c r="AK96" s="140"/>
      <c r="AL96" s="460"/>
      <c r="AM96" s="460"/>
      <c r="AN96" s="460"/>
      <c r="AO96" s="460"/>
      <c r="AP96" s="460"/>
      <c r="AQ96" s="18" t="s">
        <v>2909</v>
      </c>
      <c r="AR96" s="14" t="s">
        <v>1932</v>
      </c>
    </row>
    <row r="97" spans="1:44" s="14" customFormat="1" x14ac:dyDescent="0.2">
      <c r="A97" s="18" t="s">
        <v>1837</v>
      </c>
      <c r="B97" s="18"/>
      <c r="C97" s="1" t="s">
        <v>1189</v>
      </c>
      <c r="D97" s="1" t="s">
        <v>1494</v>
      </c>
      <c r="E97" s="1" t="s">
        <v>3405</v>
      </c>
      <c r="F97" s="18" t="s">
        <v>3403</v>
      </c>
      <c r="G97" s="18" t="s">
        <v>2520</v>
      </c>
      <c r="H97" s="3" t="s">
        <v>1259</v>
      </c>
      <c r="I97" s="18"/>
      <c r="J97" s="18"/>
      <c r="K97" s="37" t="s">
        <v>1299</v>
      </c>
      <c r="L97" s="36" t="s">
        <v>977</v>
      </c>
      <c r="M97" s="514"/>
      <c r="N97" s="514">
        <f>IF($C97="","",VLOOKUP($C97,'2017 Pricelist'!$C:$I,7,FALSE))</f>
        <v>22.99</v>
      </c>
      <c r="O97" s="35">
        <v>1</v>
      </c>
      <c r="P97" s="239">
        <v>10</v>
      </c>
      <c r="Q97" s="44">
        <f>CONVERT(0.077,"kg","lbm")</f>
        <v>0.16975594188235571</v>
      </c>
      <c r="R97" s="441">
        <f>CONVERT(200,"mm","in")</f>
        <v>7.8740157480314963</v>
      </c>
      <c r="S97" s="441">
        <f>CONVERT(98,"mm","in")</f>
        <v>3.8582677165354329</v>
      </c>
      <c r="T97" s="442">
        <v>2</v>
      </c>
      <c r="U97" s="44">
        <v>0.16975594188235574</v>
      </c>
      <c r="V97" s="33">
        <v>8.875</v>
      </c>
      <c r="W97" s="33">
        <v>1.5</v>
      </c>
      <c r="X97" s="70">
        <v>1.25</v>
      </c>
      <c r="Y97" s="90" t="s">
        <v>259</v>
      </c>
      <c r="Z97" s="89" t="s">
        <v>259</v>
      </c>
      <c r="AA97" s="89" t="s">
        <v>259</v>
      </c>
      <c r="AB97" s="249" t="s">
        <v>259</v>
      </c>
      <c r="AC97" s="44">
        <v>1.918021681008435</v>
      </c>
      <c r="AD97" s="33">
        <v>10.5</v>
      </c>
      <c r="AE97" s="33">
        <v>8.75</v>
      </c>
      <c r="AF97" s="70">
        <v>1.875</v>
      </c>
      <c r="AG97" s="42">
        <f t="shared" si="15"/>
        <v>9.9690755208333329E-2</v>
      </c>
      <c r="AH97" s="85" t="s">
        <v>1388</v>
      </c>
      <c r="AI97" s="18" t="s">
        <v>1378</v>
      </c>
      <c r="AJ97" s="85" t="s">
        <v>1310</v>
      </c>
      <c r="AK97" s="37" t="s">
        <v>1336</v>
      </c>
      <c r="AL97" s="480"/>
      <c r="AM97" s="480"/>
      <c r="AN97" s="480"/>
      <c r="AO97" s="480"/>
      <c r="AP97" s="85" t="s">
        <v>1386</v>
      </c>
      <c r="AQ97" s="18" t="s">
        <v>2909</v>
      </c>
      <c r="AR97" s="14" t="s">
        <v>1932</v>
      </c>
    </row>
    <row r="98" spans="1:44" s="14" customFormat="1" ht="13.5" customHeight="1" x14ac:dyDescent="0.2">
      <c r="A98" s="18" t="s">
        <v>1837</v>
      </c>
      <c r="B98" s="18"/>
      <c r="C98" s="1" t="s">
        <v>1190</v>
      </c>
      <c r="D98" s="1" t="s">
        <v>1494</v>
      </c>
      <c r="E98" s="1" t="s">
        <v>3406</v>
      </c>
      <c r="F98" s="18" t="s">
        <v>3403</v>
      </c>
      <c r="G98" s="18" t="s">
        <v>2520</v>
      </c>
      <c r="H98" s="3" t="s">
        <v>1260</v>
      </c>
      <c r="I98" s="18"/>
      <c r="J98" s="18"/>
      <c r="K98" s="37" t="s">
        <v>1299</v>
      </c>
      <c r="L98" s="36" t="s">
        <v>977</v>
      </c>
      <c r="M98" s="514"/>
      <c r="N98" s="514">
        <f>IF($C98="","",VLOOKUP($C98,'2017 Pricelist'!$C:$I,7,FALSE))</f>
        <v>24.990000000000002</v>
      </c>
      <c r="O98" s="35">
        <v>1</v>
      </c>
      <c r="P98" s="239">
        <v>10</v>
      </c>
      <c r="Q98" s="44">
        <f>CONVERT(0.078,"kg","lbm")</f>
        <v>0.17196056450420449</v>
      </c>
      <c r="R98" s="441">
        <f>CONVERT(215,"mm","in")</f>
        <v>8.4645669291338574</v>
      </c>
      <c r="S98" s="441">
        <f>CONVERT(106,"mm","in")</f>
        <v>4.1732283464566926</v>
      </c>
      <c r="T98" s="442">
        <v>2.5</v>
      </c>
      <c r="U98" s="44" t="s">
        <v>2699</v>
      </c>
      <c r="V98" s="33">
        <v>9</v>
      </c>
      <c r="W98" s="33">
        <v>1.5</v>
      </c>
      <c r="X98" s="70">
        <v>1.125</v>
      </c>
      <c r="Y98" s="90" t="s">
        <v>259</v>
      </c>
      <c r="Z98" s="89" t="s">
        <v>259</v>
      </c>
      <c r="AA98" s="89" t="s">
        <v>259</v>
      </c>
      <c r="AB98" s="249" t="s">
        <v>259</v>
      </c>
      <c r="AC98" s="44">
        <v>2.1495070563025562</v>
      </c>
      <c r="AD98" s="33">
        <v>10.5</v>
      </c>
      <c r="AE98" s="33">
        <v>8.75</v>
      </c>
      <c r="AF98" s="70">
        <v>1.875</v>
      </c>
      <c r="AG98" s="42">
        <f t="shared" si="15"/>
        <v>9.9690755208333329E-2</v>
      </c>
      <c r="AH98" s="85" t="s">
        <v>1388</v>
      </c>
      <c r="AI98" s="18" t="s">
        <v>1378</v>
      </c>
      <c r="AJ98" s="85" t="s">
        <v>1310</v>
      </c>
      <c r="AK98" s="37" t="s">
        <v>1336</v>
      </c>
      <c r="AL98" s="480" t="s">
        <v>1387</v>
      </c>
      <c r="AM98" s="480"/>
      <c r="AN98" s="480"/>
      <c r="AO98" s="480"/>
      <c r="AP98" s="85" t="s">
        <v>1386</v>
      </c>
      <c r="AQ98" s="18" t="s">
        <v>2909</v>
      </c>
      <c r="AR98" s="14" t="s">
        <v>1932</v>
      </c>
    </row>
    <row r="99" spans="1:44" s="14" customFormat="1" x14ac:dyDescent="0.2">
      <c r="A99" s="18" t="s">
        <v>1837</v>
      </c>
      <c r="B99" s="18"/>
      <c r="C99" s="1" t="s">
        <v>3343</v>
      </c>
      <c r="D99" s="1" t="s">
        <v>1494</v>
      </c>
      <c r="E99" s="1" t="s">
        <v>2721</v>
      </c>
      <c r="F99" s="18" t="s">
        <v>3403</v>
      </c>
      <c r="G99" s="18" t="s">
        <v>2557</v>
      </c>
      <c r="H99" s="3" t="s">
        <v>3488</v>
      </c>
      <c r="I99" s="18"/>
      <c r="J99" s="3" t="s">
        <v>3489</v>
      </c>
      <c r="K99" s="37" t="s">
        <v>3407</v>
      </c>
      <c r="L99" s="36" t="s">
        <v>977</v>
      </c>
      <c r="M99" s="514"/>
      <c r="N99" s="514">
        <f>IF($C99="","",VLOOKUP($C99,'2017 Pricelist'!$C:$I,7,FALSE))</f>
        <v>39.99</v>
      </c>
      <c r="O99" s="35">
        <v>1</v>
      </c>
      <c r="P99" s="239">
        <v>12</v>
      </c>
      <c r="Q99" s="44">
        <f>CONVERT(0.151,"kg","lbm")</f>
        <v>0.33289801589916512</v>
      </c>
      <c r="R99" s="441">
        <f>CONVERT(359,"mm","in")</f>
        <v>14.133858267716537</v>
      </c>
      <c r="S99" s="441">
        <f>CONVERT(114,"mm","in")</f>
        <v>4.4881889763779528</v>
      </c>
      <c r="T99" s="442">
        <v>2.5</v>
      </c>
      <c r="U99" s="44"/>
      <c r="V99" s="121"/>
      <c r="W99" s="121"/>
      <c r="X99" s="122"/>
      <c r="Y99" s="90"/>
      <c r="Z99" s="89"/>
      <c r="AA99" s="89"/>
      <c r="AB99" s="249"/>
      <c r="AC99" s="44">
        <v>6.05</v>
      </c>
      <c r="AD99" s="33">
        <v>15.25</v>
      </c>
      <c r="AE99" s="33">
        <v>8.75</v>
      </c>
      <c r="AF99" s="70">
        <v>6.75</v>
      </c>
      <c r="AG99" s="42">
        <f t="shared" si="15"/>
        <v>0.521240234375</v>
      </c>
      <c r="AH99" s="85" t="s">
        <v>1370</v>
      </c>
      <c r="AI99" s="18" t="s">
        <v>1378</v>
      </c>
      <c r="AJ99" s="18"/>
      <c r="AK99" s="37" t="s">
        <v>1448</v>
      </c>
      <c r="AL99" s="85" t="s">
        <v>1371</v>
      </c>
      <c r="AM99" s="85"/>
      <c r="AN99" s="85"/>
      <c r="AO99" s="85"/>
      <c r="AP99" s="85" t="s">
        <v>1369</v>
      </c>
      <c r="AQ99" s="18" t="s">
        <v>2909</v>
      </c>
      <c r="AR99" s="14" t="s">
        <v>1932</v>
      </c>
    </row>
    <row r="100" spans="1:44" s="18" customFormat="1" ht="15.75" x14ac:dyDescent="0.25">
      <c r="A100" s="421" t="s">
        <v>1156</v>
      </c>
      <c r="B100" s="424"/>
      <c r="C100" s="424"/>
      <c r="D100" s="33"/>
      <c r="E100" s="34"/>
      <c r="H100" s="223"/>
      <c r="K100" s="36"/>
      <c r="L100" s="36"/>
      <c r="M100" s="504"/>
      <c r="N100" s="504"/>
      <c r="O100" s="35"/>
      <c r="P100" s="187"/>
      <c r="Q100" s="44"/>
      <c r="R100" s="33"/>
      <c r="S100" s="33"/>
      <c r="T100" s="70"/>
      <c r="U100" s="44"/>
      <c r="V100" s="33"/>
      <c r="W100" s="33"/>
      <c r="X100" s="70"/>
      <c r="Y100" s="44"/>
      <c r="Z100" s="33" t="s">
        <v>1549</v>
      </c>
      <c r="AA100" s="33"/>
      <c r="AB100" s="70"/>
      <c r="AC100" s="44"/>
      <c r="AD100" s="33"/>
      <c r="AE100" s="33"/>
      <c r="AF100" s="70"/>
      <c r="AG100" s="44"/>
    </row>
    <row r="101" spans="1:44" s="18" customFormat="1" x14ac:dyDescent="0.2">
      <c r="A101" s="18" t="s">
        <v>1837</v>
      </c>
      <c r="B101" s="539"/>
      <c r="C101" s="254" t="s">
        <v>4284</v>
      </c>
      <c r="D101" s="1" t="s">
        <v>1550</v>
      </c>
      <c r="E101" s="1" t="s">
        <v>4285</v>
      </c>
      <c r="F101" s="18" t="s">
        <v>4288</v>
      </c>
      <c r="G101" s="18" t="s">
        <v>3619</v>
      </c>
      <c r="H101" s="3" t="s">
        <v>5204</v>
      </c>
      <c r="K101" s="37" t="s">
        <v>3387</v>
      </c>
      <c r="L101" s="36" t="s">
        <v>977</v>
      </c>
      <c r="M101" s="514"/>
      <c r="N101" s="514">
        <f>IF($C101="","",VLOOKUP($C101,'2017 Pricelist'!$C:$I,7,FALSE))</f>
        <v>19.989999999999998</v>
      </c>
      <c r="O101" s="35">
        <v>1</v>
      </c>
      <c r="P101" s="239">
        <v>5</v>
      </c>
      <c r="Q101" s="44">
        <v>0.14000000000000001</v>
      </c>
      <c r="R101" s="33">
        <v>7.375</v>
      </c>
      <c r="S101" s="33">
        <v>2.83</v>
      </c>
      <c r="T101" s="70">
        <v>2</v>
      </c>
      <c r="U101" s="44">
        <v>0.22500000000000001</v>
      </c>
      <c r="V101" s="33">
        <v>11.75</v>
      </c>
      <c r="W101" s="33">
        <v>5.5</v>
      </c>
      <c r="X101" s="70">
        <v>1</v>
      </c>
      <c r="Y101" s="90" t="s">
        <v>259</v>
      </c>
      <c r="Z101" s="89" t="s">
        <v>259</v>
      </c>
      <c r="AA101" s="89" t="s">
        <v>259</v>
      </c>
      <c r="AB101" s="249" t="s">
        <v>259</v>
      </c>
      <c r="AC101" s="44"/>
      <c r="AD101" s="33"/>
      <c r="AE101" s="33"/>
      <c r="AF101" s="70"/>
      <c r="AG101" s="44"/>
      <c r="AH101" s="85" t="s">
        <v>4286</v>
      </c>
      <c r="AI101" s="84" t="s">
        <v>4287</v>
      </c>
      <c r="AJ101" s="85" t="s">
        <v>4289</v>
      </c>
      <c r="AK101" s="37" t="s">
        <v>4290</v>
      </c>
      <c r="AL101" s="85"/>
      <c r="AM101" s="85"/>
      <c r="AN101" s="85"/>
      <c r="AO101" s="85"/>
      <c r="AP101" s="85" t="s">
        <v>4291</v>
      </c>
      <c r="AQ101" s="18" t="s">
        <v>2909</v>
      </c>
      <c r="AR101" s="14" t="s">
        <v>1932</v>
      </c>
    </row>
    <row r="102" spans="1:44" s="518" customFormat="1" x14ac:dyDescent="0.2">
      <c r="A102" s="518" t="s">
        <v>1837</v>
      </c>
      <c r="C102" s="518" t="s">
        <v>4002</v>
      </c>
      <c r="D102" s="518" t="s">
        <v>1298</v>
      </c>
      <c r="E102" s="518" t="s">
        <v>4003</v>
      </c>
      <c r="F102" s="518" t="s">
        <v>3386</v>
      </c>
      <c r="G102" s="518" t="s">
        <v>2523</v>
      </c>
      <c r="H102" s="519">
        <v>7391846018117</v>
      </c>
      <c r="I102" s="537"/>
      <c r="J102" s="519">
        <v>7391846018582</v>
      </c>
      <c r="L102" s="518" t="s">
        <v>977</v>
      </c>
      <c r="M102" s="514"/>
      <c r="N102" s="514">
        <f>IF($C102="","",VLOOKUP($C102,'2017 Pricelist'!$C:$I,7,FALSE))</f>
        <v>34.99</v>
      </c>
      <c r="O102" s="518">
        <v>1</v>
      </c>
      <c r="P102" s="538">
        <v>5</v>
      </c>
      <c r="Q102" s="518">
        <v>0.44</v>
      </c>
      <c r="R102" s="518">
        <v>9.0500000000000007</v>
      </c>
      <c r="S102" s="518">
        <v>2.36</v>
      </c>
      <c r="T102" s="538">
        <v>2.7</v>
      </c>
      <c r="U102" s="518">
        <v>0.51</v>
      </c>
      <c r="V102" s="518">
        <v>8.26</v>
      </c>
      <c r="W102" s="518">
        <v>4.72</v>
      </c>
      <c r="X102" s="518">
        <v>1.9</v>
      </c>
      <c r="Y102" s="90" t="s">
        <v>259</v>
      </c>
      <c r="Z102" s="89" t="s">
        <v>259</v>
      </c>
      <c r="AA102" s="89" t="s">
        <v>259</v>
      </c>
      <c r="AB102" s="249" t="s">
        <v>259</v>
      </c>
      <c r="AH102" s="518" t="s">
        <v>4177</v>
      </c>
      <c r="AI102" s="518" t="s">
        <v>4180</v>
      </c>
      <c r="AJ102" s="518" t="s">
        <v>4178</v>
      </c>
      <c r="AK102" s="518" t="s">
        <v>4179</v>
      </c>
      <c r="AP102" s="518" t="s">
        <v>4176</v>
      </c>
      <c r="AQ102" s="18" t="s">
        <v>2909</v>
      </c>
      <c r="AR102" s="14" t="s">
        <v>1932</v>
      </c>
    </row>
    <row r="103" spans="1:44" s="14" customFormat="1" x14ac:dyDescent="0.2">
      <c r="A103" s="18" t="s">
        <v>1837</v>
      </c>
      <c r="B103" s="18"/>
      <c r="C103" s="1" t="s">
        <v>1191</v>
      </c>
      <c r="D103" s="1" t="s">
        <v>1494</v>
      </c>
      <c r="E103" s="1" t="s">
        <v>3408</v>
      </c>
      <c r="F103" s="18" t="s">
        <v>484</v>
      </c>
      <c r="G103" s="18" t="s">
        <v>3344</v>
      </c>
      <c r="H103" s="3" t="s">
        <v>1261</v>
      </c>
      <c r="I103" s="18"/>
      <c r="J103" s="18"/>
      <c r="K103" s="37" t="s">
        <v>1299</v>
      </c>
      <c r="L103" s="36" t="s">
        <v>977</v>
      </c>
      <c r="M103" s="514"/>
      <c r="N103" s="514">
        <v>17.989999999999998</v>
      </c>
      <c r="O103" s="35">
        <v>1</v>
      </c>
      <c r="P103" s="239">
        <v>15</v>
      </c>
      <c r="Q103" s="33">
        <f>CONVERT(0.08,"kg","lbm")</f>
        <v>0.17636980974790206</v>
      </c>
      <c r="R103" s="441">
        <f>CONVERT(190,"mm","in")</f>
        <v>7.4803149606299213</v>
      </c>
      <c r="S103" s="441">
        <f>CONVERT(80,"mm","in")</f>
        <v>3.1496062992125986</v>
      </c>
      <c r="T103" s="442">
        <v>2</v>
      </c>
      <c r="U103" s="44">
        <v>0.17636980974790206</v>
      </c>
      <c r="V103" s="33">
        <v>9</v>
      </c>
      <c r="W103" s="33">
        <v>1.4</v>
      </c>
      <c r="X103" s="70">
        <v>1.25</v>
      </c>
      <c r="Y103" s="90" t="s">
        <v>259</v>
      </c>
      <c r="Z103" s="89" t="s">
        <v>259</v>
      </c>
      <c r="AA103" s="89" t="s">
        <v>259</v>
      </c>
      <c r="AB103" s="249" t="s">
        <v>259</v>
      </c>
      <c r="AC103" s="44">
        <v>3.1</v>
      </c>
      <c r="AD103" s="33">
        <v>9.75</v>
      </c>
      <c r="AE103" s="33">
        <v>5</v>
      </c>
      <c r="AF103" s="70">
        <v>10.25</v>
      </c>
      <c r="AG103" s="42">
        <f>AD103*AE103*AF103/(12^3)</f>
        <v>0.28917100694444442</v>
      </c>
      <c r="AH103" s="85" t="s">
        <v>4259</v>
      </c>
      <c r="AI103" s="18" t="s">
        <v>1360</v>
      </c>
      <c r="AJ103" s="85" t="s">
        <v>1362</v>
      </c>
      <c r="AK103" s="37" t="s">
        <v>1391</v>
      </c>
      <c r="AL103" s="18" t="s">
        <v>1392</v>
      </c>
      <c r="AM103" s="18"/>
      <c r="AN103" s="18"/>
      <c r="AO103" s="18"/>
      <c r="AP103" s="85" t="s">
        <v>1393</v>
      </c>
      <c r="AQ103" s="18" t="s">
        <v>2909</v>
      </c>
      <c r="AR103" s="14" t="s">
        <v>1932</v>
      </c>
    </row>
    <row r="104" spans="1:44" s="14" customFormat="1" x14ac:dyDescent="0.2">
      <c r="A104" s="18" t="s">
        <v>1837</v>
      </c>
      <c r="B104" s="18"/>
      <c r="C104" s="1" t="s">
        <v>4255</v>
      </c>
      <c r="D104" s="1" t="s">
        <v>1550</v>
      </c>
      <c r="E104" t="s">
        <v>4256</v>
      </c>
      <c r="F104" s="18" t="s">
        <v>484</v>
      </c>
      <c r="G104" s="18" t="s">
        <v>3344</v>
      </c>
      <c r="H104" s="3" t="s">
        <v>4257</v>
      </c>
      <c r="I104" s="18"/>
      <c r="J104" s="18"/>
      <c r="K104" s="37" t="s">
        <v>1299</v>
      </c>
      <c r="L104" s="36" t="s">
        <v>977</v>
      </c>
      <c r="M104" s="514"/>
      <c r="N104" s="514">
        <f>IF($C104="","",VLOOKUP($C104,'2017 Pricelist'!$C:$I,7,FALSE))</f>
        <v>19.989999999999998</v>
      </c>
      <c r="O104" s="35">
        <v>1</v>
      </c>
      <c r="P104" s="239">
        <v>15</v>
      </c>
      <c r="Q104" s="33">
        <v>0.17499999999999999</v>
      </c>
      <c r="R104" s="441">
        <v>7.5</v>
      </c>
      <c r="S104" s="441">
        <v>2.95</v>
      </c>
      <c r="T104" s="442">
        <v>2</v>
      </c>
      <c r="U104" s="44">
        <v>0.18</v>
      </c>
      <c r="V104" s="33">
        <v>9</v>
      </c>
      <c r="W104" s="33">
        <v>1.4</v>
      </c>
      <c r="X104" s="70">
        <v>1.25</v>
      </c>
      <c r="Y104" s="90"/>
      <c r="Z104" s="89"/>
      <c r="AA104" s="89"/>
      <c r="AB104" s="249"/>
      <c r="AC104" s="44"/>
      <c r="AD104" s="33"/>
      <c r="AE104" s="33"/>
      <c r="AF104" s="70"/>
      <c r="AG104" s="42"/>
      <c r="AH104" s="85" t="s">
        <v>4258</v>
      </c>
      <c r="AI104" s="18" t="s">
        <v>1360</v>
      </c>
      <c r="AJ104" s="85" t="s">
        <v>1362</v>
      </c>
      <c r="AK104" s="37" t="s">
        <v>1391</v>
      </c>
      <c r="AL104" s="18" t="s">
        <v>4260</v>
      </c>
      <c r="AM104" s="18"/>
      <c r="AN104" s="18"/>
      <c r="AO104" s="18"/>
      <c r="AP104" s="85" t="s">
        <v>4261</v>
      </c>
      <c r="AQ104" s="18" t="s">
        <v>2909</v>
      </c>
      <c r="AR104" s="14" t="s">
        <v>1932</v>
      </c>
    </row>
    <row r="105" spans="1:44" s="14" customFormat="1" ht="12.75" customHeight="1" x14ac:dyDescent="0.2">
      <c r="A105" s="18" t="s">
        <v>1837</v>
      </c>
      <c r="B105" s="18"/>
      <c r="C105" s="84" t="s">
        <v>1936</v>
      </c>
      <c r="D105" s="1" t="s">
        <v>1494</v>
      </c>
      <c r="E105" s="84" t="s">
        <v>3409</v>
      </c>
      <c r="F105" s="18" t="s">
        <v>3386</v>
      </c>
      <c r="G105" s="18" t="s">
        <v>3619</v>
      </c>
      <c r="H105" s="109">
        <v>7391846009214</v>
      </c>
      <c r="I105" s="18"/>
      <c r="J105" s="18"/>
      <c r="K105" s="37" t="s">
        <v>3407</v>
      </c>
      <c r="L105" s="36" t="s">
        <v>977</v>
      </c>
      <c r="M105" s="514"/>
      <c r="N105" s="514">
        <f>IF($C105="","",VLOOKUP($C105,'2017 Pricelist'!$C:$I,7,FALSE))</f>
        <v>25.990000000000002</v>
      </c>
      <c r="O105" s="35">
        <v>1</v>
      </c>
      <c r="P105" s="239">
        <v>5</v>
      </c>
      <c r="Q105" s="44">
        <f>CONVERT(0.051,"kg","lbm")</f>
        <v>0.11243575371428756</v>
      </c>
      <c r="R105" s="441">
        <f>CONVERT(170,"mm","in")</f>
        <v>6.6929133858267713</v>
      </c>
      <c r="S105" s="441">
        <f>CONVERT(76,"mm","in")</f>
        <v>2.9921259842519685</v>
      </c>
      <c r="T105" s="442">
        <v>2.5</v>
      </c>
      <c r="U105" s="44">
        <v>0.23148537529412144</v>
      </c>
      <c r="V105" s="33">
        <v>5.5</v>
      </c>
      <c r="W105" s="33">
        <v>1.25</v>
      </c>
      <c r="X105" s="70">
        <v>11.8125</v>
      </c>
      <c r="Y105" s="90" t="s">
        <v>259</v>
      </c>
      <c r="Z105" s="89" t="s">
        <v>259</v>
      </c>
      <c r="AA105" s="89" t="s">
        <v>259</v>
      </c>
      <c r="AB105" s="249" t="s">
        <v>259</v>
      </c>
      <c r="AC105" s="44">
        <v>1.4</v>
      </c>
      <c r="AD105" s="33">
        <v>12</v>
      </c>
      <c r="AE105" s="33">
        <v>5.75</v>
      </c>
      <c r="AF105" s="70">
        <v>5.75</v>
      </c>
      <c r="AG105" s="42">
        <f>AD105*AE105*AF105/(12^3)</f>
        <v>0.22960069444444445</v>
      </c>
      <c r="AH105" s="140"/>
      <c r="AI105" s="140"/>
      <c r="AJ105" s="140"/>
      <c r="AK105" s="140"/>
      <c r="AL105" s="463"/>
      <c r="AM105" s="463"/>
      <c r="AN105" s="463"/>
      <c r="AO105" s="463"/>
      <c r="AP105" s="464"/>
      <c r="AQ105" s="18" t="s">
        <v>2909</v>
      </c>
      <c r="AR105" s="14" t="s">
        <v>1932</v>
      </c>
    </row>
    <row r="106" spans="1:44" s="14" customFormat="1" x14ac:dyDescent="0.2">
      <c r="A106" s="18" t="s">
        <v>1837</v>
      </c>
      <c r="B106" s="18"/>
      <c r="C106" s="1" t="s">
        <v>1195</v>
      </c>
      <c r="D106" s="1" t="s">
        <v>1298</v>
      </c>
      <c r="E106" s="1" t="s">
        <v>3414</v>
      </c>
      <c r="F106" s="18" t="s">
        <v>3386</v>
      </c>
      <c r="G106" s="18" t="s">
        <v>2520</v>
      </c>
      <c r="H106" s="3" t="s">
        <v>1265</v>
      </c>
      <c r="I106" s="18"/>
      <c r="J106" s="18"/>
      <c r="K106" s="37" t="s">
        <v>3407</v>
      </c>
      <c r="L106" s="36" t="s">
        <v>977</v>
      </c>
      <c r="M106" s="514"/>
      <c r="N106" s="514">
        <f>IF($C106="","",VLOOKUP($C106,'2017 Pricelist'!$C:$I,7,FALSE))</f>
        <v>34.99</v>
      </c>
      <c r="O106" s="35">
        <v>1</v>
      </c>
      <c r="P106" s="239">
        <v>10</v>
      </c>
      <c r="Q106" s="44">
        <f>CONVERT(0.073,"kg","lbm")</f>
        <v>0.16093745139496063</v>
      </c>
      <c r="R106" s="441">
        <f>CONVERT(200,"mm","in")</f>
        <v>7.8740157480314963</v>
      </c>
      <c r="S106" s="441">
        <f>CONVERT(79,"mm","in")</f>
        <v>3.1102362204724407</v>
      </c>
      <c r="T106" s="442">
        <v>2.7</v>
      </c>
      <c r="U106" s="44" t="s">
        <v>2695</v>
      </c>
      <c r="V106" s="33">
        <v>8</v>
      </c>
      <c r="W106" s="33">
        <v>1.25</v>
      </c>
      <c r="X106" s="70">
        <v>0.875</v>
      </c>
      <c r="Y106" s="90" t="s">
        <v>259</v>
      </c>
      <c r="Z106" s="89" t="s">
        <v>259</v>
      </c>
      <c r="AA106" s="89" t="s">
        <v>259</v>
      </c>
      <c r="AB106" s="249" t="s">
        <v>259</v>
      </c>
      <c r="AC106" s="44">
        <v>1.631420740168094</v>
      </c>
      <c r="AD106" s="33">
        <v>9.25</v>
      </c>
      <c r="AE106" s="33">
        <v>3.875</v>
      </c>
      <c r="AF106" s="70">
        <v>3.125</v>
      </c>
      <c r="AG106" s="42">
        <f>AD106*AE106*AF106/(12^3)</f>
        <v>6.4821596498842587E-2</v>
      </c>
      <c r="AH106" s="85" t="s">
        <v>1394</v>
      </c>
      <c r="AI106" s="18" t="s">
        <v>1366</v>
      </c>
      <c r="AJ106" s="18"/>
      <c r="AK106" s="37" t="s">
        <v>1391</v>
      </c>
      <c r="AL106" s="18"/>
      <c r="AM106" s="18"/>
      <c r="AN106" s="18"/>
      <c r="AO106" s="18"/>
      <c r="AP106" s="18"/>
      <c r="AQ106" s="18" t="s">
        <v>2909</v>
      </c>
      <c r="AR106" s="14" t="s">
        <v>1932</v>
      </c>
    </row>
    <row r="107" spans="1:44" s="14" customFormat="1" x14ac:dyDescent="0.2">
      <c r="A107" s="18" t="s">
        <v>1837</v>
      </c>
      <c r="B107" s="18"/>
      <c r="C107" s="1" t="s">
        <v>1192</v>
      </c>
      <c r="D107" s="1" t="s">
        <v>1298</v>
      </c>
      <c r="E107" s="1" t="s">
        <v>3415</v>
      </c>
      <c r="F107" s="18" t="s">
        <v>3386</v>
      </c>
      <c r="G107" s="18" t="s">
        <v>2520</v>
      </c>
      <c r="H107" s="3" t="s">
        <v>1262</v>
      </c>
      <c r="I107" s="18"/>
      <c r="J107" s="18"/>
      <c r="K107" s="37" t="s">
        <v>3407</v>
      </c>
      <c r="L107" s="36" t="s">
        <v>977</v>
      </c>
      <c r="M107" s="514"/>
      <c r="N107" s="514">
        <f>IF($C107="","",VLOOKUP($C107,'2017 Pricelist'!$C:$I,7,FALSE))</f>
        <v>34.99</v>
      </c>
      <c r="O107" s="35">
        <v>1</v>
      </c>
      <c r="P107" s="239">
        <v>10</v>
      </c>
      <c r="Q107" s="44">
        <f>CONVERT(0.076,"kg","lbm")</f>
        <v>0.16755131926050695</v>
      </c>
      <c r="R107" s="441">
        <f>CONVERT(190,"mm","in")</f>
        <v>7.4803149606299213</v>
      </c>
      <c r="S107" s="441">
        <f>CONVERT(82,"mm","in")</f>
        <v>3.2283464566929134</v>
      </c>
      <c r="T107" s="442">
        <v>2.7</v>
      </c>
      <c r="U107" s="44">
        <v>0.16755131926050695</v>
      </c>
      <c r="V107" s="33">
        <v>9.125</v>
      </c>
      <c r="W107" s="33">
        <v>1.3125</v>
      </c>
      <c r="X107" s="70">
        <v>1.0625</v>
      </c>
      <c r="Y107" s="90" t="s">
        <v>259</v>
      </c>
      <c r="Z107" s="89" t="s">
        <v>259</v>
      </c>
      <c r="AA107" s="89" t="s">
        <v>259</v>
      </c>
      <c r="AB107" s="249" t="s">
        <v>259</v>
      </c>
      <c r="AC107" s="44">
        <v>1.7636980974790206</v>
      </c>
      <c r="AD107" s="33">
        <v>10.5</v>
      </c>
      <c r="AE107" s="33">
        <v>8.75</v>
      </c>
      <c r="AF107" s="70">
        <v>1.875</v>
      </c>
      <c r="AG107" s="42">
        <f>AD107*AE107*AF107/(12^3)</f>
        <v>9.9690755208333329E-2</v>
      </c>
      <c r="AH107" s="85" t="s">
        <v>1394</v>
      </c>
      <c r="AI107" s="18" t="s">
        <v>1366</v>
      </c>
      <c r="AJ107" s="85" t="s">
        <v>1395</v>
      </c>
      <c r="AK107" s="37" t="s">
        <v>1391</v>
      </c>
      <c r="AL107" s="18" t="s">
        <v>1397</v>
      </c>
      <c r="AM107" s="18"/>
      <c r="AN107" s="18"/>
      <c r="AO107" s="18"/>
      <c r="AP107" s="85" t="s">
        <v>1396</v>
      </c>
      <c r="AQ107" s="18" t="s">
        <v>2909</v>
      </c>
      <c r="AR107" s="14" t="s">
        <v>1932</v>
      </c>
    </row>
    <row r="108" spans="1:44" s="14" customFormat="1" x14ac:dyDescent="0.2">
      <c r="A108" s="18" t="s">
        <v>1837</v>
      </c>
      <c r="B108" s="18"/>
      <c r="C108" s="1" t="s">
        <v>1193</v>
      </c>
      <c r="D108" s="1" t="s">
        <v>1298</v>
      </c>
      <c r="E108" s="1" t="s">
        <v>3416</v>
      </c>
      <c r="F108" s="18" t="s">
        <v>3386</v>
      </c>
      <c r="G108" s="18" t="s">
        <v>2520</v>
      </c>
      <c r="H108" s="3" t="s">
        <v>1263</v>
      </c>
      <c r="I108" s="18"/>
      <c r="J108" s="18"/>
      <c r="K108" s="37" t="s">
        <v>3407</v>
      </c>
      <c r="L108" s="36" t="s">
        <v>977</v>
      </c>
      <c r="M108" s="514"/>
      <c r="N108" s="514">
        <f>IF($C108="","",VLOOKUP($C108,'2017 Pricelist'!$C:$I,7,FALSE))</f>
        <v>34.99</v>
      </c>
      <c r="O108" s="35">
        <v>1</v>
      </c>
      <c r="P108" s="239">
        <v>10</v>
      </c>
      <c r="Q108" s="44">
        <f>CONVERT(0.069,"kg","lbm")</f>
        <v>0.15211896090756555</v>
      </c>
      <c r="R108" s="441">
        <f>CONVERT(165,"mm","in")</f>
        <v>6.4960629921259843</v>
      </c>
      <c r="S108" s="441">
        <f>CONVERT(60,"mm","in")</f>
        <v>2.3622047244094486</v>
      </c>
      <c r="T108" s="442">
        <v>2.7</v>
      </c>
      <c r="U108" s="44">
        <v>0.15211896090756552</v>
      </c>
      <c r="V108" s="33">
        <v>9.125</v>
      </c>
      <c r="W108" s="33">
        <v>1.25</v>
      </c>
      <c r="X108" s="70">
        <v>1.0625</v>
      </c>
      <c r="Y108" s="90" t="s">
        <v>259</v>
      </c>
      <c r="Z108" s="89" t="s">
        <v>259</v>
      </c>
      <c r="AA108" s="89" t="s">
        <v>259</v>
      </c>
      <c r="AB108" s="249" t="s">
        <v>259</v>
      </c>
      <c r="AC108" s="44">
        <v>1.6644900794958257</v>
      </c>
      <c r="AD108" s="33">
        <v>10.5</v>
      </c>
      <c r="AE108" s="33">
        <v>8.75</v>
      </c>
      <c r="AF108" s="70">
        <v>1.875</v>
      </c>
      <c r="AG108" s="42">
        <f>AD108*AE108*AF108/(12^3)</f>
        <v>9.9690755208333329E-2</v>
      </c>
      <c r="AH108" s="85" t="s">
        <v>1394</v>
      </c>
      <c r="AI108" s="18" t="s">
        <v>1366</v>
      </c>
      <c r="AJ108" s="85" t="s">
        <v>1362</v>
      </c>
      <c r="AK108" s="37" t="s">
        <v>1391</v>
      </c>
      <c r="AL108" s="18" t="s">
        <v>1398</v>
      </c>
      <c r="AM108" s="18"/>
      <c r="AN108" s="18"/>
      <c r="AO108" s="18"/>
      <c r="AP108" s="85" t="s">
        <v>1396</v>
      </c>
      <c r="AQ108" s="18" t="s">
        <v>2909</v>
      </c>
      <c r="AR108" s="14" t="s">
        <v>1932</v>
      </c>
    </row>
    <row r="109" spans="1:44" s="14" customFormat="1" x14ac:dyDescent="0.2">
      <c r="A109" s="18" t="s">
        <v>1837</v>
      </c>
      <c r="B109" s="18"/>
      <c r="C109" s="1" t="s">
        <v>1194</v>
      </c>
      <c r="D109" s="1" t="s">
        <v>1298</v>
      </c>
      <c r="E109" s="1" t="s">
        <v>3417</v>
      </c>
      <c r="F109" s="18" t="s">
        <v>3386</v>
      </c>
      <c r="G109" s="18" t="s">
        <v>2520</v>
      </c>
      <c r="H109" s="3" t="s">
        <v>1264</v>
      </c>
      <c r="I109" s="18"/>
      <c r="J109" s="18"/>
      <c r="K109" s="37" t="s">
        <v>3407</v>
      </c>
      <c r="L109" s="36" t="s">
        <v>977</v>
      </c>
      <c r="M109" s="514"/>
      <c r="N109" s="514">
        <f>IF($C109="","",VLOOKUP($C109,'2017 Pricelist'!$C:$I,7,FALSE))</f>
        <v>34.99</v>
      </c>
      <c r="O109" s="35">
        <v>1</v>
      </c>
      <c r="P109" s="239">
        <v>10</v>
      </c>
      <c r="Q109" s="44">
        <f>CONVERT(0.0643,"kg","lbm")</f>
        <v>0.14175723458487627</v>
      </c>
      <c r="R109" s="441">
        <f>CONVERT(170,"mm","in")</f>
        <v>6.6929133858267713</v>
      </c>
      <c r="S109" s="441">
        <f>CONVERT(59,"mm","in")</f>
        <v>2.3228346456692912</v>
      </c>
      <c r="T109" s="442">
        <v>2.7</v>
      </c>
      <c r="U109" s="44">
        <v>0.14770971566386798</v>
      </c>
      <c r="V109" s="33">
        <v>9.25</v>
      </c>
      <c r="W109" s="33">
        <v>1.25</v>
      </c>
      <c r="X109" s="70">
        <v>1.0625</v>
      </c>
      <c r="Y109" s="90" t="s">
        <v>259</v>
      </c>
      <c r="Z109" s="89" t="s">
        <v>259</v>
      </c>
      <c r="AA109" s="89" t="s">
        <v>259</v>
      </c>
      <c r="AB109" s="249" t="s">
        <v>259</v>
      </c>
      <c r="AC109" s="44">
        <v>1.631420740168094</v>
      </c>
      <c r="AD109" s="33">
        <v>10.5</v>
      </c>
      <c r="AE109" s="33">
        <v>8.75</v>
      </c>
      <c r="AF109" s="70">
        <v>1.875</v>
      </c>
      <c r="AG109" s="42">
        <f>AD109*AE109*AF109/(12^3)</f>
        <v>9.9690755208333329E-2</v>
      </c>
      <c r="AH109" s="85" t="s">
        <v>1394</v>
      </c>
      <c r="AI109" s="18" t="s">
        <v>1366</v>
      </c>
      <c r="AJ109" s="18"/>
      <c r="AK109" s="37" t="s">
        <v>1391</v>
      </c>
      <c r="AL109" s="18"/>
      <c r="AM109" s="18"/>
      <c r="AN109" s="18"/>
      <c r="AO109" s="18"/>
      <c r="AP109" s="18"/>
      <c r="AQ109" s="18" t="s">
        <v>2909</v>
      </c>
      <c r="AR109" s="14" t="s">
        <v>1932</v>
      </c>
    </row>
    <row r="110" spans="1:44" s="14" customFormat="1" x14ac:dyDescent="0.2">
      <c r="A110" s="18" t="s">
        <v>1837</v>
      </c>
      <c r="B110" s="18"/>
      <c r="C110" s="1" t="s">
        <v>4223</v>
      </c>
      <c r="D110" s="1" t="s">
        <v>1550</v>
      </c>
      <c r="E110" s="1" t="s">
        <v>4229</v>
      </c>
      <c r="F110" s="18" t="s">
        <v>3386</v>
      </c>
      <c r="G110" s="18" t="s">
        <v>2520</v>
      </c>
      <c r="H110" s="3" t="s">
        <v>4232</v>
      </c>
      <c r="I110" s="18"/>
      <c r="J110" s="18"/>
      <c r="K110" s="37" t="s">
        <v>3407</v>
      </c>
      <c r="L110" s="36" t="s">
        <v>977</v>
      </c>
      <c r="M110" s="514">
        <v>29.99</v>
      </c>
      <c r="N110" s="514">
        <f>IF($C110="","",VLOOKUP($C110,'2017 Pricelist'!$C:$I,7,FALSE))</f>
        <v>39.99</v>
      </c>
      <c r="O110" s="35">
        <v>1</v>
      </c>
      <c r="P110" s="239">
        <v>10</v>
      </c>
      <c r="Q110" s="44"/>
      <c r="R110" s="441"/>
      <c r="S110" s="441"/>
      <c r="T110" s="442"/>
      <c r="U110" s="44"/>
      <c r="V110" s="33"/>
      <c r="W110" s="33"/>
      <c r="X110" s="70"/>
      <c r="Y110" s="90"/>
      <c r="Z110" s="89"/>
      <c r="AA110" s="89"/>
      <c r="AB110" s="249"/>
      <c r="AC110" s="44"/>
      <c r="AD110" s="33"/>
      <c r="AE110" s="33"/>
      <c r="AF110" s="70"/>
      <c r="AG110" s="42"/>
      <c r="AH110" s="85" t="s">
        <v>4252</v>
      </c>
      <c r="AI110" s="18" t="s">
        <v>1366</v>
      </c>
      <c r="AJ110" s="574" t="s">
        <v>1403</v>
      </c>
      <c r="AK110" s="37" t="s">
        <v>1391</v>
      </c>
      <c r="AL110" s="18"/>
      <c r="AM110" s="18"/>
      <c r="AN110" s="18"/>
      <c r="AO110" s="18"/>
      <c r="AP110" s="85" t="s">
        <v>4254</v>
      </c>
      <c r="AQ110" s="18" t="s">
        <v>2909</v>
      </c>
      <c r="AR110" s="14" t="s">
        <v>1932</v>
      </c>
    </row>
    <row r="111" spans="1:44" s="14" customFormat="1" x14ac:dyDescent="0.2">
      <c r="A111" s="18" t="s">
        <v>1837</v>
      </c>
      <c r="B111" s="18"/>
      <c r="C111" s="1" t="s">
        <v>4224</v>
      </c>
      <c r="D111" s="1" t="s">
        <v>1550</v>
      </c>
      <c r="E111" s="1" t="s">
        <v>4229</v>
      </c>
      <c r="F111" s="18" t="s">
        <v>3386</v>
      </c>
      <c r="G111" s="18" t="s">
        <v>2514</v>
      </c>
      <c r="H111" s="3" t="s">
        <v>4233</v>
      </c>
      <c r="I111" s="18"/>
      <c r="J111" s="18"/>
      <c r="K111" s="37" t="s">
        <v>3407</v>
      </c>
      <c r="L111" s="36" t="s">
        <v>977</v>
      </c>
      <c r="M111" s="514">
        <v>29.99</v>
      </c>
      <c r="N111" s="514">
        <f>IF($C111="","",VLOOKUP($C111,'2017 Pricelist'!$C:$I,7,FALSE))</f>
        <v>39.99</v>
      </c>
      <c r="O111" s="35">
        <v>1</v>
      </c>
      <c r="P111" s="239">
        <v>5</v>
      </c>
      <c r="Q111" s="44"/>
      <c r="R111" s="441"/>
      <c r="S111" s="441"/>
      <c r="T111" s="442"/>
      <c r="U111" s="44"/>
      <c r="V111" s="33"/>
      <c r="W111" s="33"/>
      <c r="X111" s="70"/>
      <c r="Y111" s="90"/>
      <c r="Z111" s="89"/>
      <c r="AA111" s="89"/>
      <c r="AB111" s="249"/>
      <c r="AC111" s="44"/>
      <c r="AD111" s="33"/>
      <c r="AE111" s="33"/>
      <c r="AF111" s="70"/>
      <c r="AG111" s="42"/>
      <c r="AH111" s="85" t="s">
        <v>4252</v>
      </c>
      <c r="AI111" s="18" t="s">
        <v>1366</v>
      </c>
      <c r="AJ111" s="574" t="s">
        <v>1403</v>
      </c>
      <c r="AK111" s="37" t="s">
        <v>1391</v>
      </c>
      <c r="AL111" s="18"/>
      <c r="AM111" s="18"/>
      <c r="AN111" s="18"/>
      <c r="AO111" s="18"/>
      <c r="AP111" s="85" t="s">
        <v>4254</v>
      </c>
      <c r="AQ111" s="18" t="s">
        <v>2909</v>
      </c>
      <c r="AR111" s="14" t="s">
        <v>1932</v>
      </c>
    </row>
    <row r="112" spans="1:44" s="14" customFormat="1" ht="12.75" customHeight="1" x14ac:dyDescent="0.2">
      <c r="A112" s="18" t="s">
        <v>1837</v>
      </c>
      <c r="B112" s="18"/>
      <c r="C112" s="1" t="s">
        <v>4225</v>
      </c>
      <c r="D112" s="1" t="s">
        <v>1550</v>
      </c>
      <c r="E112" s="1" t="s">
        <v>4230</v>
      </c>
      <c r="F112" s="18" t="s">
        <v>3386</v>
      </c>
      <c r="G112" s="18" t="s">
        <v>2520</v>
      </c>
      <c r="H112" s="3" t="s">
        <v>4234</v>
      </c>
      <c r="I112" s="18"/>
      <c r="J112" s="18"/>
      <c r="K112" s="37" t="s">
        <v>3407</v>
      </c>
      <c r="L112" s="36" t="s">
        <v>977</v>
      </c>
      <c r="M112" s="514">
        <v>29.99</v>
      </c>
      <c r="N112" s="514">
        <f>IF($C112="","",VLOOKUP($C112,'2017 Pricelist'!$C:$I,7,FALSE))</f>
        <v>39.99</v>
      </c>
      <c r="O112" s="35">
        <v>1</v>
      </c>
      <c r="P112" s="239">
        <v>10</v>
      </c>
      <c r="Q112" s="44"/>
      <c r="R112" s="441"/>
      <c r="S112" s="441"/>
      <c r="T112" s="442"/>
      <c r="U112" s="44"/>
      <c r="V112" s="33"/>
      <c r="W112" s="33"/>
      <c r="X112" s="70"/>
      <c r="Y112" s="90"/>
      <c r="Z112" s="89"/>
      <c r="AA112" s="89"/>
      <c r="AB112" s="249"/>
      <c r="AC112" s="44"/>
      <c r="AD112" s="33"/>
      <c r="AE112" s="33"/>
      <c r="AF112" s="70"/>
      <c r="AG112" s="42"/>
      <c r="AH112" s="85" t="s">
        <v>4252</v>
      </c>
      <c r="AI112" s="18" t="s">
        <v>1366</v>
      </c>
      <c r="AJ112" s="18" t="s">
        <v>1404</v>
      </c>
      <c r="AK112" s="37" t="s">
        <v>1391</v>
      </c>
      <c r="AL112" s="18"/>
      <c r="AM112" s="18"/>
      <c r="AN112" s="18"/>
      <c r="AO112" s="18"/>
      <c r="AP112" s="555" t="s">
        <v>4253</v>
      </c>
      <c r="AQ112" s="18" t="s">
        <v>2909</v>
      </c>
      <c r="AR112" s="14" t="s">
        <v>1932</v>
      </c>
    </row>
    <row r="113" spans="1:44" s="14" customFormat="1" ht="12.75" customHeight="1" x14ac:dyDescent="0.2">
      <c r="A113" s="18" t="s">
        <v>1837</v>
      </c>
      <c r="B113" s="18"/>
      <c r="C113" s="1" t="s">
        <v>4226</v>
      </c>
      <c r="D113" s="1" t="s">
        <v>1550</v>
      </c>
      <c r="E113" s="1" t="s">
        <v>4230</v>
      </c>
      <c r="F113" s="18" t="s">
        <v>3386</v>
      </c>
      <c r="G113" s="18" t="s">
        <v>2514</v>
      </c>
      <c r="H113" s="3" t="s">
        <v>4235</v>
      </c>
      <c r="I113" s="18"/>
      <c r="J113" s="18"/>
      <c r="K113" s="37" t="s">
        <v>3407</v>
      </c>
      <c r="L113" s="36" t="s">
        <v>977</v>
      </c>
      <c r="M113" s="514">
        <v>29.99</v>
      </c>
      <c r="N113" s="514">
        <f>IF($C113="","",VLOOKUP($C113,'2017 Pricelist'!$C:$I,7,FALSE))</f>
        <v>39.99</v>
      </c>
      <c r="O113" s="35">
        <v>1</v>
      </c>
      <c r="P113" s="239">
        <v>5</v>
      </c>
      <c r="Q113" s="44"/>
      <c r="R113" s="441"/>
      <c r="S113" s="441"/>
      <c r="T113" s="442"/>
      <c r="U113" s="44"/>
      <c r="V113" s="33"/>
      <c r="W113" s="33"/>
      <c r="X113" s="70"/>
      <c r="Y113" s="90"/>
      <c r="Z113" s="89"/>
      <c r="AA113" s="89"/>
      <c r="AB113" s="249"/>
      <c r="AC113" s="44"/>
      <c r="AD113" s="33"/>
      <c r="AE113" s="33"/>
      <c r="AF113" s="70"/>
      <c r="AG113" s="42"/>
      <c r="AH113" s="85" t="s">
        <v>4252</v>
      </c>
      <c r="AI113" s="18" t="s">
        <v>1366</v>
      </c>
      <c r="AJ113" s="18" t="s">
        <v>1404</v>
      </c>
      <c r="AK113" s="37" t="s">
        <v>1391</v>
      </c>
      <c r="AL113" s="18"/>
      <c r="AM113" s="18"/>
      <c r="AN113" s="18"/>
      <c r="AO113" s="18"/>
      <c r="AP113" s="555" t="s">
        <v>4253</v>
      </c>
      <c r="AQ113" s="18" t="s">
        <v>2909</v>
      </c>
      <c r="AR113" s="14" t="s">
        <v>1932</v>
      </c>
    </row>
    <row r="114" spans="1:44" s="14" customFormat="1" ht="12.75" customHeight="1" x14ac:dyDescent="0.2">
      <c r="A114" s="18" t="s">
        <v>1837</v>
      </c>
      <c r="B114" s="18"/>
      <c r="C114" s="1" t="s">
        <v>4227</v>
      </c>
      <c r="D114" s="1" t="s">
        <v>1550</v>
      </c>
      <c r="E114" s="1" t="s">
        <v>4231</v>
      </c>
      <c r="F114" s="18" t="s">
        <v>3386</v>
      </c>
      <c r="G114" s="18" t="s">
        <v>2514</v>
      </c>
      <c r="H114" s="3" t="s">
        <v>4236</v>
      </c>
      <c r="I114" s="18"/>
      <c r="J114" s="18"/>
      <c r="K114" s="37" t="s">
        <v>3407</v>
      </c>
      <c r="L114" s="36" t="s">
        <v>977</v>
      </c>
      <c r="M114" s="514">
        <v>29.99</v>
      </c>
      <c r="N114" s="514">
        <f>IF($C114="","",VLOOKUP($C114,'2017 Pricelist'!$C:$I,7,FALSE))</f>
        <v>39.99</v>
      </c>
      <c r="O114" s="35">
        <v>1</v>
      </c>
      <c r="P114" s="239">
        <v>5</v>
      </c>
      <c r="Q114" s="44">
        <v>0.13</v>
      </c>
      <c r="R114" s="441">
        <v>6.3</v>
      </c>
      <c r="S114" s="441">
        <v>2</v>
      </c>
      <c r="T114" s="442">
        <v>2.5</v>
      </c>
      <c r="U114" s="44">
        <v>0.2</v>
      </c>
      <c r="V114" s="33">
        <v>12</v>
      </c>
      <c r="W114" s="33">
        <v>5.7</v>
      </c>
      <c r="X114" s="70">
        <v>1.6</v>
      </c>
      <c r="Y114" s="90"/>
      <c r="Z114" s="89"/>
      <c r="AA114" s="89"/>
      <c r="AB114" s="249"/>
      <c r="AC114" s="44"/>
      <c r="AD114" s="33"/>
      <c r="AE114" s="33"/>
      <c r="AF114" s="70"/>
      <c r="AG114" s="42"/>
      <c r="AH114" s="85" t="s">
        <v>4252</v>
      </c>
      <c r="AI114" s="18" t="s">
        <v>1366</v>
      </c>
      <c r="AJ114" s="85" t="s">
        <v>1405</v>
      </c>
      <c r="AK114" s="37" t="s">
        <v>4250</v>
      </c>
      <c r="AL114" s="555"/>
      <c r="AM114" s="555"/>
      <c r="AN114" s="555"/>
      <c r="AO114" s="555"/>
      <c r="AP114" s="85" t="s">
        <v>4251</v>
      </c>
      <c r="AQ114" s="18" t="s">
        <v>2909</v>
      </c>
      <c r="AR114" s="14" t="s">
        <v>1932</v>
      </c>
    </row>
    <row r="115" spans="1:44" s="14" customFormat="1" ht="12.75" customHeight="1" x14ac:dyDescent="0.2">
      <c r="A115" s="18" t="s">
        <v>1837</v>
      </c>
      <c r="B115" s="18"/>
      <c r="C115" s="1" t="s">
        <v>4228</v>
      </c>
      <c r="D115" s="1" t="s">
        <v>1550</v>
      </c>
      <c r="E115" s="1" t="s">
        <v>4231</v>
      </c>
      <c r="F115" s="18" t="s">
        <v>3386</v>
      </c>
      <c r="G115" s="18" t="s">
        <v>2520</v>
      </c>
      <c r="H115" s="3" t="s">
        <v>4237</v>
      </c>
      <c r="I115" s="18"/>
      <c r="J115" s="18"/>
      <c r="K115" s="37" t="s">
        <v>3407</v>
      </c>
      <c r="L115" s="36" t="s">
        <v>977</v>
      </c>
      <c r="M115" s="514">
        <v>29.99</v>
      </c>
      <c r="N115" s="514">
        <f>IF($C115="","",VLOOKUP($C115,'2017 Pricelist'!$C:$I,7,FALSE))</f>
        <v>39.99</v>
      </c>
      <c r="O115" s="35">
        <v>1</v>
      </c>
      <c r="P115" s="239">
        <v>10</v>
      </c>
      <c r="Q115" s="44"/>
      <c r="R115" s="441"/>
      <c r="S115" s="441"/>
      <c r="T115" s="442"/>
      <c r="U115" s="44"/>
      <c r="V115" s="33"/>
      <c r="W115" s="33"/>
      <c r="X115" s="70"/>
      <c r="Y115" s="90"/>
      <c r="Z115" s="89"/>
      <c r="AA115" s="89"/>
      <c r="AB115" s="249"/>
      <c r="AC115" s="44"/>
      <c r="AD115" s="33"/>
      <c r="AE115" s="33"/>
      <c r="AF115" s="70"/>
      <c r="AG115" s="42"/>
      <c r="AH115" s="85" t="s">
        <v>4252</v>
      </c>
      <c r="AI115" s="18" t="s">
        <v>1366</v>
      </c>
      <c r="AJ115" s="85" t="s">
        <v>1405</v>
      </c>
      <c r="AK115" s="37" t="s">
        <v>4250</v>
      </c>
      <c r="AL115" s="555"/>
      <c r="AM115" s="555"/>
      <c r="AN115" s="555"/>
      <c r="AO115" s="555"/>
      <c r="AP115" s="85" t="s">
        <v>4251</v>
      </c>
      <c r="AQ115" s="18" t="s">
        <v>2909</v>
      </c>
      <c r="AR115" s="14" t="s">
        <v>1932</v>
      </c>
    </row>
    <row r="116" spans="1:44" s="14" customFormat="1" x14ac:dyDescent="0.2">
      <c r="A116" s="18" t="s">
        <v>1837</v>
      </c>
      <c r="B116" s="18"/>
      <c r="C116" s="1" t="s">
        <v>1199</v>
      </c>
      <c r="D116" s="1" t="s">
        <v>1494</v>
      </c>
      <c r="E116" s="1" t="s">
        <v>3413</v>
      </c>
      <c r="F116" s="18" t="s">
        <v>3386</v>
      </c>
      <c r="G116" s="18" t="s">
        <v>2520</v>
      </c>
      <c r="H116" s="3" t="s">
        <v>1269</v>
      </c>
      <c r="I116" s="18"/>
      <c r="J116" s="18"/>
      <c r="K116" s="37" t="s">
        <v>3407</v>
      </c>
      <c r="L116" s="36" t="s">
        <v>977</v>
      </c>
      <c r="M116" s="514"/>
      <c r="N116" s="514">
        <f>IF($C116="","",VLOOKUP($C116,'2017 Pricelist'!$C:$I,7,FALSE))</f>
        <v>39.99</v>
      </c>
      <c r="O116" s="35">
        <v>1</v>
      </c>
      <c r="P116" s="239">
        <v>10</v>
      </c>
      <c r="Q116" s="44">
        <f>CONVERT(0.154,"kg","lbm")</f>
        <v>0.33951188376471142</v>
      </c>
      <c r="R116" s="441">
        <f>CONVERT(366,"mm","in")</f>
        <v>14.409448818897637</v>
      </c>
      <c r="S116" s="441">
        <f>CONVERT(114,"mm","in")</f>
        <v>4.4881889763779528</v>
      </c>
      <c r="T116" s="442">
        <v>2.5</v>
      </c>
      <c r="U116" s="44">
        <v>0.33951188376471148</v>
      </c>
      <c r="V116" s="33">
        <v>14.5</v>
      </c>
      <c r="W116" s="33">
        <v>1.25</v>
      </c>
      <c r="X116" s="70">
        <v>1.25</v>
      </c>
      <c r="Y116" s="90" t="s">
        <v>259</v>
      </c>
      <c r="Z116" s="89" t="s">
        <v>259</v>
      </c>
      <c r="AA116" s="89" t="s">
        <v>259</v>
      </c>
      <c r="AB116" s="249" t="s">
        <v>259</v>
      </c>
      <c r="AC116" s="44">
        <v>3.5</v>
      </c>
      <c r="AD116" s="33">
        <v>15</v>
      </c>
      <c r="AE116" s="33">
        <v>5.5</v>
      </c>
      <c r="AF116" s="70">
        <v>2</v>
      </c>
      <c r="AG116" s="42">
        <f>AD116*AE116*AF116/(12^3)</f>
        <v>9.5486111111111105E-2</v>
      </c>
      <c r="AH116" s="18" t="s">
        <v>1307</v>
      </c>
      <c r="AI116" s="18" t="s">
        <v>1366</v>
      </c>
      <c r="AJ116" s="18"/>
      <c r="AK116" s="37" t="s">
        <v>1448</v>
      </c>
      <c r="AL116" s="556" t="s">
        <v>1365</v>
      </c>
      <c r="AM116" s="556"/>
      <c r="AN116" s="556"/>
      <c r="AO116" s="556"/>
      <c r="AP116" s="85" t="s">
        <v>1364</v>
      </c>
      <c r="AQ116" s="18" t="s">
        <v>2909</v>
      </c>
      <c r="AR116" s="14" t="s">
        <v>1932</v>
      </c>
    </row>
    <row r="117" spans="1:44" s="18" customFormat="1" ht="15.75" x14ac:dyDescent="0.25">
      <c r="A117" s="421" t="s">
        <v>3349</v>
      </c>
      <c r="B117" s="424"/>
      <c r="C117" s="424"/>
      <c r="D117" s="1"/>
      <c r="E117" s="1"/>
      <c r="H117" s="3"/>
      <c r="K117" s="37"/>
      <c r="L117" s="36"/>
      <c r="M117" s="511"/>
      <c r="N117" s="511"/>
      <c r="O117" s="35"/>
      <c r="P117" s="239"/>
      <c r="Q117" s="44"/>
      <c r="R117" s="33"/>
      <c r="S117" s="33"/>
      <c r="T117" s="70"/>
      <c r="U117" s="44"/>
      <c r="V117" s="33"/>
      <c r="W117" s="33"/>
      <c r="X117" s="70"/>
      <c r="Y117" s="90"/>
      <c r="Z117" s="89"/>
      <c r="AA117" s="89"/>
      <c r="AB117" s="249"/>
      <c r="AC117" s="44"/>
      <c r="AD117" s="33"/>
      <c r="AE117" s="33"/>
      <c r="AF117" s="70"/>
      <c r="AG117" s="42"/>
      <c r="AH117" s="85"/>
      <c r="AI117" s="84"/>
      <c r="AJ117" s="85"/>
      <c r="AK117" s="37"/>
      <c r="AL117" s="85"/>
      <c r="AM117" s="85"/>
      <c r="AN117" s="85"/>
      <c r="AO117" s="85"/>
      <c r="AP117" s="85"/>
      <c r="AR117" s="37"/>
    </row>
    <row r="118" spans="1:44" s="14" customFormat="1" x14ac:dyDescent="0.2">
      <c r="A118" s="18" t="s">
        <v>1837</v>
      </c>
      <c r="B118" s="18"/>
      <c r="C118" s="119" t="s">
        <v>2032</v>
      </c>
      <c r="D118" s="1" t="s">
        <v>1494</v>
      </c>
      <c r="E118" s="119" t="s">
        <v>2043</v>
      </c>
      <c r="F118" s="18" t="s">
        <v>3433</v>
      </c>
      <c r="G118" s="18" t="s">
        <v>3344</v>
      </c>
      <c r="H118" s="3" t="s">
        <v>3424</v>
      </c>
      <c r="I118" s="18"/>
      <c r="J118" s="18"/>
      <c r="K118" s="37" t="s">
        <v>1299</v>
      </c>
      <c r="L118" s="36" t="s">
        <v>977</v>
      </c>
      <c r="M118" s="514"/>
      <c r="N118" s="514">
        <f>IF($C118="","",VLOOKUP($C118,'2017 Pricelist'!$C:$I,7,FALSE))</f>
        <v>14.99</v>
      </c>
      <c r="O118" s="35">
        <v>1</v>
      </c>
      <c r="P118" s="239">
        <v>15</v>
      </c>
      <c r="Q118" s="44">
        <f>CONVERT(0.1145,"kg","lbm")</f>
        <v>0.25242929020168481</v>
      </c>
      <c r="R118" s="441">
        <f>CONVERT(206,"mm","in")</f>
        <v>8.1102362204724407</v>
      </c>
      <c r="S118" s="441">
        <f>CONVERT(91,"mm","in")</f>
        <v>3.5826771653543306</v>
      </c>
      <c r="T118" s="442">
        <v>2</v>
      </c>
      <c r="U118" s="44">
        <v>0.25242929020168481</v>
      </c>
      <c r="V118" s="33">
        <v>8.875</v>
      </c>
      <c r="W118" s="33">
        <v>1.75</v>
      </c>
      <c r="X118" s="70">
        <v>1.375</v>
      </c>
      <c r="Y118" s="90" t="s">
        <v>259</v>
      </c>
      <c r="Z118" s="89" t="s">
        <v>259</v>
      </c>
      <c r="AA118" s="89" t="s">
        <v>259</v>
      </c>
      <c r="AB118" s="249" t="s">
        <v>259</v>
      </c>
      <c r="AC118" s="44">
        <v>4.2</v>
      </c>
      <c r="AD118" s="33">
        <v>5</v>
      </c>
      <c r="AE118" s="33">
        <v>9.75</v>
      </c>
      <c r="AF118" s="70">
        <v>9</v>
      </c>
      <c r="AG118" s="42">
        <f t="shared" ref="AG118:AG135" si="16">AD118*AE118*AF118/(12^3)</f>
        <v>0.25390625</v>
      </c>
      <c r="AH118" s="460"/>
      <c r="AI118" s="461"/>
      <c r="AJ118" s="460"/>
      <c r="AK118" s="140"/>
      <c r="AL118" s="460"/>
      <c r="AM118" s="460"/>
      <c r="AN118" s="460"/>
      <c r="AO118" s="460"/>
      <c r="AP118" s="460"/>
      <c r="AQ118" s="18" t="s">
        <v>2909</v>
      </c>
      <c r="AR118" s="14" t="s">
        <v>1932</v>
      </c>
    </row>
    <row r="119" spans="1:44" s="14" customFormat="1" x14ac:dyDescent="0.2">
      <c r="A119" s="18" t="s">
        <v>1837</v>
      </c>
      <c r="B119" s="18"/>
      <c r="C119" s="119" t="s">
        <v>2033</v>
      </c>
      <c r="D119" s="1" t="s">
        <v>1550</v>
      </c>
      <c r="E119" s="119" t="s">
        <v>2044</v>
      </c>
      <c r="F119" s="18" t="s">
        <v>3434</v>
      </c>
      <c r="G119" s="18" t="s">
        <v>3344</v>
      </c>
      <c r="H119" s="3" t="s">
        <v>3425</v>
      </c>
      <c r="I119" s="18"/>
      <c r="J119" s="18"/>
      <c r="K119" s="37" t="s">
        <v>1299</v>
      </c>
      <c r="L119" s="36" t="s">
        <v>977</v>
      </c>
      <c r="M119" s="514"/>
      <c r="N119" s="514">
        <f>IF($C119="","",VLOOKUP($C119,'2017 Pricelist'!$C:$I,7,FALSE))</f>
        <v>14.99</v>
      </c>
      <c r="O119" s="35">
        <v>1</v>
      </c>
      <c r="P119" s="239">
        <v>15</v>
      </c>
      <c r="Q119" s="44">
        <f>CONVERT(0.1145,"kg","lbm")</f>
        <v>0.25242929020168481</v>
      </c>
      <c r="R119" s="441">
        <f>CONVERT(206,"mm","in")</f>
        <v>8.1102362204724407</v>
      </c>
      <c r="S119" s="441">
        <f>CONVERT(91,"mm","in")</f>
        <v>3.5826771653543306</v>
      </c>
      <c r="T119" s="442">
        <v>2</v>
      </c>
      <c r="U119" s="44">
        <v>0.25242929020168481</v>
      </c>
      <c r="V119" s="33">
        <v>8.875</v>
      </c>
      <c r="W119" s="33">
        <v>1.75</v>
      </c>
      <c r="X119" s="70">
        <v>1.375</v>
      </c>
      <c r="Y119" s="90" t="s">
        <v>259</v>
      </c>
      <c r="Z119" s="89" t="s">
        <v>259</v>
      </c>
      <c r="AA119" s="89" t="s">
        <v>259</v>
      </c>
      <c r="AB119" s="249" t="s">
        <v>259</v>
      </c>
      <c r="AC119" s="44">
        <v>4.2</v>
      </c>
      <c r="AD119" s="33">
        <v>5</v>
      </c>
      <c r="AE119" s="33">
        <v>9.75</v>
      </c>
      <c r="AF119" s="70">
        <v>9</v>
      </c>
      <c r="AG119" s="42">
        <f t="shared" si="16"/>
        <v>0.25390625</v>
      </c>
      <c r="AH119" s="460"/>
      <c r="AI119" s="461"/>
      <c r="AJ119" s="460"/>
      <c r="AK119" s="140"/>
      <c r="AL119" s="460"/>
      <c r="AM119" s="460"/>
      <c r="AN119" s="460"/>
      <c r="AO119" s="460"/>
      <c r="AP119" s="460"/>
      <c r="AQ119" s="18" t="s">
        <v>2909</v>
      </c>
      <c r="AR119" s="14" t="s">
        <v>1932</v>
      </c>
    </row>
    <row r="120" spans="1:44" s="14" customFormat="1" x14ac:dyDescent="0.2">
      <c r="A120" s="18" t="s">
        <v>1837</v>
      </c>
      <c r="B120" s="18"/>
      <c r="C120" s="119" t="s">
        <v>3348</v>
      </c>
      <c r="D120" s="1" t="s">
        <v>1550</v>
      </c>
      <c r="E120" s="119" t="s">
        <v>2044</v>
      </c>
      <c r="F120" s="18" t="s">
        <v>3434</v>
      </c>
      <c r="G120" s="18" t="s">
        <v>3619</v>
      </c>
      <c r="H120" s="3" t="s">
        <v>3426</v>
      </c>
      <c r="I120" s="18"/>
      <c r="J120" s="18"/>
      <c r="K120" s="37" t="s">
        <v>1299</v>
      </c>
      <c r="L120" s="36" t="s">
        <v>977</v>
      </c>
      <c r="M120" s="514"/>
      <c r="N120" s="514">
        <f>IF($C120="","",VLOOKUP($C120,'2017 Pricelist'!$C:$I,7,FALSE))</f>
        <v>16.989999999999998</v>
      </c>
      <c r="O120" s="35">
        <v>1</v>
      </c>
      <c r="P120" s="239">
        <v>5</v>
      </c>
      <c r="Q120" s="44">
        <f>CONVERT(0.1145,"kg","lbm")</f>
        <v>0.25242929020168481</v>
      </c>
      <c r="R120" s="441">
        <f>CONVERT(206,"mm","in")</f>
        <v>8.1102362204724407</v>
      </c>
      <c r="S120" s="441">
        <f>CONVERT(91,"mm","in")</f>
        <v>3.5826771653543306</v>
      </c>
      <c r="T120" s="442">
        <v>2</v>
      </c>
      <c r="U120" s="44">
        <v>0.25242929020168481</v>
      </c>
      <c r="V120" s="33">
        <v>5.5</v>
      </c>
      <c r="W120" s="33">
        <v>1.25</v>
      </c>
      <c r="X120" s="70">
        <v>11.8125</v>
      </c>
      <c r="Y120" s="90" t="s">
        <v>259</v>
      </c>
      <c r="Z120" s="89" t="s">
        <v>259</v>
      </c>
      <c r="AA120" s="89" t="s">
        <v>259</v>
      </c>
      <c r="AB120" s="249" t="s">
        <v>259</v>
      </c>
      <c r="AC120" s="44">
        <v>2.1</v>
      </c>
      <c r="AD120" s="33">
        <v>12</v>
      </c>
      <c r="AE120" s="33">
        <v>5.75</v>
      </c>
      <c r="AF120" s="70">
        <v>5.75</v>
      </c>
      <c r="AG120" s="42">
        <f t="shared" si="16"/>
        <v>0.22960069444444445</v>
      </c>
      <c r="AH120" s="460"/>
      <c r="AI120" s="461"/>
      <c r="AJ120" s="460"/>
      <c r="AK120" s="140"/>
      <c r="AL120" s="460"/>
      <c r="AM120" s="460"/>
      <c r="AN120" s="460"/>
      <c r="AO120" s="460"/>
      <c r="AP120" s="460"/>
      <c r="AQ120" s="18" t="s">
        <v>2909</v>
      </c>
      <c r="AR120" s="14" t="s">
        <v>1932</v>
      </c>
    </row>
    <row r="121" spans="1:44" s="14" customFormat="1" x14ac:dyDescent="0.2">
      <c r="A121" s="18" t="s">
        <v>1837</v>
      </c>
      <c r="B121" s="18"/>
      <c r="C121" s="119" t="s">
        <v>2037</v>
      </c>
      <c r="D121" s="1" t="s">
        <v>1550</v>
      </c>
      <c r="E121" s="119" t="s">
        <v>2048</v>
      </c>
      <c r="F121" s="18" t="s">
        <v>3435</v>
      </c>
      <c r="G121" s="18" t="s">
        <v>3344</v>
      </c>
      <c r="H121" s="3" t="s">
        <v>3427</v>
      </c>
      <c r="I121" s="18"/>
      <c r="J121" s="18"/>
      <c r="K121" s="37" t="s">
        <v>1299</v>
      </c>
      <c r="L121" s="36" t="s">
        <v>977</v>
      </c>
      <c r="M121" s="514"/>
      <c r="N121" s="514">
        <f>IF($C121="","",VLOOKUP($C121,'2017 Pricelist'!$C:$I,7,FALSE))</f>
        <v>19.989999999999998</v>
      </c>
      <c r="O121" s="35">
        <v>1</v>
      </c>
      <c r="P121" s="239">
        <v>15</v>
      </c>
      <c r="Q121" s="44">
        <f>CONVERT(0.0994,"kg","lbm")</f>
        <v>0.21913948861176832</v>
      </c>
      <c r="R121" s="441">
        <f>CONVERT(191,"mm","in")</f>
        <v>7.5196850393700787</v>
      </c>
      <c r="S121" s="441">
        <f>CONVERT(75,"mm","in")</f>
        <v>2.9527559055118111</v>
      </c>
      <c r="T121" s="442">
        <v>2</v>
      </c>
      <c r="U121" s="44">
        <v>0.21913948861176832</v>
      </c>
      <c r="V121" s="33">
        <v>8.875</v>
      </c>
      <c r="W121" s="33">
        <v>1.75</v>
      </c>
      <c r="X121" s="70">
        <v>1.375</v>
      </c>
      <c r="Y121" s="90" t="s">
        <v>259</v>
      </c>
      <c r="Z121" s="89" t="s">
        <v>259</v>
      </c>
      <c r="AA121" s="89" t="s">
        <v>259</v>
      </c>
      <c r="AB121" s="249" t="s">
        <v>259</v>
      </c>
      <c r="AC121" s="44">
        <v>3.75</v>
      </c>
      <c r="AD121" s="33">
        <v>5</v>
      </c>
      <c r="AE121" s="33">
        <v>9.75</v>
      </c>
      <c r="AF121" s="70">
        <v>9</v>
      </c>
      <c r="AG121" s="42">
        <f t="shared" si="16"/>
        <v>0.25390625</v>
      </c>
      <c r="AH121" s="460"/>
      <c r="AI121" s="461"/>
      <c r="AJ121" s="460"/>
      <c r="AK121" s="140"/>
      <c r="AL121" s="460"/>
      <c r="AM121" s="460"/>
      <c r="AN121" s="460"/>
      <c r="AO121" s="460"/>
      <c r="AP121" s="460"/>
      <c r="AQ121" s="18" t="s">
        <v>2909</v>
      </c>
      <c r="AR121" s="14" t="s">
        <v>1932</v>
      </c>
    </row>
    <row r="122" spans="1:44" s="14" customFormat="1" x14ac:dyDescent="0.2">
      <c r="A122" s="18" t="s">
        <v>1837</v>
      </c>
      <c r="B122" s="18"/>
      <c r="C122" s="119" t="s">
        <v>2039</v>
      </c>
      <c r="D122" s="1" t="s">
        <v>1550</v>
      </c>
      <c r="E122" s="119" t="s">
        <v>2050</v>
      </c>
      <c r="F122" s="18" t="s">
        <v>3436</v>
      </c>
      <c r="G122" s="18" t="s">
        <v>3344</v>
      </c>
      <c r="H122" s="3" t="s">
        <v>3428</v>
      </c>
      <c r="I122" s="18"/>
      <c r="J122" s="18"/>
      <c r="K122" s="37" t="s">
        <v>1299</v>
      </c>
      <c r="L122" s="36" t="s">
        <v>977</v>
      </c>
      <c r="M122" s="514"/>
      <c r="N122" s="514">
        <f>IF($C122="","",VLOOKUP($C122,'2017 Pricelist'!$C:$I,7,FALSE))</f>
        <v>24.990000000000002</v>
      </c>
      <c r="O122" s="35">
        <v>1</v>
      </c>
      <c r="P122" s="239">
        <v>15</v>
      </c>
      <c r="Q122" s="44">
        <f>CONVERT(0.096,"kg","lbm")</f>
        <v>0.21164377169748247</v>
      </c>
      <c r="R122" s="441">
        <f>CONVERT(203,"mm","in")</f>
        <v>7.9921259842519685</v>
      </c>
      <c r="S122" s="441">
        <f>CONVERT(88,"mm","in")</f>
        <v>3.4645669291338583</v>
      </c>
      <c r="T122" s="442">
        <v>1.3</v>
      </c>
      <c r="U122" s="44">
        <v>0.21164377169748247</v>
      </c>
      <c r="V122" s="33">
        <v>8.875</v>
      </c>
      <c r="W122" s="33">
        <v>1.75</v>
      </c>
      <c r="X122" s="70">
        <v>1.375</v>
      </c>
      <c r="Y122" s="90" t="s">
        <v>259</v>
      </c>
      <c r="Z122" s="89" t="s">
        <v>259</v>
      </c>
      <c r="AA122" s="89" t="s">
        <v>259</v>
      </c>
      <c r="AB122" s="249" t="s">
        <v>259</v>
      </c>
      <c r="AC122" s="44">
        <v>3.65</v>
      </c>
      <c r="AD122" s="33">
        <v>5</v>
      </c>
      <c r="AE122" s="33">
        <v>9.75</v>
      </c>
      <c r="AF122" s="70">
        <v>9</v>
      </c>
      <c r="AG122" s="42">
        <f t="shared" si="16"/>
        <v>0.25390625</v>
      </c>
      <c r="AH122" s="460"/>
      <c r="AI122" s="461"/>
      <c r="AJ122" s="460"/>
      <c r="AK122" s="140"/>
      <c r="AL122" s="460"/>
      <c r="AM122" s="460"/>
      <c r="AN122" s="460"/>
      <c r="AO122" s="460"/>
      <c r="AP122" s="460"/>
      <c r="AQ122" s="18" t="s">
        <v>2909</v>
      </c>
      <c r="AR122" s="14" t="s">
        <v>1932</v>
      </c>
    </row>
    <row r="123" spans="1:44" s="14" customFormat="1" x14ac:dyDescent="0.2">
      <c r="A123" s="18" t="s">
        <v>1837</v>
      </c>
      <c r="B123" s="18"/>
      <c r="C123" s="119" t="s">
        <v>2034</v>
      </c>
      <c r="D123" s="1" t="s">
        <v>1494</v>
      </c>
      <c r="E123" s="119" t="s">
        <v>2045</v>
      </c>
      <c r="F123" s="18" t="s">
        <v>3437</v>
      </c>
      <c r="G123" s="18" t="s">
        <v>3344</v>
      </c>
      <c r="H123" s="3" t="s">
        <v>3429</v>
      </c>
      <c r="I123" s="18"/>
      <c r="J123" s="18"/>
      <c r="K123" s="37" t="s">
        <v>1299</v>
      </c>
      <c r="L123" s="36" t="s">
        <v>977</v>
      </c>
      <c r="M123" s="514"/>
      <c r="N123" s="514">
        <f>IF($C123="","",VLOOKUP($C123,'2017 Pricelist'!$C:$I,7,FALSE))</f>
        <v>19.989999999999998</v>
      </c>
      <c r="O123" s="35">
        <v>1</v>
      </c>
      <c r="P123" s="239">
        <v>15</v>
      </c>
      <c r="Q123" s="44">
        <f>CONVERT(0.1391,"kg","lbm")</f>
        <v>0.30666300669916469</v>
      </c>
      <c r="R123" s="441">
        <f>CONVERT(193,"mm","in")</f>
        <v>7.5984251968503944</v>
      </c>
      <c r="S123" s="441">
        <f>CONVERT(75,"mm","in")</f>
        <v>2.9527559055118111</v>
      </c>
      <c r="T123" s="442">
        <v>3.1</v>
      </c>
      <c r="U123" s="44">
        <v>0.30666300669916469</v>
      </c>
      <c r="V123" s="33">
        <v>8.875</v>
      </c>
      <c r="W123" s="33">
        <v>1.75</v>
      </c>
      <c r="X123" s="70">
        <v>1.375</v>
      </c>
      <c r="Y123" s="90" t="s">
        <v>259</v>
      </c>
      <c r="Z123" s="89" t="s">
        <v>259</v>
      </c>
      <c r="AA123" s="89" t="s">
        <v>259</v>
      </c>
      <c r="AB123" s="249" t="s">
        <v>259</v>
      </c>
      <c r="AC123" s="120"/>
      <c r="AD123" s="33">
        <v>5</v>
      </c>
      <c r="AE123" s="33">
        <v>9.75</v>
      </c>
      <c r="AF123" s="70">
        <v>9</v>
      </c>
      <c r="AG123" s="42">
        <f t="shared" si="16"/>
        <v>0.25390625</v>
      </c>
      <c r="AH123" s="460"/>
      <c r="AI123" s="461"/>
      <c r="AJ123" s="460"/>
      <c r="AK123" s="140"/>
      <c r="AL123" s="460"/>
      <c r="AM123" s="460"/>
      <c r="AN123" s="460"/>
      <c r="AO123" s="460"/>
      <c r="AP123" s="460"/>
      <c r="AQ123" s="18" t="s">
        <v>2909</v>
      </c>
      <c r="AR123" s="14" t="s">
        <v>1932</v>
      </c>
    </row>
    <row r="124" spans="1:44" s="14" customFormat="1" x14ac:dyDescent="0.2">
      <c r="A124" s="18" t="s">
        <v>1837</v>
      </c>
      <c r="B124" s="18"/>
      <c r="C124" s="119" t="s">
        <v>2036</v>
      </c>
      <c r="D124" s="1" t="s">
        <v>1550</v>
      </c>
      <c r="E124" s="119" t="s">
        <v>2047</v>
      </c>
      <c r="F124" s="18" t="s">
        <v>3438</v>
      </c>
      <c r="G124" s="18" t="s">
        <v>3344</v>
      </c>
      <c r="H124" s="3" t="s">
        <v>3430</v>
      </c>
      <c r="I124" s="18"/>
      <c r="J124" s="18"/>
      <c r="K124" s="37" t="s">
        <v>1299</v>
      </c>
      <c r="L124" s="36" t="s">
        <v>977</v>
      </c>
      <c r="M124" s="514"/>
      <c r="N124" s="514">
        <f>IF($C124="","",VLOOKUP($C124,'2017 Pricelist'!$C:$I,7,FALSE))</f>
        <v>19.989999999999998</v>
      </c>
      <c r="O124" s="35">
        <v>1</v>
      </c>
      <c r="P124" s="239">
        <v>15</v>
      </c>
      <c r="Q124" s="44">
        <f>CONVERT(0.1138,"kg","lbm")</f>
        <v>0.25088605436639072</v>
      </c>
      <c r="R124" s="441">
        <f>CONVERT(206,"mm","in")</f>
        <v>8.1102362204724407</v>
      </c>
      <c r="S124" s="441">
        <f>CONVERT(91,"mm","in")</f>
        <v>3.5826771653543306</v>
      </c>
      <c r="T124" s="442">
        <v>2</v>
      </c>
      <c r="U124" s="44">
        <v>0.25088605436639067</v>
      </c>
      <c r="V124" s="33">
        <v>8.875</v>
      </c>
      <c r="W124" s="33">
        <v>1.75</v>
      </c>
      <c r="X124" s="70">
        <v>1.375</v>
      </c>
      <c r="Y124" s="90" t="s">
        <v>259</v>
      </c>
      <c r="Z124" s="89" t="s">
        <v>259</v>
      </c>
      <c r="AA124" s="89" t="s">
        <v>259</v>
      </c>
      <c r="AB124" s="249" t="s">
        <v>259</v>
      </c>
      <c r="AC124" s="44">
        <v>4.2</v>
      </c>
      <c r="AD124" s="33">
        <v>5</v>
      </c>
      <c r="AE124" s="33">
        <v>9.75</v>
      </c>
      <c r="AF124" s="70">
        <v>9</v>
      </c>
      <c r="AG124" s="42">
        <f t="shared" si="16"/>
        <v>0.25390625</v>
      </c>
      <c r="AH124" s="460"/>
      <c r="AI124" s="461"/>
      <c r="AJ124" s="460"/>
      <c r="AK124" s="140"/>
      <c r="AL124" s="460"/>
      <c r="AM124" s="460"/>
      <c r="AN124" s="460"/>
      <c r="AO124" s="460"/>
      <c r="AP124" s="460"/>
      <c r="AQ124" s="18" t="s">
        <v>2909</v>
      </c>
      <c r="AR124" s="14" t="s">
        <v>1932</v>
      </c>
    </row>
    <row r="125" spans="1:44" s="14" customFormat="1" x14ac:dyDescent="0.2">
      <c r="A125" s="18" t="s">
        <v>1837</v>
      </c>
      <c r="B125" s="18"/>
      <c r="C125" s="119" t="s">
        <v>2038</v>
      </c>
      <c r="D125" s="1" t="s">
        <v>1494</v>
      </c>
      <c r="E125" s="119" t="s">
        <v>2049</v>
      </c>
      <c r="F125" s="18" t="s">
        <v>3686</v>
      </c>
      <c r="G125" s="18" t="s">
        <v>3344</v>
      </c>
      <c r="H125" s="3" t="s">
        <v>3431</v>
      </c>
      <c r="I125" s="18"/>
      <c r="J125" s="18"/>
      <c r="K125" s="37" t="s">
        <v>1299</v>
      </c>
      <c r="L125" s="36" t="s">
        <v>977</v>
      </c>
      <c r="M125" s="514"/>
      <c r="N125" s="514">
        <f>IF($C125="","",VLOOKUP($C125,'2017 Pricelist'!$C:$I,7,FALSE))</f>
        <v>19.989999999999998</v>
      </c>
      <c r="O125" s="35">
        <v>1</v>
      </c>
      <c r="P125" s="239">
        <v>15</v>
      </c>
      <c r="Q125" s="44">
        <f>CONVERT(0.1395,"kg","lbm")</f>
        <v>0.30754485574790424</v>
      </c>
      <c r="R125" s="441">
        <f>CONVERT(206,"mm","in")</f>
        <v>8.1102362204724407</v>
      </c>
      <c r="S125" s="441">
        <f>CONVERT(91,"mm","in")</f>
        <v>3.5826771653543306</v>
      </c>
      <c r="T125" s="442">
        <v>3.2</v>
      </c>
      <c r="U125" s="44">
        <v>0.30754485574790419</v>
      </c>
      <c r="V125" s="33">
        <v>8.875</v>
      </c>
      <c r="W125" s="33">
        <v>1.75</v>
      </c>
      <c r="X125" s="70">
        <v>1.375</v>
      </c>
      <c r="Y125" s="90" t="s">
        <v>259</v>
      </c>
      <c r="Z125" s="89" t="s">
        <v>259</v>
      </c>
      <c r="AA125" s="89" t="s">
        <v>259</v>
      </c>
      <c r="AB125" s="249" t="s">
        <v>259</v>
      </c>
      <c r="AC125" s="44">
        <v>4.8499999999999996</v>
      </c>
      <c r="AD125" s="33">
        <v>5</v>
      </c>
      <c r="AE125" s="33">
        <v>9.75</v>
      </c>
      <c r="AF125" s="70">
        <v>9</v>
      </c>
      <c r="AG125" s="42">
        <f t="shared" si="16"/>
        <v>0.25390625</v>
      </c>
      <c r="AH125" s="460"/>
      <c r="AI125" s="461"/>
      <c r="AJ125" s="460"/>
      <c r="AK125" s="140"/>
      <c r="AL125" s="460"/>
      <c r="AM125" s="460"/>
      <c r="AN125" s="460"/>
      <c r="AO125" s="460"/>
      <c r="AP125" s="460"/>
      <c r="AQ125" s="18" t="s">
        <v>2909</v>
      </c>
      <c r="AR125" s="14" t="s">
        <v>1932</v>
      </c>
    </row>
    <row r="126" spans="1:44" s="14" customFormat="1" x14ac:dyDescent="0.2">
      <c r="A126" s="18" t="s">
        <v>1837</v>
      </c>
      <c r="B126" s="18"/>
      <c r="C126" s="119" t="s">
        <v>2029</v>
      </c>
      <c r="D126" s="1" t="s">
        <v>1494</v>
      </c>
      <c r="E126" s="119" t="s">
        <v>2040</v>
      </c>
      <c r="F126" s="18" t="s">
        <v>222</v>
      </c>
      <c r="G126" s="18" t="s">
        <v>3344</v>
      </c>
      <c r="H126" s="3" t="s">
        <v>2080</v>
      </c>
      <c r="I126" s="18"/>
      <c r="J126" s="18"/>
      <c r="K126" s="37" t="s">
        <v>1299</v>
      </c>
      <c r="L126" s="36" t="s">
        <v>977</v>
      </c>
      <c r="M126" s="514"/>
      <c r="N126" s="514">
        <f>IF($C126="","",VLOOKUP($C126,'2017 Pricelist'!$C:$I,7,FALSE))</f>
        <v>9.99</v>
      </c>
      <c r="O126" s="35">
        <v>1</v>
      </c>
      <c r="P126" s="239">
        <v>15</v>
      </c>
      <c r="Q126" s="44">
        <f>CONVERT(0.1095,"kg","lbm")</f>
        <v>0.24140617709244094</v>
      </c>
      <c r="R126" s="441">
        <f>CONVERT(206,"mm","in")</f>
        <v>8.1102362204724407</v>
      </c>
      <c r="S126" s="441">
        <f>CONVERT(91,"mm","in")</f>
        <v>3.5826771653543306</v>
      </c>
      <c r="T126" s="442">
        <v>2</v>
      </c>
      <c r="U126" s="44">
        <v>0.24140617709244094</v>
      </c>
      <c r="V126" s="33">
        <v>8.875</v>
      </c>
      <c r="W126" s="33">
        <v>1.75</v>
      </c>
      <c r="X126" s="70">
        <v>1.375</v>
      </c>
      <c r="Y126" s="90" t="s">
        <v>259</v>
      </c>
      <c r="Z126" s="89" t="s">
        <v>259</v>
      </c>
      <c r="AA126" s="89" t="s">
        <v>259</v>
      </c>
      <c r="AB126" s="249" t="s">
        <v>259</v>
      </c>
      <c r="AC126" s="44">
        <v>4.0999999999999996</v>
      </c>
      <c r="AD126" s="33">
        <v>5</v>
      </c>
      <c r="AE126" s="33">
        <v>9.75</v>
      </c>
      <c r="AF126" s="70">
        <v>9</v>
      </c>
      <c r="AG126" s="42">
        <f t="shared" si="16"/>
        <v>0.25390625</v>
      </c>
      <c r="AH126" s="37" t="s">
        <v>4320</v>
      </c>
      <c r="AI126" s="63" t="s">
        <v>4321</v>
      </c>
      <c r="AJ126" s="63" t="s">
        <v>4322</v>
      </c>
      <c r="AK126" s="63" t="s">
        <v>4323</v>
      </c>
      <c r="AL126" s="63" t="s">
        <v>4323</v>
      </c>
      <c r="AM126" s="460"/>
      <c r="AN126" s="460"/>
      <c r="AO126" s="460"/>
      <c r="AP126" s="489" t="s">
        <v>4319</v>
      </c>
      <c r="AQ126" s="18" t="s">
        <v>2909</v>
      </c>
      <c r="AR126" s="14" t="s">
        <v>1932</v>
      </c>
    </row>
    <row r="127" spans="1:44" s="14" customFormat="1" x14ac:dyDescent="0.2">
      <c r="A127" s="18" t="s">
        <v>1837</v>
      </c>
      <c r="B127" s="18"/>
      <c r="C127" s="119" t="s">
        <v>4313</v>
      </c>
      <c r="D127" s="1" t="s">
        <v>1494</v>
      </c>
      <c r="E127" s="119" t="s">
        <v>4315</v>
      </c>
      <c r="F127" s="18" t="s">
        <v>4317</v>
      </c>
      <c r="G127" s="18" t="s">
        <v>3344</v>
      </c>
      <c r="H127" s="3" t="s">
        <v>5249</v>
      </c>
      <c r="I127" s="18"/>
      <c r="J127" s="18"/>
      <c r="K127" s="37" t="s">
        <v>1299</v>
      </c>
      <c r="L127" s="36" t="s">
        <v>977</v>
      </c>
      <c r="M127" s="514"/>
      <c r="N127" s="514">
        <f>IF($C127="","",VLOOKUP($C127,'2017 Pricelist'!$C:$I,7,FALSE))</f>
        <v>9.99</v>
      </c>
      <c r="O127" s="35">
        <v>1</v>
      </c>
      <c r="P127" s="239">
        <v>15</v>
      </c>
      <c r="Q127" s="44">
        <f t="shared" ref="Q127:Q128" si="17">CONVERT(0.1095,"kg","lbm")</f>
        <v>0.24140617709244094</v>
      </c>
      <c r="R127" s="441">
        <f t="shared" ref="R127:R128" si="18">CONVERT(206,"mm","in")</f>
        <v>8.1102362204724407</v>
      </c>
      <c r="S127" s="441">
        <f t="shared" ref="S127:S128" si="19">CONVERT(91,"mm","in")</f>
        <v>3.5826771653543306</v>
      </c>
      <c r="T127" s="442">
        <v>2</v>
      </c>
      <c r="U127" s="44">
        <v>0.24140617709244094</v>
      </c>
      <c r="V127" s="33">
        <v>8.875</v>
      </c>
      <c r="W127" s="33">
        <v>1.75</v>
      </c>
      <c r="X127" s="70">
        <v>1.375</v>
      </c>
      <c r="Y127" s="90" t="s">
        <v>259</v>
      </c>
      <c r="Z127" s="89" t="s">
        <v>259</v>
      </c>
      <c r="AA127" s="89" t="s">
        <v>259</v>
      </c>
      <c r="AB127" s="249" t="s">
        <v>259</v>
      </c>
      <c r="AC127" s="44">
        <v>4.0999999999999996</v>
      </c>
      <c r="AD127" s="33">
        <v>5</v>
      </c>
      <c r="AE127" s="33">
        <v>9.75</v>
      </c>
      <c r="AF127" s="70">
        <v>9</v>
      </c>
      <c r="AG127" s="42">
        <f t="shared" si="16"/>
        <v>0.25390625</v>
      </c>
      <c r="AH127" s="37" t="s">
        <v>4320</v>
      </c>
      <c r="AI127" s="63" t="s">
        <v>4321</v>
      </c>
      <c r="AJ127" s="63" t="s">
        <v>4322</v>
      </c>
      <c r="AK127" s="63" t="s">
        <v>4323</v>
      </c>
      <c r="AL127" s="63" t="s">
        <v>4323</v>
      </c>
      <c r="AM127" s="460"/>
      <c r="AN127" s="460"/>
      <c r="AO127" s="460"/>
      <c r="AP127" s="489" t="s">
        <v>4319</v>
      </c>
      <c r="AQ127" s="18" t="s">
        <v>2909</v>
      </c>
      <c r="AR127" s="14" t="s">
        <v>1932</v>
      </c>
    </row>
    <row r="128" spans="1:44" s="14" customFormat="1" x14ac:dyDescent="0.2">
      <c r="A128" s="18" t="s">
        <v>1837</v>
      </c>
      <c r="B128" s="18"/>
      <c r="C128" s="119" t="s">
        <v>4314</v>
      </c>
      <c r="D128" s="1" t="s">
        <v>1494</v>
      </c>
      <c r="E128" s="119" t="s">
        <v>4316</v>
      </c>
      <c r="F128" s="18" t="s">
        <v>4318</v>
      </c>
      <c r="G128" s="18" t="s">
        <v>3344</v>
      </c>
      <c r="H128" s="3" t="s">
        <v>5247</v>
      </c>
      <c r="I128" s="18"/>
      <c r="J128" s="18"/>
      <c r="K128" s="37" t="s">
        <v>1299</v>
      </c>
      <c r="L128" s="36" t="s">
        <v>977</v>
      </c>
      <c r="M128" s="514"/>
      <c r="N128" s="514">
        <f>IF($C128="","",VLOOKUP($C128,'2017 Pricelist'!$C:$I,7,FALSE))</f>
        <v>9.99</v>
      </c>
      <c r="O128" s="35">
        <v>1</v>
      </c>
      <c r="P128" s="239">
        <v>15</v>
      </c>
      <c r="Q128" s="44">
        <f t="shared" si="17"/>
        <v>0.24140617709244094</v>
      </c>
      <c r="R128" s="441">
        <f t="shared" si="18"/>
        <v>8.1102362204724407</v>
      </c>
      <c r="S128" s="441">
        <f t="shared" si="19"/>
        <v>3.5826771653543306</v>
      </c>
      <c r="T128" s="442">
        <v>2</v>
      </c>
      <c r="U128" s="44">
        <v>0.24140617709244094</v>
      </c>
      <c r="V128" s="33">
        <v>8.875</v>
      </c>
      <c r="W128" s="33">
        <v>1.75</v>
      </c>
      <c r="X128" s="70">
        <v>1.375</v>
      </c>
      <c r="Y128" s="90" t="s">
        <v>259</v>
      </c>
      <c r="Z128" s="89" t="s">
        <v>259</v>
      </c>
      <c r="AA128" s="89" t="s">
        <v>259</v>
      </c>
      <c r="AB128" s="249" t="s">
        <v>259</v>
      </c>
      <c r="AC128" s="44">
        <v>4.0999999999999996</v>
      </c>
      <c r="AD128" s="33">
        <v>5</v>
      </c>
      <c r="AE128" s="33">
        <v>9.75</v>
      </c>
      <c r="AF128" s="70">
        <v>9</v>
      </c>
      <c r="AG128" s="42">
        <f t="shared" si="16"/>
        <v>0.25390625</v>
      </c>
      <c r="AH128" s="37" t="s">
        <v>4320</v>
      </c>
      <c r="AI128" s="63" t="s">
        <v>4321</v>
      </c>
      <c r="AJ128" s="63" t="s">
        <v>4322</v>
      </c>
      <c r="AK128" s="63" t="s">
        <v>4323</v>
      </c>
      <c r="AL128" s="63" t="s">
        <v>4323</v>
      </c>
      <c r="AM128" s="460"/>
      <c r="AN128" s="460"/>
      <c r="AO128" s="460"/>
      <c r="AP128" s="489" t="s">
        <v>4319</v>
      </c>
      <c r="AQ128" s="18" t="s">
        <v>2909</v>
      </c>
      <c r="AR128" s="14" t="s">
        <v>1932</v>
      </c>
    </row>
    <row r="129" spans="1:44" s="14" customFormat="1" x14ac:dyDescent="0.2">
      <c r="A129" s="18" t="s">
        <v>1837</v>
      </c>
      <c r="B129" s="18"/>
      <c r="C129" s="119" t="s">
        <v>2030</v>
      </c>
      <c r="D129" s="1" t="s">
        <v>1550</v>
      </c>
      <c r="E129" s="119" t="s">
        <v>2041</v>
      </c>
      <c r="F129" s="18" t="s">
        <v>217</v>
      </c>
      <c r="G129" s="18" t="s">
        <v>3344</v>
      </c>
      <c r="H129" s="3" t="s">
        <v>3432</v>
      </c>
      <c r="I129" s="18"/>
      <c r="J129" s="18"/>
      <c r="K129" s="37" t="s">
        <v>1299</v>
      </c>
      <c r="L129" s="36" t="s">
        <v>977</v>
      </c>
      <c r="M129" s="514"/>
      <c r="N129" s="514">
        <f>IF($C129="","",VLOOKUP($C129,'2017 Pricelist'!$C:$I,7,FALSE))</f>
        <v>11.99</v>
      </c>
      <c r="O129" s="35">
        <v>1</v>
      </c>
      <c r="P129" s="239">
        <v>15</v>
      </c>
      <c r="Q129" s="44">
        <f>CONVERT(0.117,"kg","lbm")</f>
        <v>0.2579408467563068</v>
      </c>
      <c r="R129" s="441">
        <f>CONVERT(206,"mm","in")</f>
        <v>8.1102362204724407</v>
      </c>
      <c r="S129" s="441">
        <f>CONVERT(91,"mm","in")</f>
        <v>3.5826771653543306</v>
      </c>
      <c r="T129" s="442">
        <v>2</v>
      </c>
      <c r="U129" s="44">
        <v>0.25794084675630674</v>
      </c>
      <c r="V129" s="33">
        <v>8.875</v>
      </c>
      <c r="W129" s="33">
        <v>1.75</v>
      </c>
      <c r="X129" s="70">
        <v>1.375</v>
      </c>
      <c r="Y129" s="90" t="s">
        <v>259</v>
      </c>
      <c r="Z129" s="89" t="s">
        <v>259</v>
      </c>
      <c r="AA129" s="89" t="s">
        <v>259</v>
      </c>
      <c r="AB129" s="249" t="s">
        <v>259</v>
      </c>
      <c r="AC129" s="44">
        <v>4.0999999999999996</v>
      </c>
      <c r="AD129" s="33">
        <v>5</v>
      </c>
      <c r="AE129" s="33">
        <v>9.75</v>
      </c>
      <c r="AF129" s="70">
        <v>9</v>
      </c>
      <c r="AG129" s="42">
        <f t="shared" si="16"/>
        <v>0.25390625</v>
      </c>
      <c r="AH129" s="460"/>
      <c r="AI129" s="461"/>
      <c r="AJ129" s="460"/>
      <c r="AK129" s="140"/>
      <c r="AL129" s="460"/>
      <c r="AM129" s="460"/>
      <c r="AN129" s="460"/>
      <c r="AO129" s="460"/>
      <c r="AP129" s="460"/>
      <c r="AQ129" s="18" t="s">
        <v>2909</v>
      </c>
      <c r="AR129" s="14" t="s">
        <v>1932</v>
      </c>
    </row>
    <row r="130" spans="1:44" s="14" customFormat="1" x14ac:dyDescent="0.2">
      <c r="A130" s="18" t="s">
        <v>1837</v>
      </c>
      <c r="B130" s="18"/>
      <c r="C130" s="119" t="s">
        <v>2031</v>
      </c>
      <c r="D130" s="1" t="s">
        <v>1494</v>
      </c>
      <c r="E130" s="119" t="s">
        <v>2042</v>
      </c>
      <c r="F130" s="18" t="s">
        <v>218</v>
      </c>
      <c r="G130" s="18" t="s">
        <v>3344</v>
      </c>
      <c r="H130" s="3" t="s">
        <v>3440</v>
      </c>
      <c r="I130" s="18"/>
      <c r="J130" s="18"/>
      <c r="K130" s="37" t="s">
        <v>1299</v>
      </c>
      <c r="L130" s="36" t="s">
        <v>977</v>
      </c>
      <c r="M130" s="514"/>
      <c r="N130" s="514">
        <f>IF($C130="","",VLOOKUP($C130,'2017 Pricelist'!$C:$I,7,FALSE))</f>
        <v>14.99</v>
      </c>
      <c r="O130" s="35">
        <v>1</v>
      </c>
      <c r="P130" s="239">
        <v>15</v>
      </c>
      <c r="Q130" s="44">
        <f>CONVERT(0.109,"kg","lbm")</f>
        <v>0.24030386578151655</v>
      </c>
      <c r="R130" s="441">
        <f>CONVERT(198,"mm","in")</f>
        <v>7.7952755905511815</v>
      </c>
      <c r="S130" s="441">
        <f>CONVERT(82,"mm","in")</f>
        <v>3.2283464566929134</v>
      </c>
      <c r="T130" s="442">
        <v>2</v>
      </c>
      <c r="U130" s="44">
        <v>0.24030386578151655</v>
      </c>
      <c r="V130" s="33">
        <v>8.875</v>
      </c>
      <c r="W130" s="33">
        <v>1.75</v>
      </c>
      <c r="X130" s="70">
        <v>1.375</v>
      </c>
      <c r="Y130" s="90" t="s">
        <v>259</v>
      </c>
      <c r="Z130" s="89" t="s">
        <v>259</v>
      </c>
      <c r="AA130" s="89" t="s">
        <v>259</v>
      </c>
      <c r="AB130" s="249" t="s">
        <v>259</v>
      </c>
      <c r="AC130" s="44">
        <v>4.0999999999999996</v>
      </c>
      <c r="AD130" s="33">
        <v>5</v>
      </c>
      <c r="AE130" s="33">
        <v>9.75</v>
      </c>
      <c r="AF130" s="70">
        <v>9</v>
      </c>
      <c r="AG130" s="42">
        <f t="shared" si="16"/>
        <v>0.25390625</v>
      </c>
      <c r="AH130" s="460"/>
      <c r="AI130" s="461"/>
      <c r="AJ130" s="460"/>
      <c r="AK130" s="140"/>
      <c r="AL130" s="460"/>
      <c r="AM130" s="460"/>
      <c r="AN130" s="460"/>
      <c r="AO130" s="460"/>
      <c r="AP130" s="460"/>
      <c r="AQ130" s="18" t="s">
        <v>2909</v>
      </c>
      <c r="AR130" s="14" t="s">
        <v>1932</v>
      </c>
    </row>
    <row r="131" spans="1:44" s="14" customFormat="1" x14ac:dyDescent="0.2">
      <c r="A131" s="18" t="s">
        <v>1837</v>
      </c>
      <c r="B131" s="18"/>
      <c r="C131" s="119" t="s">
        <v>2035</v>
      </c>
      <c r="D131" s="1" t="s">
        <v>1550</v>
      </c>
      <c r="E131" s="119" t="s">
        <v>2046</v>
      </c>
      <c r="F131" s="18" t="s">
        <v>3441</v>
      </c>
      <c r="G131" s="18" t="s">
        <v>3344</v>
      </c>
      <c r="H131" s="3" t="s">
        <v>3442</v>
      </c>
      <c r="I131" s="18"/>
      <c r="J131" s="18"/>
      <c r="K131" s="37" t="s">
        <v>1299</v>
      </c>
      <c r="L131" s="36" t="s">
        <v>977</v>
      </c>
      <c r="M131" s="514"/>
      <c r="N131" s="514">
        <f>IF($C131="","",VLOOKUP($C131,'2017 Pricelist'!$C:$I,7,FALSE))</f>
        <v>19.989999999999998</v>
      </c>
      <c r="O131" s="35">
        <v>1</v>
      </c>
      <c r="P131" s="239">
        <v>15</v>
      </c>
      <c r="Q131" s="44">
        <f>CONVERT(0.0877,"kg","lbm")</f>
        <v>0.19334540393613764</v>
      </c>
      <c r="R131" s="441">
        <f>CONVERT(154,"mm","in")</f>
        <v>6.0629921259842527</v>
      </c>
      <c r="S131" s="441">
        <f>CONVERT(21,"mm","in")</f>
        <v>0.82677165354330717</v>
      </c>
      <c r="T131" s="442">
        <v>1.4</v>
      </c>
      <c r="U131" s="44">
        <v>0.19334540393613764</v>
      </c>
      <c r="V131" s="33">
        <v>7.5</v>
      </c>
      <c r="W131" s="33">
        <v>1.75</v>
      </c>
      <c r="X131" s="70">
        <v>1.875</v>
      </c>
      <c r="Y131" s="90" t="s">
        <v>259</v>
      </c>
      <c r="Z131" s="89" t="s">
        <v>259</v>
      </c>
      <c r="AA131" s="89" t="s">
        <v>259</v>
      </c>
      <c r="AB131" s="249" t="s">
        <v>259</v>
      </c>
      <c r="AC131" s="44">
        <v>3.3</v>
      </c>
      <c r="AD131" s="33">
        <v>5</v>
      </c>
      <c r="AE131" s="33">
        <v>9.75</v>
      </c>
      <c r="AF131" s="70">
        <v>9</v>
      </c>
      <c r="AG131" s="42">
        <f t="shared" si="16"/>
        <v>0.25390625</v>
      </c>
      <c r="AH131" s="460"/>
      <c r="AI131" s="461"/>
      <c r="AJ131" s="460"/>
      <c r="AK131" s="140"/>
      <c r="AL131" s="460"/>
      <c r="AM131" s="460"/>
      <c r="AN131" s="460"/>
      <c r="AO131" s="460"/>
      <c r="AP131" s="460"/>
      <c r="AQ131" s="18" t="s">
        <v>2909</v>
      </c>
      <c r="AR131" s="14" t="s">
        <v>1932</v>
      </c>
    </row>
    <row r="132" spans="1:44" s="14" customFormat="1" x14ac:dyDescent="0.2">
      <c r="A132" s="18" t="s">
        <v>1837</v>
      </c>
      <c r="B132" s="18" t="s">
        <v>4283</v>
      </c>
      <c r="C132" s="119" t="s">
        <v>4280</v>
      </c>
      <c r="D132" s="1" t="s">
        <v>1550</v>
      </c>
      <c r="E132" s="119" t="s">
        <v>4281</v>
      </c>
      <c r="F132" s="18" t="s">
        <v>1077</v>
      </c>
      <c r="G132" s="18" t="s">
        <v>3344</v>
      </c>
      <c r="H132" s="3" t="s">
        <v>4282</v>
      </c>
      <c r="I132" s="18"/>
      <c r="J132" s="18"/>
      <c r="K132" s="37" t="s">
        <v>1299</v>
      </c>
      <c r="L132" s="36" t="s">
        <v>977</v>
      </c>
      <c r="M132" s="514"/>
      <c r="N132" s="514">
        <f>IF($C132="","",VLOOKUP($C132,'2017 Pricelist'!$C:$I,7,FALSE))</f>
        <v>24.990000000000002</v>
      </c>
      <c r="O132" s="35">
        <v>1</v>
      </c>
      <c r="P132" s="239">
        <v>15</v>
      </c>
      <c r="Q132" s="44">
        <v>0.21</v>
      </c>
      <c r="R132" s="441">
        <v>6.3</v>
      </c>
      <c r="S132" s="441">
        <v>1.7</v>
      </c>
      <c r="T132" s="442">
        <v>2</v>
      </c>
      <c r="U132" s="44">
        <v>0.2</v>
      </c>
      <c r="V132" s="33">
        <v>7.5</v>
      </c>
      <c r="W132" s="33">
        <v>1.25</v>
      </c>
      <c r="X132" s="70">
        <v>1.25</v>
      </c>
      <c r="Y132" s="90" t="s">
        <v>259</v>
      </c>
      <c r="Z132" s="89" t="s">
        <v>259</v>
      </c>
      <c r="AA132" s="89" t="s">
        <v>259</v>
      </c>
      <c r="AB132" s="249" t="s">
        <v>259</v>
      </c>
      <c r="AC132" s="44">
        <v>3.55</v>
      </c>
      <c r="AD132" s="33">
        <v>9.75</v>
      </c>
      <c r="AE132" s="33">
        <v>5</v>
      </c>
      <c r="AF132" s="70">
        <v>9</v>
      </c>
      <c r="AG132" s="42">
        <f t="shared" si="16"/>
        <v>0.25390625</v>
      </c>
      <c r="AH132" s="489" t="s">
        <v>4298</v>
      </c>
      <c r="AI132" s="489" t="s">
        <v>4300</v>
      </c>
      <c r="AJ132" s="489" t="s">
        <v>2909</v>
      </c>
      <c r="AK132" s="63" t="s">
        <v>4299</v>
      </c>
      <c r="AL132" s="63" t="s">
        <v>4301</v>
      </c>
      <c r="AM132" s="460"/>
      <c r="AN132" s="460"/>
      <c r="AO132" s="460"/>
      <c r="AP132" s="582" t="s">
        <v>4297</v>
      </c>
      <c r="AQ132" s="18" t="s">
        <v>2909</v>
      </c>
      <c r="AR132" s="14" t="s">
        <v>1932</v>
      </c>
    </row>
    <row r="133" spans="1:44" s="14" customFormat="1" x14ac:dyDescent="0.2">
      <c r="A133" s="18" t="s">
        <v>1837</v>
      </c>
      <c r="B133" s="18"/>
      <c r="C133" s="1" t="s">
        <v>1163</v>
      </c>
      <c r="D133" s="1" t="s">
        <v>1494</v>
      </c>
      <c r="E133" s="1" t="s">
        <v>3418</v>
      </c>
      <c r="F133" s="18" t="s">
        <v>1431</v>
      </c>
      <c r="G133" s="18" t="s">
        <v>3344</v>
      </c>
      <c r="H133" s="3" t="s">
        <v>1232</v>
      </c>
      <c r="I133" s="18"/>
      <c r="J133" s="18"/>
      <c r="K133" s="37" t="s">
        <v>1299</v>
      </c>
      <c r="L133" s="36" t="s">
        <v>977</v>
      </c>
      <c r="M133" s="514"/>
      <c r="N133" s="514">
        <f>IF($C133="","",VLOOKUP($C133,'2017 Pricelist'!$C:$I,7,FALSE))</f>
        <v>15.99</v>
      </c>
      <c r="O133" s="35">
        <v>1</v>
      </c>
      <c r="P133" s="239">
        <v>15</v>
      </c>
      <c r="Q133" s="44">
        <f>CONVERT(0.123,"kg","lbm")</f>
        <v>0.27116858248739945</v>
      </c>
      <c r="R133" s="441">
        <f>CONVERT(225,"mm","in")</f>
        <v>8.8582677165354333</v>
      </c>
      <c r="S133" s="441">
        <f>CONVERT(102,"mm","in")</f>
        <v>4.015748031496063</v>
      </c>
      <c r="T133" s="442">
        <v>2.5</v>
      </c>
      <c r="U133" s="44">
        <v>0.27116858248739939</v>
      </c>
      <c r="V133" s="33">
        <v>9.5</v>
      </c>
      <c r="W133" s="33">
        <v>2</v>
      </c>
      <c r="X133" s="70">
        <v>1.4</v>
      </c>
      <c r="Y133" s="90" t="s">
        <v>259</v>
      </c>
      <c r="Z133" s="89" t="s">
        <v>259</v>
      </c>
      <c r="AA133" s="89" t="s">
        <v>259</v>
      </c>
      <c r="AB133" s="249" t="s">
        <v>259</v>
      </c>
      <c r="AC133" s="44">
        <v>4.5</v>
      </c>
      <c r="AD133" s="33">
        <v>9.75</v>
      </c>
      <c r="AE133" s="33">
        <v>5</v>
      </c>
      <c r="AF133" s="70">
        <v>10.25</v>
      </c>
      <c r="AG133" s="42">
        <f t="shared" si="16"/>
        <v>0.28917100694444442</v>
      </c>
      <c r="AH133" s="85" t="s">
        <v>1307</v>
      </c>
      <c r="AI133" s="84" t="s">
        <v>1435</v>
      </c>
      <c r="AJ133" s="85" t="s">
        <v>1432</v>
      </c>
      <c r="AK133" s="37" t="s">
        <v>1437</v>
      </c>
      <c r="AL133" s="18"/>
      <c r="AM133" s="18"/>
      <c r="AN133" s="18"/>
      <c r="AO133" s="18"/>
      <c r="AP133" s="85" t="s">
        <v>1433</v>
      </c>
      <c r="AQ133" s="18" t="s">
        <v>2909</v>
      </c>
      <c r="AR133" s="14" t="s">
        <v>1932</v>
      </c>
    </row>
    <row r="134" spans="1:44" s="14" customFormat="1" x14ac:dyDescent="0.2">
      <c r="A134" s="18" t="s">
        <v>1837</v>
      </c>
      <c r="B134" s="18"/>
      <c r="C134" s="1" t="s">
        <v>1164</v>
      </c>
      <c r="D134" s="1" t="s">
        <v>1550</v>
      </c>
      <c r="E134" s="1" t="s">
        <v>3419</v>
      </c>
      <c r="F134" s="18" t="s">
        <v>1077</v>
      </c>
      <c r="G134" s="18" t="s">
        <v>3344</v>
      </c>
      <c r="H134" s="3" t="s">
        <v>1233</v>
      </c>
      <c r="I134" s="18"/>
      <c r="J134" s="18"/>
      <c r="K134" s="37" t="s">
        <v>1299</v>
      </c>
      <c r="L134" s="36" t="s">
        <v>977</v>
      </c>
      <c r="M134" s="514"/>
      <c r="N134" s="514">
        <f>IF($C134="","",VLOOKUP($C134,'2017 Pricelist'!$C:$I,7,FALSE))</f>
        <v>17.989999999999998</v>
      </c>
      <c r="O134" s="35">
        <v>1</v>
      </c>
      <c r="P134" s="239">
        <v>15</v>
      </c>
      <c r="Q134" s="44">
        <f>CONVERT(0.123,"kg","lbm")</f>
        <v>0.27116858248739945</v>
      </c>
      <c r="R134" s="441">
        <f>CONVERT(225,"mm","in")</f>
        <v>8.8582677165354333</v>
      </c>
      <c r="S134" s="441">
        <f>CONVERT(102,"mm","in")</f>
        <v>4.015748031496063</v>
      </c>
      <c r="T134" s="442">
        <v>2.5</v>
      </c>
      <c r="U134" s="44">
        <v>0.27116858248739939</v>
      </c>
      <c r="V134" s="33">
        <v>9.5</v>
      </c>
      <c r="W134" s="33">
        <v>2</v>
      </c>
      <c r="X134" s="70">
        <v>1.4</v>
      </c>
      <c r="Y134" s="90" t="s">
        <v>259</v>
      </c>
      <c r="Z134" s="89" t="s">
        <v>259</v>
      </c>
      <c r="AA134" s="89" t="s">
        <v>259</v>
      </c>
      <c r="AB134" s="249" t="s">
        <v>259</v>
      </c>
      <c r="AC134" s="44">
        <v>4.5</v>
      </c>
      <c r="AD134" s="33">
        <v>9.75</v>
      </c>
      <c r="AE134" s="33">
        <v>5</v>
      </c>
      <c r="AF134" s="70">
        <v>10.25</v>
      </c>
      <c r="AG134" s="42">
        <f t="shared" si="16"/>
        <v>0.28917100694444442</v>
      </c>
      <c r="AH134" s="85" t="s">
        <v>1311</v>
      </c>
      <c r="AI134" s="84" t="s">
        <v>1435</v>
      </c>
      <c r="AJ134" s="85" t="s">
        <v>1432</v>
      </c>
      <c r="AK134" s="37" t="s">
        <v>1437</v>
      </c>
      <c r="AL134" s="18"/>
      <c r="AM134" s="18"/>
      <c r="AN134" s="18"/>
      <c r="AO134" s="18"/>
      <c r="AP134" s="85" t="s">
        <v>1434</v>
      </c>
      <c r="AQ134" s="18" t="s">
        <v>2909</v>
      </c>
      <c r="AR134" s="14" t="s">
        <v>1932</v>
      </c>
    </row>
    <row r="135" spans="1:44" s="14" customFormat="1" x14ac:dyDescent="0.2">
      <c r="A135" s="18" t="s">
        <v>1837</v>
      </c>
      <c r="B135" s="18"/>
      <c r="C135" s="1" t="s">
        <v>1503</v>
      </c>
      <c r="D135" s="1" t="s">
        <v>1494</v>
      </c>
      <c r="E135" s="1" t="s">
        <v>3420</v>
      </c>
      <c r="F135" s="18" t="s">
        <v>1431</v>
      </c>
      <c r="G135" s="18" t="s">
        <v>2520</v>
      </c>
      <c r="H135" s="3" t="s">
        <v>1234</v>
      </c>
      <c r="I135" s="18"/>
      <c r="J135" s="18"/>
      <c r="K135" s="37" t="s">
        <v>1299</v>
      </c>
      <c r="L135" s="36" t="s">
        <v>977</v>
      </c>
      <c r="M135" s="514"/>
      <c r="N135" s="514">
        <f>IF($C135="","",VLOOKUP($C135,'2017 Pricelist'!$C:$I,7,FALSE))</f>
        <v>24.990000000000002</v>
      </c>
      <c r="O135" s="35">
        <v>1</v>
      </c>
      <c r="P135" s="239">
        <v>10</v>
      </c>
      <c r="Q135" s="44">
        <f>CONVERT(0.16,"kg","lbm")</f>
        <v>0.35273961949580412</v>
      </c>
      <c r="R135" s="441">
        <f>CONVERT(275,"mm","in")</f>
        <v>10.826771653543307</v>
      </c>
      <c r="S135" s="441">
        <f>CONVERT(148,"mm","in")</f>
        <v>5.8267716535433074</v>
      </c>
      <c r="T135" s="442">
        <v>2.5</v>
      </c>
      <c r="U135" s="44">
        <v>0.35273961949580412</v>
      </c>
      <c r="V135" s="33">
        <v>11.875</v>
      </c>
      <c r="W135" s="33">
        <v>1.75</v>
      </c>
      <c r="X135" s="70">
        <v>1.25</v>
      </c>
      <c r="Y135" s="90" t="s">
        <v>259</v>
      </c>
      <c r="Z135" s="89" t="s">
        <v>259</v>
      </c>
      <c r="AA135" s="89" t="s">
        <v>259</v>
      </c>
      <c r="AB135" s="249" t="s">
        <v>259</v>
      </c>
      <c r="AC135" s="44">
        <v>3.7919509095798944</v>
      </c>
      <c r="AD135" s="33">
        <v>15</v>
      </c>
      <c r="AE135" s="33">
        <v>5.5</v>
      </c>
      <c r="AF135" s="70">
        <v>3.875</v>
      </c>
      <c r="AG135" s="42">
        <f t="shared" si="16"/>
        <v>0.18500434027777779</v>
      </c>
      <c r="AH135" s="85" t="s">
        <v>1307</v>
      </c>
      <c r="AI135" s="84" t="s">
        <v>1435</v>
      </c>
      <c r="AJ135" s="85" t="s">
        <v>1432</v>
      </c>
      <c r="AK135" s="37" t="s">
        <v>1437</v>
      </c>
      <c r="AL135" s="18"/>
      <c r="AM135" s="18"/>
      <c r="AN135" s="18"/>
      <c r="AO135" s="18"/>
      <c r="AP135" s="85" t="s">
        <v>1357</v>
      </c>
      <c r="AQ135" s="18" t="s">
        <v>2909</v>
      </c>
      <c r="AR135" s="14" t="s">
        <v>1932</v>
      </c>
    </row>
    <row r="136" spans="1:44" s="14" customFormat="1" x14ac:dyDescent="0.2">
      <c r="A136" s="18" t="s">
        <v>1837</v>
      </c>
      <c r="B136" s="18"/>
      <c r="C136" s="1" t="s">
        <v>2081</v>
      </c>
      <c r="D136" s="1" t="s">
        <v>1550</v>
      </c>
      <c r="E136" s="1" t="s">
        <v>3421</v>
      </c>
      <c r="F136" s="18" t="s">
        <v>3687</v>
      </c>
      <c r="G136" s="18" t="s">
        <v>2557</v>
      </c>
      <c r="H136" s="3" t="s">
        <v>2082</v>
      </c>
      <c r="I136" s="18"/>
      <c r="J136" s="18"/>
      <c r="K136" s="37" t="s">
        <v>1299</v>
      </c>
      <c r="L136" s="36" t="s">
        <v>977</v>
      </c>
      <c r="M136" s="514"/>
      <c r="N136" s="514">
        <f>IF($C136="","",VLOOKUP($C136,'2017 Pricelist'!$C:$I,7,FALSE))</f>
        <v>34.99</v>
      </c>
      <c r="O136" s="35">
        <v>1</v>
      </c>
      <c r="P136" s="239">
        <v>15</v>
      </c>
      <c r="Q136" s="44">
        <f>CONVERT(0.16,"kg","lbm")</f>
        <v>0.35273961949580412</v>
      </c>
      <c r="R136" s="441">
        <f>CONVERT(275,"mm","in")</f>
        <v>10.826771653543307</v>
      </c>
      <c r="S136" s="441">
        <f>CONVERT(148,"mm","in")</f>
        <v>5.8267716535433074</v>
      </c>
      <c r="T136" s="442">
        <v>2.5</v>
      </c>
      <c r="U136" s="120"/>
      <c r="V136" s="121"/>
      <c r="W136" s="121"/>
      <c r="X136" s="122"/>
      <c r="Y136" s="90" t="s">
        <v>259</v>
      </c>
      <c r="Z136" s="89" t="s">
        <v>259</v>
      </c>
      <c r="AA136" s="89" t="s">
        <v>259</v>
      </c>
      <c r="AB136" s="249" t="s">
        <v>259</v>
      </c>
      <c r="AC136" s="44">
        <v>6.4</v>
      </c>
      <c r="AD136" s="33">
        <v>15.5</v>
      </c>
      <c r="AE136" s="33">
        <v>8.5</v>
      </c>
      <c r="AF136" s="70">
        <v>7</v>
      </c>
      <c r="AG136" s="42"/>
      <c r="AH136" s="460"/>
      <c r="AI136" s="461"/>
      <c r="AJ136" s="460"/>
      <c r="AK136" s="140"/>
      <c r="AL136" s="248"/>
      <c r="AM136" s="248"/>
      <c r="AN136" s="248"/>
      <c r="AO136" s="248"/>
      <c r="AP136" s="460"/>
      <c r="AQ136" s="18" t="s">
        <v>2909</v>
      </c>
      <c r="AR136" s="14" t="s">
        <v>1932</v>
      </c>
    </row>
    <row r="137" spans="1:44" s="14" customFormat="1" x14ac:dyDescent="0.2">
      <c r="A137" s="18" t="s">
        <v>1837</v>
      </c>
      <c r="B137" s="18"/>
      <c r="C137" s="1" t="s">
        <v>1166</v>
      </c>
      <c r="D137" s="1" t="s">
        <v>1550</v>
      </c>
      <c r="E137" s="1" t="s">
        <v>3422</v>
      </c>
      <c r="F137" s="18" t="s">
        <v>1077</v>
      </c>
      <c r="G137" s="18" t="s">
        <v>2520</v>
      </c>
      <c r="H137" s="3" t="s">
        <v>1236</v>
      </c>
      <c r="I137" s="18"/>
      <c r="J137" s="18"/>
      <c r="K137" s="37" t="s">
        <v>1299</v>
      </c>
      <c r="L137" s="36" t="s">
        <v>977</v>
      </c>
      <c r="M137" s="514"/>
      <c r="N137" s="514">
        <f>IF($C137="","",VLOOKUP($C137,'2017 Pricelist'!$C:$I,7,FALSE))</f>
        <v>34.99</v>
      </c>
      <c r="O137" s="35">
        <v>1</v>
      </c>
      <c r="P137" s="239">
        <v>10</v>
      </c>
      <c r="Q137" s="44">
        <f>CONVERT(0.182,"kg","lbm")</f>
        <v>0.40124131717647721</v>
      </c>
      <c r="R137" s="441">
        <f>CONVERT(330,"mm","in")</f>
        <v>12.992125984251969</v>
      </c>
      <c r="S137" s="441">
        <f>CONVERT(205,"mm","in")</f>
        <v>8.0708661417322833</v>
      </c>
      <c r="T137" s="442">
        <v>2.5</v>
      </c>
      <c r="U137" s="44">
        <f>CONVERT(182,"g","lbm")</f>
        <v>0.40124131717647721</v>
      </c>
      <c r="V137" s="33">
        <v>13.5</v>
      </c>
      <c r="W137" s="33">
        <v>2</v>
      </c>
      <c r="X137" s="70">
        <v>1.25</v>
      </c>
      <c r="Y137" s="90" t="s">
        <v>259</v>
      </c>
      <c r="Z137" s="89" t="s">
        <v>259</v>
      </c>
      <c r="AA137" s="89" t="s">
        <v>259</v>
      </c>
      <c r="AB137" s="249" t="s">
        <v>259</v>
      </c>
      <c r="AC137" s="44">
        <v>4.2549216601681374</v>
      </c>
      <c r="AD137" s="33">
        <v>15.125</v>
      </c>
      <c r="AE137" s="33">
        <v>5.5</v>
      </c>
      <c r="AF137" s="70">
        <v>3.875</v>
      </c>
      <c r="AG137" s="42">
        <f>AD137*AE137*AF137/(12^3)</f>
        <v>0.18654604311342593</v>
      </c>
      <c r="AH137" s="85" t="s">
        <v>1311</v>
      </c>
      <c r="AI137" s="84" t="s">
        <v>1435</v>
      </c>
      <c r="AJ137" s="85" t="s">
        <v>1432</v>
      </c>
      <c r="AK137" s="37" t="s">
        <v>1437</v>
      </c>
      <c r="AL137" s="18"/>
      <c r="AM137" s="18"/>
      <c r="AN137" s="18"/>
      <c r="AO137" s="18"/>
      <c r="AP137" s="85" t="s">
        <v>1357</v>
      </c>
      <c r="AQ137" s="18" t="s">
        <v>2909</v>
      </c>
      <c r="AR137" s="14" t="s">
        <v>1932</v>
      </c>
    </row>
    <row r="138" spans="1:44" s="14" customFormat="1" x14ac:dyDescent="0.2">
      <c r="A138" s="18" t="s">
        <v>1837</v>
      </c>
      <c r="B138" s="18"/>
      <c r="C138" s="1" t="s">
        <v>1180</v>
      </c>
      <c r="D138" s="1" t="s">
        <v>1550</v>
      </c>
      <c r="E138" s="1" t="s">
        <v>1618</v>
      </c>
      <c r="F138" s="18" t="s">
        <v>222</v>
      </c>
      <c r="G138" s="18" t="s">
        <v>2520</v>
      </c>
      <c r="H138" s="3" t="s">
        <v>1250</v>
      </c>
      <c r="I138" s="18"/>
      <c r="J138" s="18"/>
      <c r="K138" s="37" t="s">
        <v>1299</v>
      </c>
      <c r="L138" s="36" t="s">
        <v>977</v>
      </c>
      <c r="M138" s="514"/>
      <c r="N138" s="514">
        <f>IF($C138="","",VLOOKUP($C138,'2017 Pricelist'!$C:$I,7,FALSE))</f>
        <v>34.99</v>
      </c>
      <c r="O138" s="35">
        <v>1</v>
      </c>
      <c r="P138" s="239">
        <v>10</v>
      </c>
      <c r="Q138" s="44">
        <f>CONVERT(0.238,"kg","lbm")</f>
        <v>0.52470018400000862</v>
      </c>
      <c r="R138" s="441">
        <f>CONVERT(500,"mm","in")</f>
        <v>19.685039370078741</v>
      </c>
      <c r="S138" s="441">
        <f>CONVERT(350,"mm","in")</f>
        <v>13.779527559055117</v>
      </c>
      <c r="T138" s="442">
        <v>1.4</v>
      </c>
      <c r="U138" s="44">
        <v>0.52470018400000862</v>
      </c>
      <c r="V138" s="33">
        <v>19.75</v>
      </c>
      <c r="W138" s="33">
        <v>2</v>
      </c>
      <c r="X138" s="70">
        <v>0.75</v>
      </c>
      <c r="Y138" s="90" t="s">
        <v>259</v>
      </c>
      <c r="Z138" s="89" t="s">
        <v>259</v>
      </c>
      <c r="AA138" s="89" t="s">
        <v>259</v>
      </c>
      <c r="AB138" s="249" t="s">
        <v>259</v>
      </c>
      <c r="AC138" s="44">
        <v>5.7</v>
      </c>
      <c r="AD138" s="33">
        <v>21</v>
      </c>
      <c r="AE138" s="33">
        <v>6</v>
      </c>
      <c r="AF138" s="70">
        <v>2.25</v>
      </c>
      <c r="AG138" s="42">
        <f>AD138*AE138*AF138/(12^3)</f>
        <v>0.1640625</v>
      </c>
      <c r="AH138" s="18" t="s">
        <v>1438</v>
      </c>
      <c r="AI138" s="18" t="s">
        <v>1360</v>
      </c>
      <c r="AJ138" s="18" t="s">
        <v>1441</v>
      </c>
      <c r="AK138" s="307" t="s">
        <v>1442</v>
      </c>
      <c r="AL138" s="18"/>
      <c r="AM138" s="18"/>
      <c r="AN138" s="18"/>
      <c r="AO138" s="18"/>
      <c r="AP138" s="18" t="s">
        <v>1444</v>
      </c>
      <c r="AQ138" s="18" t="s">
        <v>2909</v>
      </c>
      <c r="AR138" s="14" t="s">
        <v>1932</v>
      </c>
    </row>
    <row r="139" spans="1:44" s="14" customFormat="1" x14ac:dyDescent="0.2">
      <c r="A139" s="18" t="s">
        <v>1837</v>
      </c>
      <c r="B139" s="18"/>
      <c r="C139" s="1" t="s">
        <v>1181</v>
      </c>
      <c r="D139" s="1" t="s">
        <v>1494</v>
      </c>
      <c r="E139" s="1" t="s">
        <v>3423</v>
      </c>
      <c r="F139" s="18" t="s">
        <v>222</v>
      </c>
      <c r="G139" s="18" t="s">
        <v>2520</v>
      </c>
      <c r="H139" s="3" t="s">
        <v>1251</v>
      </c>
      <c r="I139" s="18"/>
      <c r="J139" s="18"/>
      <c r="K139" s="37" t="s">
        <v>1299</v>
      </c>
      <c r="L139" s="36" t="s">
        <v>977</v>
      </c>
      <c r="M139" s="514"/>
      <c r="N139" s="514">
        <f>IF($C139="","",VLOOKUP($C139,'2017 Pricelist'!$C:$I,7,FALSE))</f>
        <v>17.989999999999998</v>
      </c>
      <c r="O139" s="35">
        <v>1</v>
      </c>
      <c r="P139" s="239">
        <v>10</v>
      </c>
      <c r="Q139" s="44">
        <f>CONVERT(0.088,"kg","lbm")</f>
        <v>0.19400679072269225</v>
      </c>
      <c r="R139" s="441">
        <f>CONVERT(180,"mm","in")</f>
        <v>7.0866141732283472</v>
      </c>
      <c r="S139" s="441">
        <f>CONVERT(63,"mm","in")</f>
        <v>2.4803149606299213</v>
      </c>
      <c r="T139" s="442">
        <v>2</v>
      </c>
      <c r="U139" s="44" t="s">
        <v>2702</v>
      </c>
      <c r="V139" s="33">
        <v>8.875</v>
      </c>
      <c r="W139" s="33">
        <v>2.75</v>
      </c>
      <c r="X139" s="70">
        <v>1</v>
      </c>
      <c r="Y139" s="90" t="s">
        <v>259</v>
      </c>
      <c r="Z139" s="89" t="s">
        <v>259</v>
      </c>
      <c r="AA139" s="89" t="s">
        <v>259</v>
      </c>
      <c r="AB139" s="249" t="s">
        <v>259</v>
      </c>
      <c r="AC139" s="44">
        <v>2.3368999791597025</v>
      </c>
      <c r="AD139" s="33">
        <v>14.625</v>
      </c>
      <c r="AE139" s="33">
        <v>4.875</v>
      </c>
      <c r="AF139" s="70">
        <v>3.125</v>
      </c>
      <c r="AG139" s="42">
        <f>AD139*AE139*AF139/(12^3)</f>
        <v>0.128936767578125</v>
      </c>
      <c r="AH139" s="18" t="s">
        <v>1307</v>
      </c>
      <c r="AI139" s="18" t="s">
        <v>1360</v>
      </c>
      <c r="AJ139" s="85" t="s">
        <v>1362</v>
      </c>
      <c r="AK139" s="307" t="s">
        <v>1361</v>
      </c>
      <c r="AL139" s="85" t="s">
        <v>1363</v>
      </c>
      <c r="AM139" s="85"/>
      <c r="AN139" s="85"/>
      <c r="AO139" s="85"/>
      <c r="AP139" s="85" t="s">
        <v>1445</v>
      </c>
      <c r="AQ139" s="18" t="s">
        <v>2909</v>
      </c>
      <c r="AR139" s="14" t="s">
        <v>1932</v>
      </c>
    </row>
    <row r="140" spans="1:44" x14ac:dyDescent="0.2">
      <c r="J140" s="241"/>
      <c r="U140" s="567"/>
      <c r="X140" s="70"/>
      <c r="AB140" s="249"/>
      <c r="AC140" s="567"/>
    </row>
    <row r="141" spans="1:44" s="18" customFormat="1" ht="15.75" x14ac:dyDescent="0.25">
      <c r="A141" s="421" t="s">
        <v>3350</v>
      </c>
      <c r="B141" s="424"/>
      <c r="C141" s="424"/>
      <c r="D141" s="1"/>
      <c r="E141" s="1"/>
      <c r="H141" s="3"/>
      <c r="K141" s="37"/>
      <c r="L141" s="36"/>
      <c r="M141" s="511"/>
      <c r="N141" s="511"/>
      <c r="O141" s="35"/>
      <c r="P141" s="239"/>
      <c r="Q141" s="44"/>
      <c r="R141" s="33"/>
      <c r="S141" s="33"/>
      <c r="T141" s="70"/>
      <c r="U141" s="44"/>
      <c r="V141" s="33"/>
      <c r="W141" s="33"/>
      <c r="X141" s="70"/>
      <c r="Y141" s="90"/>
      <c r="Z141" s="89"/>
      <c r="AA141" s="89"/>
      <c r="AB141" s="249"/>
      <c r="AC141" s="44"/>
      <c r="AD141" s="33"/>
      <c r="AE141" s="33"/>
      <c r="AF141" s="70"/>
      <c r="AG141" s="44"/>
      <c r="AH141" s="85"/>
      <c r="AI141" s="84"/>
      <c r="AJ141" s="85"/>
      <c r="AK141" s="37"/>
      <c r="AL141" s="85"/>
      <c r="AM141" s="85"/>
      <c r="AN141" s="85"/>
      <c r="AO141" s="85"/>
      <c r="AP141" s="85"/>
      <c r="AR141" s="37"/>
    </row>
    <row r="142" spans="1:44" s="14" customFormat="1" x14ac:dyDescent="0.2">
      <c r="A142" s="18" t="s">
        <v>1837</v>
      </c>
      <c r="B142" s="18"/>
      <c r="C142" s="40" t="s">
        <v>2003</v>
      </c>
      <c r="D142" s="1" t="s">
        <v>1550</v>
      </c>
      <c r="E142" s="449" t="s">
        <v>3443</v>
      </c>
      <c r="F142" s="18" t="s">
        <v>222</v>
      </c>
      <c r="G142" s="18" t="s">
        <v>2523</v>
      </c>
      <c r="H142" s="450" t="s">
        <v>2006</v>
      </c>
      <c r="I142" s="18"/>
      <c r="J142" s="18"/>
      <c r="K142" s="37" t="s">
        <v>3444</v>
      </c>
      <c r="L142" s="36" t="s">
        <v>977</v>
      </c>
      <c r="M142" s="514"/>
      <c r="N142" s="514">
        <f>IF($C142="","",VLOOKUP($C142,'2017 Pricelist'!$C:$I,7,FALSE))</f>
        <v>149.99</v>
      </c>
      <c r="O142" s="35">
        <v>1</v>
      </c>
      <c r="P142" s="239">
        <v>3</v>
      </c>
      <c r="Q142" s="44">
        <f>CONVERT(0.1746,"kg","lbm")</f>
        <v>0.38492710977479627</v>
      </c>
      <c r="R142" s="441">
        <f>CONVERT(345,"mm","in")</f>
        <v>13.582677165354331</v>
      </c>
      <c r="S142" s="441">
        <f>CONVERT(220,"mm","in")</f>
        <v>8.6614173228346463</v>
      </c>
      <c r="T142" s="442">
        <v>2.5</v>
      </c>
      <c r="U142" s="44">
        <v>0.38492710977479622</v>
      </c>
      <c r="V142" s="121"/>
      <c r="W142" s="121"/>
      <c r="X142" s="122"/>
      <c r="Y142" s="90" t="s">
        <v>259</v>
      </c>
      <c r="Z142" s="89" t="s">
        <v>259</v>
      </c>
      <c r="AA142" s="89" t="s">
        <v>259</v>
      </c>
      <c r="AB142" s="249" t="s">
        <v>259</v>
      </c>
      <c r="AC142" s="220"/>
      <c r="AD142" s="221"/>
      <c r="AE142" s="221"/>
      <c r="AF142" s="222"/>
      <c r="AG142" s="42"/>
      <c r="AH142" s="468" t="s">
        <v>3689</v>
      </c>
      <c r="AI142" s="468" t="s">
        <v>3642</v>
      </c>
      <c r="AJ142" s="468" t="s">
        <v>3643</v>
      </c>
      <c r="AK142" s="468" t="s">
        <v>3644</v>
      </c>
      <c r="AL142" s="85" t="s">
        <v>3645</v>
      </c>
      <c r="AM142" s="85" t="s">
        <v>3646</v>
      </c>
      <c r="AN142" s="85"/>
      <c r="AO142" s="85"/>
      <c r="AP142" s="472" t="s">
        <v>3641</v>
      </c>
      <c r="AQ142" s="18" t="s">
        <v>2909</v>
      </c>
      <c r="AR142" s="14" t="s">
        <v>1932</v>
      </c>
    </row>
    <row r="143" spans="1:44" s="14" customFormat="1" x14ac:dyDescent="0.2">
      <c r="A143" s="18" t="s">
        <v>1837</v>
      </c>
      <c r="B143" s="18"/>
      <c r="C143" s="40" t="s">
        <v>2011</v>
      </c>
      <c r="D143" s="1" t="s">
        <v>1550</v>
      </c>
      <c r="E143" s="449" t="s">
        <v>3443</v>
      </c>
      <c r="F143" s="18" t="s">
        <v>484</v>
      </c>
      <c r="G143" s="18" t="s">
        <v>2523</v>
      </c>
      <c r="H143" s="450" t="s">
        <v>2015</v>
      </c>
      <c r="I143" s="18"/>
      <c r="J143" s="18"/>
      <c r="K143" s="37" t="s">
        <v>3444</v>
      </c>
      <c r="L143" s="36" t="s">
        <v>977</v>
      </c>
      <c r="M143" s="514"/>
      <c r="N143" s="514">
        <f>IF($C143="","",VLOOKUP($C143,'2017 Pricelist'!$C:$I,7,FALSE))</f>
        <v>149.99</v>
      </c>
      <c r="O143" s="35">
        <v>1</v>
      </c>
      <c r="P143" s="239">
        <v>3</v>
      </c>
      <c r="Q143" s="44">
        <f>CONVERT(0.1746,"kg","lbm")</f>
        <v>0.38492710977479627</v>
      </c>
      <c r="R143" s="441">
        <f>CONVERT(345,"mm","in")</f>
        <v>13.582677165354331</v>
      </c>
      <c r="S143" s="441">
        <f>CONVERT(220,"mm","in")</f>
        <v>8.6614173228346463</v>
      </c>
      <c r="T143" s="442">
        <v>2.5</v>
      </c>
      <c r="U143" s="44">
        <v>0.38492710977479622</v>
      </c>
      <c r="V143" s="121"/>
      <c r="W143" s="121"/>
      <c r="X143" s="122"/>
      <c r="Y143" s="90" t="s">
        <v>259</v>
      </c>
      <c r="Z143" s="89" t="s">
        <v>259</v>
      </c>
      <c r="AA143" s="89" t="s">
        <v>259</v>
      </c>
      <c r="AB143" s="249" t="s">
        <v>259</v>
      </c>
      <c r="AC143" s="220"/>
      <c r="AD143" s="221"/>
      <c r="AE143" s="221"/>
      <c r="AF143" s="222"/>
      <c r="AG143" s="42"/>
      <c r="AH143" s="468" t="s">
        <v>3689</v>
      </c>
      <c r="AI143" s="468" t="s">
        <v>3642</v>
      </c>
      <c r="AJ143" s="468" t="s">
        <v>3643</v>
      </c>
      <c r="AK143" s="468" t="s">
        <v>3644</v>
      </c>
      <c r="AL143" s="85" t="s">
        <v>3647</v>
      </c>
      <c r="AM143" s="85" t="s">
        <v>3646</v>
      </c>
      <c r="AN143" s="85"/>
      <c r="AO143" s="85"/>
      <c r="AP143" s="472" t="s">
        <v>3641</v>
      </c>
      <c r="AQ143" s="18" t="s">
        <v>2909</v>
      </c>
      <c r="AR143" s="14" t="s">
        <v>1932</v>
      </c>
    </row>
    <row r="144" spans="1:44" s="14" customFormat="1" x14ac:dyDescent="0.2">
      <c r="A144" s="18" t="s">
        <v>1837</v>
      </c>
      <c r="B144" s="18"/>
      <c r="C144" s="40" t="s">
        <v>2010</v>
      </c>
      <c r="D144" s="1" t="s">
        <v>1550</v>
      </c>
      <c r="E144" s="449" t="s">
        <v>3445</v>
      </c>
      <c r="F144" s="18" t="s">
        <v>222</v>
      </c>
      <c r="G144" s="18" t="s">
        <v>2523</v>
      </c>
      <c r="H144" s="450" t="s">
        <v>2014</v>
      </c>
      <c r="I144" s="18"/>
      <c r="J144" s="18"/>
      <c r="K144" s="37" t="s">
        <v>3444</v>
      </c>
      <c r="L144" s="36" t="s">
        <v>977</v>
      </c>
      <c r="M144" s="514"/>
      <c r="N144" s="514">
        <f>IF($C144="","",VLOOKUP($C144,'2017 Pricelist'!$C:$I,7,FALSE))</f>
        <v>119.99000000000001</v>
      </c>
      <c r="O144" s="35">
        <v>1</v>
      </c>
      <c r="P144" s="239">
        <v>3</v>
      </c>
      <c r="Q144" s="44">
        <f>CONVERT(0.0942,"kg","lbm")</f>
        <v>0.20767545097815468</v>
      </c>
      <c r="R144" s="441">
        <f>CONVERT(233,"mm","in")</f>
        <v>9.1732283464566944</v>
      </c>
      <c r="S144" s="441">
        <f>CONVERT(128,"mm","in")</f>
        <v>5.0393700787401574</v>
      </c>
      <c r="T144" s="442">
        <v>2</v>
      </c>
      <c r="U144" s="44">
        <v>0.20767545097815468</v>
      </c>
      <c r="V144" s="121"/>
      <c r="W144" s="121"/>
      <c r="X144" s="122"/>
      <c r="Y144" s="90" t="s">
        <v>259</v>
      </c>
      <c r="Z144" s="89" t="s">
        <v>259</v>
      </c>
      <c r="AA144" s="89" t="s">
        <v>259</v>
      </c>
      <c r="AB144" s="249" t="s">
        <v>259</v>
      </c>
      <c r="AC144" s="220"/>
      <c r="AD144" s="221"/>
      <c r="AE144" s="221"/>
      <c r="AF144" s="222"/>
      <c r="AG144" s="42"/>
      <c r="AH144" s="468" t="s">
        <v>3690</v>
      </c>
      <c r="AI144" s="468" t="s">
        <v>3651</v>
      </c>
      <c r="AJ144" s="468" t="s">
        <v>3652</v>
      </c>
      <c r="AK144" s="468" t="s">
        <v>3645</v>
      </c>
      <c r="AL144" s="85" t="s">
        <v>3653</v>
      </c>
      <c r="AM144" s="85"/>
      <c r="AN144" s="85"/>
      <c r="AO144" s="85"/>
      <c r="AP144" s="472" t="s">
        <v>3663</v>
      </c>
      <c r="AQ144" s="18" t="s">
        <v>2909</v>
      </c>
      <c r="AR144" s="14" t="s">
        <v>1932</v>
      </c>
    </row>
    <row r="145" spans="1:44" s="14" customFormat="1" x14ac:dyDescent="0.2">
      <c r="A145" s="18" t="s">
        <v>1837</v>
      </c>
      <c r="B145" s="18"/>
      <c r="C145" s="40" t="s">
        <v>2019</v>
      </c>
      <c r="D145" s="1" t="s">
        <v>1550</v>
      </c>
      <c r="E145" s="449" t="s">
        <v>3445</v>
      </c>
      <c r="F145" s="18" t="s">
        <v>484</v>
      </c>
      <c r="G145" s="18" t="s">
        <v>2523</v>
      </c>
      <c r="H145" s="450" t="s">
        <v>2022</v>
      </c>
      <c r="I145" s="18"/>
      <c r="J145" s="18"/>
      <c r="K145" s="37" t="s">
        <v>3444</v>
      </c>
      <c r="L145" s="36" t="s">
        <v>977</v>
      </c>
      <c r="M145" s="514"/>
      <c r="N145" s="514">
        <f>IF($C145="","",VLOOKUP($C145,'2017 Pricelist'!$C:$I,7,FALSE))</f>
        <v>119.99000000000001</v>
      </c>
      <c r="O145" s="35">
        <v>1</v>
      </c>
      <c r="P145" s="239">
        <v>3</v>
      </c>
      <c r="Q145" s="44">
        <f>CONVERT(0.0942,"kg","lbm")</f>
        <v>0.20767545097815468</v>
      </c>
      <c r="R145" s="441">
        <f>CONVERT(233,"mm","in")</f>
        <v>9.1732283464566944</v>
      </c>
      <c r="S145" s="441">
        <f>CONVERT(128,"mm","in")</f>
        <v>5.0393700787401574</v>
      </c>
      <c r="T145" s="442">
        <v>2</v>
      </c>
      <c r="U145" s="44">
        <v>0.20767545097815468</v>
      </c>
      <c r="V145" s="121"/>
      <c r="W145" s="121"/>
      <c r="X145" s="122"/>
      <c r="Y145" s="90" t="s">
        <v>259</v>
      </c>
      <c r="Z145" s="89" t="s">
        <v>259</v>
      </c>
      <c r="AA145" s="89" t="s">
        <v>259</v>
      </c>
      <c r="AB145" s="249" t="s">
        <v>259</v>
      </c>
      <c r="AC145" s="220"/>
      <c r="AD145" s="221"/>
      <c r="AE145" s="221"/>
      <c r="AF145" s="222"/>
      <c r="AG145" s="42"/>
      <c r="AH145" s="468" t="s">
        <v>3690</v>
      </c>
      <c r="AI145" s="468" t="s">
        <v>3651</v>
      </c>
      <c r="AJ145" s="468" t="s">
        <v>3652</v>
      </c>
      <c r="AK145" s="468" t="s">
        <v>3647</v>
      </c>
      <c r="AL145" s="85" t="s">
        <v>3653</v>
      </c>
      <c r="AM145" s="85"/>
      <c r="AN145" s="85"/>
      <c r="AO145" s="85"/>
      <c r="AP145" s="472" t="s">
        <v>3663</v>
      </c>
      <c r="AQ145" s="18" t="s">
        <v>2909</v>
      </c>
      <c r="AR145" s="14" t="s">
        <v>1932</v>
      </c>
    </row>
    <row r="146" spans="1:44" s="14" customFormat="1" x14ac:dyDescent="0.2">
      <c r="A146" s="18" t="s">
        <v>1837</v>
      </c>
      <c r="B146" s="18"/>
      <c r="C146" s="40" t="s">
        <v>2004</v>
      </c>
      <c r="D146" s="1" t="s">
        <v>1550</v>
      </c>
      <c r="E146" s="449" t="s">
        <v>3446</v>
      </c>
      <c r="F146" s="18" t="s">
        <v>222</v>
      </c>
      <c r="G146" s="18" t="s">
        <v>2523</v>
      </c>
      <c r="H146" s="450" t="s">
        <v>2007</v>
      </c>
      <c r="I146" s="18"/>
      <c r="J146" s="18"/>
      <c r="K146" s="37" t="s">
        <v>3444</v>
      </c>
      <c r="L146" s="36" t="s">
        <v>977</v>
      </c>
      <c r="M146" s="514"/>
      <c r="N146" s="514">
        <f>IF($C146="","",VLOOKUP($C146,'2017 Pricelist'!$C:$I,7,FALSE))</f>
        <v>139.99</v>
      </c>
      <c r="O146" s="35">
        <v>1</v>
      </c>
      <c r="P146" s="239">
        <v>3</v>
      </c>
      <c r="Q146" s="44">
        <f>CONVERT(0.1566,"kg","lbm")</f>
        <v>0.34524390258151827</v>
      </c>
      <c r="R146" s="441">
        <f>CONVERT(371,"mm","in")</f>
        <v>14.606299212598426</v>
      </c>
      <c r="S146" s="441">
        <f>CONVERT(246,"mm","in")</f>
        <v>9.6850393700787407</v>
      </c>
      <c r="T146" s="442">
        <v>2.5</v>
      </c>
      <c r="U146" s="44">
        <v>0.34524390258151827</v>
      </c>
      <c r="V146" s="121"/>
      <c r="W146" s="121"/>
      <c r="X146" s="122"/>
      <c r="Y146" s="90" t="s">
        <v>259</v>
      </c>
      <c r="Z146" s="89" t="s">
        <v>259</v>
      </c>
      <c r="AA146" s="89" t="s">
        <v>259</v>
      </c>
      <c r="AB146" s="249" t="s">
        <v>259</v>
      </c>
      <c r="AC146" s="220"/>
      <c r="AD146" s="221"/>
      <c r="AE146" s="221"/>
      <c r="AF146" s="222"/>
      <c r="AG146" s="42"/>
      <c r="AH146" s="468" t="s">
        <v>3688</v>
      </c>
      <c r="AI146" s="468" t="s">
        <v>3648</v>
      </c>
      <c r="AJ146" s="468" t="s">
        <v>3649</v>
      </c>
      <c r="AK146" s="468" t="s">
        <v>3645</v>
      </c>
      <c r="AL146" s="85" t="s">
        <v>3650</v>
      </c>
      <c r="AM146" s="85"/>
      <c r="AN146" s="85"/>
      <c r="AO146" s="85"/>
      <c r="AP146" s="472" t="s">
        <v>3664</v>
      </c>
      <c r="AQ146" s="18" t="s">
        <v>2909</v>
      </c>
      <c r="AR146" s="14" t="s">
        <v>1932</v>
      </c>
    </row>
    <row r="147" spans="1:44" s="14" customFormat="1" x14ac:dyDescent="0.2">
      <c r="A147" s="18" t="s">
        <v>1837</v>
      </c>
      <c r="B147" s="18"/>
      <c r="C147" s="40" t="s">
        <v>2012</v>
      </c>
      <c r="D147" s="1" t="s">
        <v>1550</v>
      </c>
      <c r="E147" s="449" t="s">
        <v>3446</v>
      </c>
      <c r="F147" s="18" t="s">
        <v>484</v>
      </c>
      <c r="G147" s="18" t="s">
        <v>2523</v>
      </c>
      <c r="H147" s="450" t="s">
        <v>2016</v>
      </c>
      <c r="I147" s="18"/>
      <c r="J147" s="18"/>
      <c r="K147" s="37" t="s">
        <v>3444</v>
      </c>
      <c r="L147" s="36" t="s">
        <v>977</v>
      </c>
      <c r="M147" s="514"/>
      <c r="N147" s="514">
        <f>IF($C147="","",VLOOKUP($C147,'2017 Pricelist'!$C:$I,7,FALSE))</f>
        <v>139.99</v>
      </c>
      <c r="O147" s="35">
        <v>1</v>
      </c>
      <c r="P147" s="239">
        <v>3</v>
      </c>
      <c r="Q147" s="44">
        <f>CONVERT(0.1566,"kg","lbm")</f>
        <v>0.34524390258151827</v>
      </c>
      <c r="R147" s="441">
        <f>CONVERT(371,"mm","in")</f>
        <v>14.606299212598426</v>
      </c>
      <c r="S147" s="441">
        <f>CONVERT(246,"mm","in")</f>
        <v>9.6850393700787407</v>
      </c>
      <c r="T147" s="442">
        <v>2.5</v>
      </c>
      <c r="U147" s="44">
        <v>0.34524390258151827</v>
      </c>
      <c r="V147" s="121"/>
      <c r="W147" s="121"/>
      <c r="X147" s="122"/>
      <c r="Y147" s="90" t="s">
        <v>259</v>
      </c>
      <c r="Z147" s="89" t="s">
        <v>259</v>
      </c>
      <c r="AA147" s="89" t="s">
        <v>259</v>
      </c>
      <c r="AB147" s="249" t="s">
        <v>259</v>
      </c>
      <c r="AC147" s="220"/>
      <c r="AD147" s="221"/>
      <c r="AE147" s="221"/>
      <c r="AF147" s="222"/>
      <c r="AG147" s="42"/>
      <c r="AH147" s="468" t="s">
        <v>3688</v>
      </c>
      <c r="AI147" s="468" t="s">
        <v>3648</v>
      </c>
      <c r="AJ147" s="468" t="s">
        <v>3649</v>
      </c>
      <c r="AK147" s="468" t="s">
        <v>3647</v>
      </c>
      <c r="AL147" s="85" t="s">
        <v>3650</v>
      </c>
      <c r="AM147" s="85"/>
      <c r="AN147" s="85"/>
      <c r="AO147" s="85"/>
      <c r="AP147" s="472" t="s">
        <v>3664</v>
      </c>
      <c r="AQ147" s="18" t="s">
        <v>2909</v>
      </c>
      <c r="AR147" s="14" t="s">
        <v>1932</v>
      </c>
    </row>
    <row r="148" spans="1:44" s="14" customFormat="1" x14ac:dyDescent="0.2">
      <c r="A148" s="18" t="s">
        <v>1837</v>
      </c>
      <c r="B148" s="18"/>
      <c r="C148" s="40" t="s">
        <v>2005</v>
      </c>
      <c r="D148" s="1" t="s">
        <v>1550</v>
      </c>
      <c r="E148" s="449" t="s">
        <v>3447</v>
      </c>
      <c r="F148" s="18" t="s">
        <v>222</v>
      </c>
      <c r="G148" s="18" t="s">
        <v>2523</v>
      </c>
      <c r="H148" s="450" t="s">
        <v>2008</v>
      </c>
      <c r="I148" s="18"/>
      <c r="J148" s="18"/>
      <c r="K148" s="37" t="s">
        <v>3444</v>
      </c>
      <c r="L148" s="36" t="s">
        <v>977</v>
      </c>
      <c r="M148" s="514"/>
      <c r="N148" s="514">
        <f>IF($C148="","",VLOOKUP($C148,'2017 Pricelist'!$C:$I,7,FALSE))</f>
        <v>139.99</v>
      </c>
      <c r="O148" s="35">
        <v>1</v>
      </c>
      <c r="P148" s="239">
        <v>3</v>
      </c>
      <c r="Q148" s="44">
        <f>CONVERT(0.1155,"kg","lbm")</f>
        <v>0.25463391282353359</v>
      </c>
      <c r="R148" s="441">
        <f>CONVERT(313,"mm","in")</f>
        <v>12.322834645669291</v>
      </c>
      <c r="S148" s="441">
        <f>CONVERT(188,"mm","in")</f>
        <v>7.4015748031496065</v>
      </c>
      <c r="T148" s="442">
        <v>2.5</v>
      </c>
      <c r="U148" s="44">
        <v>0.25463391282353359</v>
      </c>
      <c r="V148" s="121"/>
      <c r="W148" s="121"/>
      <c r="X148" s="122"/>
      <c r="Y148" s="90" t="s">
        <v>259</v>
      </c>
      <c r="Z148" s="89" t="s">
        <v>259</v>
      </c>
      <c r="AA148" s="89" t="s">
        <v>259</v>
      </c>
      <c r="AB148" s="249" t="s">
        <v>259</v>
      </c>
      <c r="AC148" s="220"/>
      <c r="AD148" s="221"/>
      <c r="AE148" s="221"/>
      <c r="AF148" s="222"/>
      <c r="AG148" s="42"/>
      <c r="AH148" s="468" t="s">
        <v>3689</v>
      </c>
      <c r="AI148" s="468" t="s">
        <v>3654</v>
      </c>
      <c r="AJ148" s="468" t="s">
        <v>3655</v>
      </c>
      <c r="AK148" s="468" t="s">
        <v>3645</v>
      </c>
      <c r="AL148" s="85" t="s">
        <v>3656</v>
      </c>
      <c r="AM148" s="85"/>
      <c r="AN148" s="85"/>
      <c r="AO148" s="85"/>
      <c r="AP148" s="472" t="s">
        <v>3665</v>
      </c>
      <c r="AQ148" s="18" t="s">
        <v>2909</v>
      </c>
      <c r="AR148" s="14" t="s">
        <v>1932</v>
      </c>
    </row>
    <row r="149" spans="1:44" s="14" customFormat="1" x14ac:dyDescent="0.2">
      <c r="A149" s="18" t="s">
        <v>1837</v>
      </c>
      <c r="B149" s="18"/>
      <c r="C149" s="40" t="s">
        <v>2017</v>
      </c>
      <c r="D149" s="1" t="s">
        <v>1550</v>
      </c>
      <c r="E149" s="449" t="s">
        <v>3447</v>
      </c>
      <c r="F149" s="18" t="s">
        <v>484</v>
      </c>
      <c r="G149" s="18" t="s">
        <v>2523</v>
      </c>
      <c r="H149" s="450" t="s">
        <v>2020</v>
      </c>
      <c r="I149" s="18"/>
      <c r="J149" s="18"/>
      <c r="K149" s="37" t="s">
        <v>3444</v>
      </c>
      <c r="L149" s="36" t="s">
        <v>977</v>
      </c>
      <c r="M149" s="514"/>
      <c r="N149" s="514">
        <f>IF($C149="","",VLOOKUP($C149,'2017 Pricelist'!$C:$I,7,FALSE))</f>
        <v>139.99</v>
      </c>
      <c r="O149" s="35">
        <v>1</v>
      </c>
      <c r="P149" s="239">
        <v>3</v>
      </c>
      <c r="Q149" s="44">
        <f>CONVERT(0.1155,"kg","lbm")</f>
        <v>0.25463391282353359</v>
      </c>
      <c r="R149" s="441">
        <f>CONVERT(313,"mm","in")</f>
        <v>12.322834645669291</v>
      </c>
      <c r="S149" s="441">
        <f>CONVERT(188,"mm","in")</f>
        <v>7.4015748031496065</v>
      </c>
      <c r="T149" s="442">
        <v>2.5</v>
      </c>
      <c r="U149" s="44">
        <v>0.25463391282353359</v>
      </c>
      <c r="V149" s="121"/>
      <c r="W149" s="121"/>
      <c r="X149" s="122"/>
      <c r="Y149" s="90" t="s">
        <v>259</v>
      </c>
      <c r="Z149" s="89" t="s">
        <v>259</v>
      </c>
      <c r="AA149" s="89" t="s">
        <v>259</v>
      </c>
      <c r="AB149" s="249" t="s">
        <v>259</v>
      </c>
      <c r="AC149" s="220"/>
      <c r="AD149" s="221"/>
      <c r="AE149" s="221"/>
      <c r="AF149" s="222"/>
      <c r="AG149" s="42"/>
      <c r="AH149" s="468" t="s">
        <v>3689</v>
      </c>
      <c r="AI149" s="468" t="s">
        <v>3654</v>
      </c>
      <c r="AJ149" s="468" t="s">
        <v>3655</v>
      </c>
      <c r="AK149" s="468" t="s">
        <v>3647</v>
      </c>
      <c r="AL149" s="85" t="s">
        <v>3656</v>
      </c>
      <c r="AM149" s="85"/>
      <c r="AN149" s="85"/>
      <c r="AO149" s="85"/>
      <c r="AP149" s="472" t="s">
        <v>3665</v>
      </c>
      <c r="AQ149" s="18" t="s">
        <v>2909</v>
      </c>
      <c r="AR149" s="14" t="s">
        <v>1932</v>
      </c>
    </row>
    <row r="150" spans="1:44" s="14" customFormat="1" x14ac:dyDescent="0.2">
      <c r="A150" s="18" t="s">
        <v>1837</v>
      </c>
      <c r="B150" s="18"/>
      <c r="C150" s="40" t="s">
        <v>2009</v>
      </c>
      <c r="D150" s="1" t="s">
        <v>1550</v>
      </c>
      <c r="E150" s="449" t="s">
        <v>3448</v>
      </c>
      <c r="F150" s="18" t="s">
        <v>222</v>
      </c>
      <c r="G150" s="18" t="s">
        <v>2523</v>
      </c>
      <c r="H150" s="450" t="s">
        <v>2013</v>
      </c>
      <c r="I150" s="18"/>
      <c r="J150" s="18"/>
      <c r="K150" s="37" t="s">
        <v>3444</v>
      </c>
      <c r="L150" s="36" t="s">
        <v>977</v>
      </c>
      <c r="M150" s="514"/>
      <c r="N150" s="514">
        <f>IF($C150="","",VLOOKUP($C150,'2017 Pricelist'!$C:$I,7,FALSE))</f>
        <v>59.99</v>
      </c>
      <c r="O150" s="35">
        <v>1</v>
      </c>
      <c r="P150" s="239">
        <v>3</v>
      </c>
      <c r="Q150" s="44">
        <f>CONVERT(0.0784,"kg","lbm")</f>
        <v>0.17284241355294402</v>
      </c>
      <c r="R150" s="441">
        <f>CONVERT(190,"mm","in")</f>
        <v>7.4803149606299213</v>
      </c>
      <c r="S150" s="441">
        <f>CONVERT(85,"mm","in")</f>
        <v>3.3464566929133857</v>
      </c>
      <c r="T150" s="442">
        <v>2.2000000000000002</v>
      </c>
      <c r="U150" s="44">
        <v>0.17284241355294402</v>
      </c>
      <c r="V150" s="121"/>
      <c r="W150" s="121"/>
      <c r="X150" s="122"/>
      <c r="Y150" s="90" t="s">
        <v>259</v>
      </c>
      <c r="Z150" s="89" t="s">
        <v>259</v>
      </c>
      <c r="AA150" s="89" t="s">
        <v>259</v>
      </c>
      <c r="AB150" s="249" t="s">
        <v>259</v>
      </c>
      <c r="AC150" s="220"/>
      <c r="AD150" s="221"/>
      <c r="AE150" s="221"/>
      <c r="AF150" s="222"/>
      <c r="AG150" s="42"/>
      <c r="AH150" s="468" t="s">
        <v>3691</v>
      </c>
      <c r="AI150" s="468" t="s">
        <v>3657</v>
      </c>
      <c r="AJ150" s="468" t="s">
        <v>3645</v>
      </c>
      <c r="AK150" s="85" t="s">
        <v>3658</v>
      </c>
      <c r="AL150" s="85"/>
      <c r="AM150" s="85"/>
      <c r="AN150" s="85"/>
      <c r="AO150" s="85"/>
      <c r="AP150" s="472" t="s">
        <v>3666</v>
      </c>
      <c r="AQ150" s="18" t="s">
        <v>2909</v>
      </c>
      <c r="AR150" s="14" t="s">
        <v>1932</v>
      </c>
    </row>
    <row r="151" spans="1:44" s="14" customFormat="1" x14ac:dyDescent="0.2">
      <c r="A151" s="18" t="s">
        <v>1837</v>
      </c>
      <c r="B151" s="18"/>
      <c r="C151" s="40" t="s">
        <v>2018</v>
      </c>
      <c r="D151" s="1" t="s">
        <v>1550</v>
      </c>
      <c r="E151" s="449" t="s">
        <v>3448</v>
      </c>
      <c r="F151" s="18" t="s">
        <v>484</v>
      </c>
      <c r="G151" s="18" t="s">
        <v>2523</v>
      </c>
      <c r="H151" s="450" t="s">
        <v>2021</v>
      </c>
      <c r="I151" s="18"/>
      <c r="J151" s="18"/>
      <c r="K151" s="37" t="s">
        <v>3444</v>
      </c>
      <c r="L151" s="36" t="s">
        <v>977</v>
      </c>
      <c r="M151" s="514"/>
      <c r="N151" s="514">
        <f>IF($C151="","",VLOOKUP($C151,'2017 Pricelist'!$C:$I,7,FALSE))</f>
        <v>59.99</v>
      </c>
      <c r="O151" s="35">
        <v>1</v>
      </c>
      <c r="P151" s="239">
        <v>3</v>
      </c>
      <c r="Q151" s="44">
        <f>CONVERT(0.0784,"kg","lbm")</f>
        <v>0.17284241355294402</v>
      </c>
      <c r="R151" s="441">
        <f>CONVERT(190,"mm","in")</f>
        <v>7.4803149606299213</v>
      </c>
      <c r="S151" s="441">
        <f>CONVERT(85,"mm","in")</f>
        <v>3.3464566929133857</v>
      </c>
      <c r="T151" s="442">
        <v>2.2000000000000002</v>
      </c>
      <c r="U151" s="44">
        <v>0.17284241355294402</v>
      </c>
      <c r="V151" s="121"/>
      <c r="W151" s="121"/>
      <c r="X151" s="122"/>
      <c r="Y151" s="90" t="s">
        <v>259</v>
      </c>
      <c r="Z151" s="89" t="s">
        <v>259</v>
      </c>
      <c r="AA151" s="89" t="s">
        <v>259</v>
      </c>
      <c r="AB151" s="249" t="s">
        <v>259</v>
      </c>
      <c r="AC151" s="220"/>
      <c r="AD151" s="221"/>
      <c r="AE151" s="221"/>
      <c r="AF151" s="222"/>
      <c r="AG151" s="42"/>
      <c r="AH151" s="468" t="s">
        <v>3691</v>
      </c>
      <c r="AI151" s="468" t="s">
        <v>3657</v>
      </c>
      <c r="AJ151" s="468" t="s">
        <v>3647</v>
      </c>
      <c r="AK151" s="85" t="s">
        <v>3658</v>
      </c>
      <c r="AL151" s="85"/>
      <c r="AM151" s="85"/>
      <c r="AN151" s="85"/>
      <c r="AO151" s="85"/>
      <c r="AP151" s="472" t="s">
        <v>3666</v>
      </c>
      <c r="AQ151" s="18" t="s">
        <v>2909</v>
      </c>
      <c r="AR151" s="14" t="s">
        <v>1932</v>
      </c>
    </row>
    <row r="152" spans="1:44" s="14" customFormat="1" x14ac:dyDescent="0.2">
      <c r="A152" s="18" t="s">
        <v>1837</v>
      </c>
      <c r="B152" s="18"/>
      <c r="C152" s="40" t="s">
        <v>2023</v>
      </c>
      <c r="D152" s="1" t="s">
        <v>1550</v>
      </c>
      <c r="E152" s="40" t="s">
        <v>3449</v>
      </c>
      <c r="F152" s="18" t="s">
        <v>222</v>
      </c>
      <c r="G152" s="18" t="s">
        <v>2523</v>
      </c>
      <c r="H152" s="55" t="s">
        <v>2025</v>
      </c>
      <c r="I152" s="18"/>
      <c r="J152" s="18"/>
      <c r="K152" s="37" t="s">
        <v>3444</v>
      </c>
      <c r="L152" s="36" t="s">
        <v>977</v>
      </c>
      <c r="M152" s="514"/>
      <c r="N152" s="514">
        <f>IF($C152="","",VLOOKUP($C152,'2017 Pricelist'!$C:$I,7,FALSE))</f>
        <v>299.99</v>
      </c>
      <c r="O152" s="35">
        <v>1</v>
      </c>
      <c r="P152" s="239">
        <v>9</v>
      </c>
      <c r="Q152" s="44" t="s">
        <v>259</v>
      </c>
      <c r="R152" s="33" t="s">
        <v>259</v>
      </c>
      <c r="S152" s="33" t="s">
        <v>259</v>
      </c>
      <c r="T152" s="70" t="s">
        <v>259</v>
      </c>
      <c r="U152" s="44">
        <v>0.90301342590925859</v>
      </c>
      <c r="V152" s="121"/>
      <c r="W152" s="121"/>
      <c r="X152" s="122"/>
      <c r="Y152" s="90" t="s">
        <v>259</v>
      </c>
      <c r="Z152" s="89" t="s">
        <v>259</v>
      </c>
      <c r="AA152" s="89" t="s">
        <v>259</v>
      </c>
      <c r="AB152" s="249" t="s">
        <v>259</v>
      </c>
      <c r="AC152" s="220"/>
      <c r="AD152" s="221"/>
      <c r="AE152" s="221"/>
      <c r="AF152" s="222"/>
      <c r="AG152" s="42"/>
      <c r="AH152" s="468" t="s">
        <v>3659</v>
      </c>
      <c r="AI152" s="468" t="s">
        <v>3660</v>
      </c>
      <c r="AJ152" s="468" t="s">
        <v>3645</v>
      </c>
      <c r="AK152" s="473" t="s">
        <v>3661</v>
      </c>
      <c r="AL152" s="85"/>
      <c r="AM152" s="85"/>
      <c r="AN152" s="85"/>
      <c r="AO152" s="85"/>
      <c r="AP152" s="472" t="s">
        <v>3662</v>
      </c>
      <c r="AQ152" s="18" t="s">
        <v>2909</v>
      </c>
      <c r="AR152" s="14" t="s">
        <v>1932</v>
      </c>
    </row>
    <row r="153" spans="1:44" s="14" customFormat="1" x14ac:dyDescent="0.2">
      <c r="A153" s="18" t="s">
        <v>1837</v>
      </c>
      <c r="B153" s="18"/>
      <c r="C153" s="40" t="s">
        <v>2024</v>
      </c>
      <c r="D153" s="1" t="s">
        <v>1550</v>
      </c>
      <c r="E153" s="40" t="s">
        <v>3449</v>
      </c>
      <c r="F153" s="18" t="s">
        <v>484</v>
      </c>
      <c r="G153" s="18" t="s">
        <v>2523</v>
      </c>
      <c r="H153" s="55" t="s">
        <v>2026</v>
      </c>
      <c r="I153" s="18"/>
      <c r="J153" s="18"/>
      <c r="K153" s="37" t="s">
        <v>3444</v>
      </c>
      <c r="L153" s="36" t="s">
        <v>977</v>
      </c>
      <c r="M153" s="514"/>
      <c r="N153" s="514">
        <f>IF($C153="","",VLOOKUP($C153,'2017 Pricelist'!$C:$I,7,FALSE))</f>
        <v>299.99</v>
      </c>
      <c r="O153" s="35">
        <v>1</v>
      </c>
      <c r="P153" s="239">
        <v>9</v>
      </c>
      <c r="Q153" s="44" t="s">
        <v>259</v>
      </c>
      <c r="R153" s="33" t="s">
        <v>259</v>
      </c>
      <c r="S153" s="33" t="s">
        <v>259</v>
      </c>
      <c r="T153" s="70" t="s">
        <v>259</v>
      </c>
      <c r="U153" s="44">
        <v>0.90301342590925859</v>
      </c>
      <c r="V153" s="121"/>
      <c r="W153" s="121"/>
      <c r="X153" s="122"/>
      <c r="Y153" s="90" t="s">
        <v>259</v>
      </c>
      <c r="Z153" s="89" t="s">
        <v>259</v>
      </c>
      <c r="AA153" s="89" t="s">
        <v>259</v>
      </c>
      <c r="AB153" s="249" t="s">
        <v>259</v>
      </c>
      <c r="AC153" s="220"/>
      <c r="AD153" s="221"/>
      <c r="AE153" s="221"/>
      <c r="AF153" s="222"/>
      <c r="AG153" s="42"/>
      <c r="AH153" s="468" t="s">
        <v>3659</v>
      </c>
      <c r="AI153" s="468" t="s">
        <v>3660</v>
      </c>
      <c r="AJ153" s="468" t="s">
        <v>3647</v>
      </c>
      <c r="AK153" s="473" t="s">
        <v>3661</v>
      </c>
      <c r="AL153" s="85"/>
      <c r="AM153" s="85"/>
      <c r="AN153" s="85"/>
      <c r="AO153" s="85"/>
      <c r="AP153" s="472" t="s">
        <v>3662</v>
      </c>
      <c r="AQ153" s="18" t="s">
        <v>2909</v>
      </c>
      <c r="AR153" s="14" t="s">
        <v>1932</v>
      </c>
    </row>
    <row r="154" spans="1:44" s="14" customFormat="1" x14ac:dyDescent="0.2">
      <c r="A154" s="18" t="s">
        <v>1837</v>
      </c>
      <c r="B154" s="18"/>
      <c r="C154" s="40" t="s">
        <v>1660</v>
      </c>
      <c r="D154" s="1" t="s">
        <v>1550</v>
      </c>
      <c r="E154" s="40" t="s">
        <v>3450</v>
      </c>
      <c r="F154" s="18" t="s">
        <v>3451</v>
      </c>
      <c r="G154" s="18" t="s">
        <v>2523</v>
      </c>
      <c r="H154" s="3" t="s">
        <v>1833</v>
      </c>
      <c r="I154" s="18"/>
      <c r="J154" s="18"/>
      <c r="K154" s="37" t="s">
        <v>3407</v>
      </c>
      <c r="L154" s="36" t="s">
        <v>977</v>
      </c>
      <c r="M154" s="514"/>
      <c r="N154" s="514">
        <f>IF($C154="","",VLOOKUP($C154,'2017 Pricelist'!$C:$I,7,FALSE))</f>
        <v>249.99</v>
      </c>
      <c r="O154" s="35">
        <v>1</v>
      </c>
      <c r="P154" s="239">
        <v>1</v>
      </c>
      <c r="Q154" s="44">
        <f>CONVERT(0.1,"kg","lbm")</f>
        <v>0.22046226218487758</v>
      </c>
      <c r="R154" s="441">
        <f>CONVERT(225,"mm","in")</f>
        <v>8.8582677165354333</v>
      </c>
      <c r="S154" s="441">
        <f>CONVERT(122,"mm","in")</f>
        <v>4.8031496062992129</v>
      </c>
      <c r="T154" s="442">
        <v>2.5</v>
      </c>
      <c r="U154" s="44">
        <v>0.76059480453782757</v>
      </c>
      <c r="V154" s="33">
        <v>10</v>
      </c>
      <c r="W154" s="33">
        <v>5.5</v>
      </c>
      <c r="X154" s="70">
        <v>2.25</v>
      </c>
      <c r="Y154" s="90" t="s">
        <v>259</v>
      </c>
      <c r="Z154" s="89" t="s">
        <v>259</v>
      </c>
      <c r="AA154" s="89" t="s">
        <v>259</v>
      </c>
      <c r="AB154" s="249" t="s">
        <v>259</v>
      </c>
      <c r="AC154" s="220"/>
      <c r="AD154" s="221" t="s">
        <v>856</v>
      </c>
      <c r="AE154" s="221" t="s">
        <v>856</v>
      </c>
      <c r="AF154" s="222" t="s">
        <v>856</v>
      </c>
      <c r="AG154" s="42"/>
      <c r="AH154" s="85" t="s">
        <v>3692</v>
      </c>
      <c r="AI154" s="84" t="s">
        <v>3667</v>
      </c>
      <c r="AJ154" s="85" t="s">
        <v>3693</v>
      </c>
      <c r="AK154" s="85" t="s">
        <v>3668</v>
      </c>
      <c r="AL154" s="85"/>
      <c r="AM154" s="85"/>
      <c r="AN154" s="85"/>
      <c r="AO154" s="85"/>
      <c r="AP154" s="472" t="s">
        <v>3669</v>
      </c>
      <c r="AQ154" s="18" t="s">
        <v>2909</v>
      </c>
      <c r="AR154" s="14" t="s">
        <v>1932</v>
      </c>
    </row>
    <row r="155" spans="1:44" s="14" customFormat="1" x14ac:dyDescent="0.2">
      <c r="A155" s="18" t="s">
        <v>1837</v>
      </c>
      <c r="B155" s="18"/>
      <c r="C155" s="40" t="s">
        <v>1661</v>
      </c>
      <c r="D155" s="1" t="s">
        <v>1550</v>
      </c>
      <c r="E155" s="40" t="s">
        <v>3452</v>
      </c>
      <c r="F155" s="18" t="s">
        <v>3403</v>
      </c>
      <c r="G155" s="18" t="s">
        <v>2523</v>
      </c>
      <c r="H155" s="3" t="s">
        <v>1832</v>
      </c>
      <c r="I155" s="18"/>
      <c r="J155" s="18"/>
      <c r="K155" s="37" t="s">
        <v>3407</v>
      </c>
      <c r="L155" s="36" t="s">
        <v>977</v>
      </c>
      <c r="M155" s="514"/>
      <c r="N155" s="514">
        <f>IF($C155="","",VLOOKUP($C155,'2017 Pricelist'!$C:$I,7,FALSE))</f>
        <v>199.98999999999998</v>
      </c>
      <c r="O155" s="35">
        <v>1</v>
      </c>
      <c r="P155" s="239">
        <v>1</v>
      </c>
      <c r="Q155" s="44">
        <f>CONVERT(0.104,"kg","lbm")</f>
        <v>0.22928075267227266</v>
      </c>
      <c r="R155" s="441">
        <f>CONVERT(205,"mm","in")</f>
        <v>8.0708661417322833</v>
      </c>
      <c r="S155" s="441">
        <f>CONVERT(106,"mm","in")</f>
        <v>4.1732283464566926</v>
      </c>
      <c r="T155" s="442">
        <v>2</v>
      </c>
      <c r="U155" s="44">
        <v>0.22928075267227269</v>
      </c>
      <c r="V155" s="33">
        <v>12</v>
      </c>
      <c r="W155" s="33">
        <v>6</v>
      </c>
      <c r="X155" s="70">
        <v>1.5</v>
      </c>
      <c r="Y155" s="90" t="s">
        <v>259</v>
      </c>
      <c r="Z155" s="89" t="s">
        <v>259</v>
      </c>
      <c r="AA155" s="89" t="s">
        <v>259</v>
      </c>
      <c r="AB155" s="249" t="s">
        <v>259</v>
      </c>
      <c r="AC155" s="220"/>
      <c r="AD155" s="221" t="s">
        <v>856</v>
      </c>
      <c r="AE155" s="221" t="s">
        <v>856</v>
      </c>
      <c r="AF155" s="222" t="s">
        <v>856</v>
      </c>
      <c r="AG155" s="42"/>
      <c r="AH155" s="85" t="s">
        <v>3695</v>
      </c>
      <c r="AI155" s="84" t="s">
        <v>3667</v>
      </c>
      <c r="AJ155" s="85" t="s">
        <v>3694</v>
      </c>
      <c r="AK155" s="85" t="s">
        <v>3670</v>
      </c>
      <c r="AL155" s="85"/>
      <c r="AM155" s="85"/>
      <c r="AN155" s="85"/>
      <c r="AO155" s="85"/>
      <c r="AP155" s="471"/>
      <c r="AQ155" s="18" t="s">
        <v>2909</v>
      </c>
      <c r="AR155" s="14" t="s">
        <v>1932</v>
      </c>
    </row>
    <row r="156" spans="1:44" s="18" customFormat="1" ht="15.75" x14ac:dyDescent="0.25">
      <c r="A156" s="421" t="s">
        <v>1672</v>
      </c>
      <c r="B156" s="424"/>
      <c r="C156" s="424"/>
      <c r="D156" s="1"/>
      <c r="E156" s="1"/>
      <c r="H156" s="3"/>
      <c r="K156" s="37"/>
      <c r="L156" s="36"/>
      <c r="M156" s="511"/>
      <c r="N156" s="511"/>
      <c r="O156" s="35"/>
      <c r="P156" s="239"/>
      <c r="Q156" s="44"/>
      <c r="R156" s="33"/>
      <c r="S156" s="33"/>
      <c r="T156" s="70"/>
      <c r="U156" s="44"/>
      <c r="V156" s="33"/>
      <c r="W156" s="33"/>
      <c r="X156" s="70"/>
      <c r="Y156" s="90"/>
      <c r="Z156" s="89"/>
      <c r="AA156" s="89"/>
      <c r="AB156" s="249"/>
      <c r="AC156" s="44"/>
      <c r="AD156" s="33"/>
      <c r="AE156" s="33"/>
      <c r="AF156" s="70"/>
      <c r="AG156" s="44"/>
      <c r="AH156" s="85"/>
      <c r="AI156" s="84"/>
      <c r="AJ156" s="85"/>
      <c r="AK156" s="37"/>
      <c r="AL156" s="85"/>
      <c r="AM156" s="85"/>
      <c r="AN156" s="85"/>
      <c r="AO156" s="85"/>
      <c r="AP156" s="85"/>
      <c r="AR156" s="37"/>
    </row>
    <row r="157" spans="1:44" s="18" customFormat="1" ht="12.75" customHeight="1" x14ac:dyDescent="0.2">
      <c r="A157" s="18" t="s">
        <v>1837</v>
      </c>
      <c r="C157" s="40" t="s">
        <v>1673</v>
      </c>
      <c r="D157" s="1"/>
      <c r="E157" s="1" t="s">
        <v>3453</v>
      </c>
      <c r="G157" s="18" t="s">
        <v>2547</v>
      </c>
      <c r="H157" s="107">
        <v>7391846011552</v>
      </c>
      <c r="K157" s="37" t="s">
        <v>3454</v>
      </c>
      <c r="L157" s="36" t="s">
        <v>977</v>
      </c>
      <c r="M157" s="514"/>
      <c r="N157" s="514">
        <f>IF($C157="","",VLOOKUP($C157,'2017 Pricelist'!$C:$I,7,FALSE))</f>
        <v>24.990000000000002</v>
      </c>
      <c r="O157" s="35">
        <v>1</v>
      </c>
      <c r="P157" s="239">
        <v>5</v>
      </c>
      <c r="Q157" s="44">
        <f>CONVERT(0.011,"kg","lbm")</f>
        <v>2.4250848840336531E-2</v>
      </c>
      <c r="R157" s="441">
        <f>CONVERT(140,"mm","in")</f>
        <v>5.5118110236220472</v>
      </c>
      <c r="S157" s="441">
        <f>CONVERT(54,"mm","in")</f>
        <v>2.1259842519685042</v>
      </c>
      <c r="T157" s="442">
        <v>4</v>
      </c>
      <c r="U157" s="44">
        <v>2.4250848840336531E-2</v>
      </c>
      <c r="V157" s="33">
        <v>7</v>
      </c>
      <c r="W157" s="33">
        <v>3</v>
      </c>
      <c r="X157" s="70">
        <v>1</v>
      </c>
      <c r="Y157" s="90" t="s">
        <v>259</v>
      </c>
      <c r="Z157" s="89" t="s">
        <v>259</v>
      </c>
      <c r="AA157" s="89" t="s">
        <v>259</v>
      </c>
      <c r="AB157" s="249" t="s">
        <v>259</v>
      </c>
      <c r="AC157" s="44">
        <v>0.5</v>
      </c>
      <c r="AD157" s="33">
        <v>10.5</v>
      </c>
      <c r="AE157" s="33">
        <v>8.5</v>
      </c>
      <c r="AF157" s="70">
        <v>2</v>
      </c>
      <c r="AG157" s="44">
        <f>AD157*AE157*AF157/(12^3)</f>
        <v>0.1032986111111111</v>
      </c>
      <c r="AH157" s="554" t="s">
        <v>1688</v>
      </c>
      <c r="AI157" s="84" t="s">
        <v>1689</v>
      </c>
      <c r="AJ157" s="85" t="s">
        <v>1690</v>
      </c>
      <c r="AK157" s="37"/>
      <c r="AL157" s="85"/>
      <c r="AM157" s="85"/>
      <c r="AN157" s="85"/>
      <c r="AO157" s="85"/>
      <c r="AP157" s="554" t="s">
        <v>1688</v>
      </c>
      <c r="AQ157" s="18" t="s">
        <v>2909</v>
      </c>
      <c r="AR157" s="14" t="s">
        <v>1932</v>
      </c>
    </row>
    <row r="158" spans="1:44" s="14" customFormat="1" x14ac:dyDescent="0.2">
      <c r="A158" s="18" t="s">
        <v>1837</v>
      </c>
      <c r="B158" s="18"/>
      <c r="C158" s="1" t="s">
        <v>1222</v>
      </c>
      <c r="D158" s="1"/>
      <c r="E158" s="1" t="s">
        <v>3455</v>
      </c>
      <c r="F158" s="18" t="s">
        <v>222</v>
      </c>
      <c r="G158" s="18" t="s">
        <v>2547</v>
      </c>
      <c r="H158" s="107">
        <v>7391846011514</v>
      </c>
      <c r="I158" s="18"/>
      <c r="J158" s="18"/>
      <c r="K158" s="37" t="s">
        <v>3454</v>
      </c>
      <c r="L158" s="36" t="s">
        <v>977</v>
      </c>
      <c r="M158" s="514"/>
      <c r="N158" s="514">
        <f>IF($C158="","",VLOOKUP($C158,'2017 Pricelist'!$C:$I,7,FALSE))</f>
        <v>24.990000000000002</v>
      </c>
      <c r="O158" s="35">
        <v>1</v>
      </c>
      <c r="P158" s="239">
        <v>5</v>
      </c>
      <c r="Q158" s="44">
        <f>CONVERT(0.015,"kg","lbm")</f>
        <v>3.3069339327731637E-2</v>
      </c>
      <c r="R158" s="441">
        <f>CONVERT(150,"mm","in")</f>
        <v>5.9055118110236222</v>
      </c>
      <c r="S158" s="441">
        <f>CONVERT(50,"mm","in")</f>
        <v>1.9685039370078741</v>
      </c>
      <c r="T158" s="442">
        <v>4.5</v>
      </c>
      <c r="U158" s="44">
        <f>1/16</f>
        <v>6.25E-2</v>
      </c>
      <c r="V158" s="33">
        <v>3</v>
      </c>
      <c r="W158" s="33">
        <v>0.5</v>
      </c>
      <c r="X158" s="70">
        <v>7.4375</v>
      </c>
      <c r="Y158" s="90" t="s">
        <v>259</v>
      </c>
      <c r="Z158" s="89" t="s">
        <v>259</v>
      </c>
      <c r="AA158" s="89" t="s">
        <v>259</v>
      </c>
      <c r="AB158" s="249" t="s">
        <v>259</v>
      </c>
      <c r="AC158" s="44">
        <v>0.45</v>
      </c>
      <c r="AD158" s="33">
        <v>9.25</v>
      </c>
      <c r="AE158" s="33">
        <v>4</v>
      </c>
      <c r="AF158" s="70">
        <v>3</v>
      </c>
      <c r="AG158" s="42">
        <f>AD158*AE158*AF158/(12^3)</f>
        <v>6.4236111111111105E-2</v>
      </c>
      <c r="AH158" s="85" t="s">
        <v>1420</v>
      </c>
      <c r="AI158" s="85" t="s">
        <v>1421</v>
      </c>
      <c r="AJ158" s="85" t="s">
        <v>1419</v>
      </c>
      <c r="AK158" s="37"/>
      <c r="AL158" s="18"/>
      <c r="AM158" s="18"/>
      <c r="AN158" s="18"/>
      <c r="AO158" s="18"/>
      <c r="AP158" s="85" t="s">
        <v>1422</v>
      </c>
      <c r="AQ158" s="18" t="s">
        <v>2909</v>
      </c>
      <c r="AR158" s="14" t="s">
        <v>1932</v>
      </c>
    </row>
    <row r="159" spans="1:44" s="14" customFormat="1" x14ac:dyDescent="0.2">
      <c r="A159" s="18" t="s">
        <v>1837</v>
      </c>
      <c r="B159" s="18"/>
      <c r="C159" s="40" t="s">
        <v>1674</v>
      </c>
      <c r="D159" s="1"/>
      <c r="E159" s="1" t="s">
        <v>1687</v>
      </c>
      <c r="F159" s="18" t="s">
        <v>484</v>
      </c>
      <c r="G159" s="18" t="s">
        <v>2520</v>
      </c>
      <c r="H159" s="3" t="s">
        <v>3456</v>
      </c>
      <c r="I159" s="18"/>
      <c r="J159" s="18"/>
      <c r="K159" s="37" t="s">
        <v>3454</v>
      </c>
      <c r="L159" s="36" t="s">
        <v>977</v>
      </c>
      <c r="M159" s="514"/>
      <c r="N159" s="514">
        <f>IF($C159="","",VLOOKUP($C159,'2017 Pricelist'!$C:$I,7,FALSE))</f>
        <v>29.990000000000002</v>
      </c>
      <c r="O159" s="35">
        <v>1</v>
      </c>
      <c r="P159" s="239">
        <v>6</v>
      </c>
      <c r="Q159" s="44">
        <f>CONVERT(0.175,"kg","lbm")</f>
        <v>0.38580895882353572</v>
      </c>
      <c r="R159" s="446">
        <f>CONVERT(0,"mm","in")</f>
        <v>0</v>
      </c>
      <c r="S159" s="441">
        <f>CONVERT(175,"mm","in")</f>
        <v>6.8897637795275584</v>
      </c>
      <c r="T159" s="447"/>
      <c r="U159" s="44">
        <v>0.38580895882353577</v>
      </c>
      <c r="V159" s="33">
        <v>12</v>
      </c>
      <c r="W159" s="33">
        <v>1</v>
      </c>
      <c r="X159" s="70">
        <v>1</v>
      </c>
      <c r="Y159" s="90" t="s">
        <v>259</v>
      </c>
      <c r="Z159" s="89" t="s">
        <v>259</v>
      </c>
      <c r="AA159" s="89" t="s">
        <v>259</v>
      </c>
      <c r="AB159" s="249" t="s">
        <v>259</v>
      </c>
      <c r="AC159" s="44">
        <v>2.6</v>
      </c>
      <c r="AD159" s="33">
        <v>13</v>
      </c>
      <c r="AE159" s="33">
        <v>5</v>
      </c>
      <c r="AF159" s="70">
        <v>2.5</v>
      </c>
      <c r="AG159" s="42">
        <f>AD159*AE159*AF159/(12^3)</f>
        <v>9.4039351851851846E-2</v>
      </c>
      <c r="AH159" s="85" t="s">
        <v>1818</v>
      </c>
      <c r="AI159" s="84" t="s">
        <v>1820</v>
      </c>
      <c r="AJ159" s="85" t="s">
        <v>1819</v>
      </c>
      <c r="AK159" s="37" t="s">
        <v>1694</v>
      </c>
      <c r="AL159" s="85"/>
      <c r="AM159" s="85"/>
      <c r="AN159" s="85"/>
      <c r="AO159" s="85"/>
      <c r="AP159" s="85"/>
      <c r="AQ159" s="18" t="s">
        <v>2909</v>
      </c>
      <c r="AR159" s="14" t="s">
        <v>1932</v>
      </c>
    </row>
    <row r="160" spans="1:44" s="18" customFormat="1" ht="15.75" x14ac:dyDescent="0.25">
      <c r="A160" s="421" t="s">
        <v>1705</v>
      </c>
      <c r="B160" s="424"/>
      <c r="C160" s="424"/>
      <c r="D160" s="33"/>
      <c r="E160" s="34"/>
      <c r="H160" s="223"/>
      <c r="K160" s="36"/>
      <c r="L160" s="36"/>
      <c r="M160" s="504"/>
      <c r="N160" s="504"/>
      <c r="O160" s="35"/>
      <c r="P160" s="187"/>
      <c r="Q160" s="44"/>
      <c r="R160" s="33"/>
      <c r="S160" s="33"/>
      <c r="T160" s="70"/>
      <c r="U160" s="44"/>
      <c r="V160" s="33"/>
      <c r="W160" s="33"/>
      <c r="X160" s="70"/>
      <c r="Y160" s="44"/>
      <c r="Z160" s="33" t="s">
        <v>1549</v>
      </c>
      <c r="AA160" s="33"/>
      <c r="AB160" s="70"/>
      <c r="AC160" s="44"/>
      <c r="AD160" s="33"/>
      <c r="AE160" s="33"/>
      <c r="AF160" s="70"/>
      <c r="AG160" s="44"/>
    </row>
    <row r="161" spans="1:44" s="18" customFormat="1" x14ac:dyDescent="0.2">
      <c r="A161" s="18" t="s">
        <v>1837</v>
      </c>
      <c r="C161" s="84" t="s">
        <v>1709</v>
      </c>
      <c r="D161" s="1" t="s">
        <v>1494</v>
      </c>
      <c r="E161" s="84" t="s">
        <v>3696</v>
      </c>
      <c r="G161" s="18" t="s">
        <v>2547</v>
      </c>
      <c r="H161" s="109">
        <v>7316220023136</v>
      </c>
      <c r="K161" s="37" t="s">
        <v>3457</v>
      </c>
      <c r="L161" s="36" t="s">
        <v>977</v>
      </c>
      <c r="M161" s="514"/>
      <c r="N161" s="514">
        <f>IF($C161="","",VLOOKUP($C161,'2017 Pricelist'!$C:$I,7,FALSE))</f>
        <v>12.99</v>
      </c>
      <c r="O161" s="35">
        <v>1</v>
      </c>
      <c r="P161" s="239">
        <v>5</v>
      </c>
      <c r="Q161" s="44">
        <f>CONVERT(0.03,"kg","lbm")</f>
        <v>6.6138678655463273E-2</v>
      </c>
      <c r="R161" s="33">
        <v>6.5</v>
      </c>
      <c r="S161" s="441">
        <f>CONVERT(76,"mm","in")</f>
        <v>2.9921259842519685</v>
      </c>
      <c r="T161" s="442">
        <v>2.5</v>
      </c>
      <c r="U161" s="91">
        <v>6.6138678655463273E-2</v>
      </c>
      <c r="V161" s="37">
        <v>13.5</v>
      </c>
      <c r="W161" s="37">
        <v>2.5</v>
      </c>
      <c r="X161" s="237">
        <v>0.2</v>
      </c>
      <c r="Y161" s="90">
        <v>0.42</v>
      </c>
      <c r="Z161" s="89">
        <v>8.5</v>
      </c>
      <c r="AA161" s="89">
        <v>13</v>
      </c>
      <c r="AB161" s="249">
        <v>0.1</v>
      </c>
      <c r="AC161" s="44">
        <v>4.5</v>
      </c>
      <c r="AD161" s="33">
        <v>14</v>
      </c>
      <c r="AE161" s="33">
        <v>9</v>
      </c>
      <c r="AF161" s="70">
        <v>2</v>
      </c>
      <c r="AG161" s="44">
        <f t="shared" ref="AG161:AG170" si="20">AD161*AE161*AF161/(12^3)</f>
        <v>0.14583333333333334</v>
      </c>
      <c r="AH161" s="1" t="s">
        <v>1494</v>
      </c>
      <c r="AI161" s="37" t="s">
        <v>1957</v>
      </c>
      <c r="AJ161" s="37" t="s">
        <v>1962</v>
      </c>
      <c r="AK161" s="37" t="s">
        <v>1973</v>
      </c>
      <c r="AL161" s="37" t="s">
        <v>1980</v>
      </c>
      <c r="AM161" s="37"/>
      <c r="AN161" s="37"/>
      <c r="AO161" s="37"/>
      <c r="AP161" s="104"/>
      <c r="AQ161" s="18" t="s">
        <v>2909</v>
      </c>
      <c r="AR161" s="14" t="s">
        <v>1932</v>
      </c>
    </row>
    <row r="162" spans="1:44" s="18" customFormat="1" x14ac:dyDescent="0.2">
      <c r="A162" s="18" t="s">
        <v>1837</v>
      </c>
      <c r="C162" s="84" t="s">
        <v>2655</v>
      </c>
      <c r="D162" s="1" t="s">
        <v>1494</v>
      </c>
      <c r="E162" s="84" t="s">
        <v>3458</v>
      </c>
      <c r="G162" s="18" t="s">
        <v>2547</v>
      </c>
      <c r="H162" s="109">
        <v>7391846011842</v>
      </c>
      <c r="K162" s="37" t="s">
        <v>3457</v>
      </c>
      <c r="L162" s="36" t="s">
        <v>977</v>
      </c>
      <c r="M162" s="514"/>
      <c r="N162" s="514">
        <f>IF($C162="","",VLOOKUP($C162,'2017 Pricelist'!$C:$I,7,FALSE))</f>
        <v>14.99</v>
      </c>
      <c r="O162" s="35">
        <v>1</v>
      </c>
      <c r="P162" s="239">
        <v>5</v>
      </c>
      <c r="Q162" s="44">
        <f>CONVERT(0.04,"kg","lbm")</f>
        <v>8.8184904873951031E-2</v>
      </c>
      <c r="R162" s="33">
        <v>7</v>
      </c>
      <c r="S162" s="441">
        <f>CONVERT(100,"mm","in")</f>
        <v>3.9370078740157481</v>
      </c>
      <c r="T162" s="442">
        <v>2</v>
      </c>
      <c r="U162" s="91">
        <v>8.8184904873951031E-2</v>
      </c>
      <c r="V162" s="37">
        <v>13.5</v>
      </c>
      <c r="W162" s="37">
        <v>2.5</v>
      </c>
      <c r="X162" s="237">
        <v>0.2</v>
      </c>
      <c r="Y162" s="90">
        <v>0.45</v>
      </c>
      <c r="Z162" s="89">
        <v>13.5</v>
      </c>
      <c r="AA162" s="89">
        <v>8.75</v>
      </c>
      <c r="AB162" s="249">
        <v>0.375</v>
      </c>
      <c r="AC162" s="44">
        <v>4.4000000000000004</v>
      </c>
      <c r="AD162" s="33">
        <v>14.5</v>
      </c>
      <c r="AE162" s="33">
        <v>9</v>
      </c>
      <c r="AF162" s="70">
        <v>2</v>
      </c>
      <c r="AG162" s="44">
        <f t="shared" si="20"/>
        <v>0.15104166666666666</v>
      </c>
      <c r="AH162" s="1" t="s">
        <v>1494</v>
      </c>
      <c r="AI162" s="37" t="s">
        <v>1955</v>
      </c>
      <c r="AJ162" s="37" t="s">
        <v>1959</v>
      </c>
      <c r="AK162" s="37" t="s">
        <v>1968</v>
      </c>
      <c r="AL162" s="37" t="s">
        <v>1977</v>
      </c>
      <c r="AM162" s="37"/>
      <c r="AN162" s="37"/>
      <c r="AO162" s="37"/>
      <c r="AP162" s="104"/>
      <c r="AQ162" s="18" t="s">
        <v>2909</v>
      </c>
      <c r="AR162" s="14" t="s">
        <v>1932</v>
      </c>
    </row>
    <row r="163" spans="1:44" s="18" customFormat="1" x14ac:dyDescent="0.2">
      <c r="A163" s="18" t="s">
        <v>1837</v>
      </c>
      <c r="C163" s="84" t="s">
        <v>1707</v>
      </c>
      <c r="D163" s="1" t="s">
        <v>3459</v>
      </c>
      <c r="E163" s="84" t="s">
        <v>3460</v>
      </c>
      <c r="G163" s="18" t="s">
        <v>2547</v>
      </c>
      <c r="H163" s="109">
        <v>7316220023334</v>
      </c>
      <c r="K163" s="37" t="s">
        <v>3457</v>
      </c>
      <c r="L163" s="36" t="s">
        <v>977</v>
      </c>
      <c r="M163" s="514"/>
      <c r="N163" s="514">
        <f>IF($C163="","",VLOOKUP($C163,'2017 Pricelist'!$C:$I,7,FALSE))</f>
        <v>34.99</v>
      </c>
      <c r="O163" s="35">
        <v>1</v>
      </c>
      <c r="P163" s="239">
        <v>5</v>
      </c>
      <c r="Q163" s="44">
        <f>CONVERT(0.049,"kg","lbm")</f>
        <v>0.10802650847059002</v>
      </c>
      <c r="R163" s="33">
        <v>7.75</v>
      </c>
      <c r="S163" s="441">
        <f>CONVERT(100,"mm","in")</f>
        <v>3.9370078740157481</v>
      </c>
      <c r="T163" s="442">
        <v>2.7</v>
      </c>
      <c r="U163" s="91">
        <v>0.10802650847059</v>
      </c>
      <c r="V163" s="37">
        <v>13.5</v>
      </c>
      <c r="W163" s="37">
        <v>2.5</v>
      </c>
      <c r="X163" s="237">
        <v>0.2</v>
      </c>
      <c r="Y163" s="90">
        <v>0.55000000000000004</v>
      </c>
      <c r="Z163" s="89">
        <v>13.5</v>
      </c>
      <c r="AA163" s="89">
        <v>8.75</v>
      </c>
      <c r="AB163" s="249">
        <v>0.375</v>
      </c>
      <c r="AC163" s="44">
        <v>5.5</v>
      </c>
      <c r="AD163" s="33">
        <v>14</v>
      </c>
      <c r="AE163" s="33">
        <v>9</v>
      </c>
      <c r="AF163" s="70">
        <v>2</v>
      </c>
      <c r="AG163" s="44">
        <f t="shared" si="20"/>
        <v>0.14583333333333334</v>
      </c>
      <c r="AH163" s="1" t="s">
        <v>1298</v>
      </c>
      <c r="AI163" s="37" t="s">
        <v>1956</v>
      </c>
      <c r="AJ163" s="37" t="s">
        <v>1959</v>
      </c>
      <c r="AK163" s="37" t="s">
        <v>1970</v>
      </c>
      <c r="AL163" s="37" t="s">
        <v>1978</v>
      </c>
      <c r="AM163" s="37"/>
      <c r="AN163" s="37"/>
      <c r="AO163" s="37"/>
      <c r="AP163" s="104"/>
      <c r="AQ163" s="18" t="s">
        <v>2909</v>
      </c>
      <c r="AR163" s="14" t="s">
        <v>1932</v>
      </c>
    </row>
    <row r="164" spans="1:44" s="18" customFormat="1" x14ac:dyDescent="0.2">
      <c r="A164" s="18" t="s">
        <v>1837</v>
      </c>
      <c r="C164" s="84" t="s">
        <v>1706</v>
      </c>
      <c r="D164" s="1" t="s">
        <v>1550</v>
      </c>
      <c r="E164" s="84" t="s">
        <v>1715</v>
      </c>
      <c r="G164" s="18" t="s">
        <v>2547</v>
      </c>
      <c r="H164" s="109">
        <v>7391846008613</v>
      </c>
      <c r="K164" s="37" t="s">
        <v>3457</v>
      </c>
      <c r="L164" s="36" t="s">
        <v>977</v>
      </c>
      <c r="M164" s="514"/>
      <c r="N164" s="514">
        <f>IF($C164="","",VLOOKUP($C164,'2017 Pricelist'!$C:$I,7,FALSE))</f>
        <v>14.99</v>
      </c>
      <c r="O164" s="35">
        <v>1</v>
      </c>
      <c r="P164" s="239">
        <v>10</v>
      </c>
      <c r="Q164" s="44">
        <f>CONVERT(0.037,"kg","lbm")</f>
        <v>8.1571037008404693E-2</v>
      </c>
      <c r="R164" s="33">
        <v>7</v>
      </c>
      <c r="S164" s="441">
        <f>CONVERT(100,"mm","in")</f>
        <v>3.9370078740157481</v>
      </c>
      <c r="T164" s="442">
        <v>2</v>
      </c>
      <c r="U164" s="91">
        <v>8.1571037008404707E-2</v>
      </c>
      <c r="V164" s="37">
        <v>8</v>
      </c>
      <c r="W164" s="37">
        <v>2.5</v>
      </c>
      <c r="X164" s="237">
        <v>0.2</v>
      </c>
      <c r="Y164" s="90">
        <v>0.45</v>
      </c>
      <c r="Z164" s="89">
        <v>13.5</v>
      </c>
      <c r="AA164" s="89">
        <v>8.75</v>
      </c>
      <c r="AB164" s="249">
        <v>0.375</v>
      </c>
      <c r="AC164" s="44">
        <v>4.4000000000000004</v>
      </c>
      <c r="AD164" s="33">
        <v>14.5</v>
      </c>
      <c r="AE164" s="33">
        <v>9</v>
      </c>
      <c r="AF164" s="70">
        <v>2</v>
      </c>
      <c r="AG164" s="44">
        <f t="shared" si="20"/>
        <v>0.15104166666666666</v>
      </c>
      <c r="AH164" s="1" t="s">
        <v>1550</v>
      </c>
      <c r="AI164" s="37" t="s">
        <v>1955</v>
      </c>
      <c r="AJ164" s="37" t="s">
        <v>1959</v>
      </c>
      <c r="AK164" s="37" t="s">
        <v>1969</v>
      </c>
      <c r="AL164" s="37" t="s">
        <v>1977</v>
      </c>
      <c r="AM164" s="37"/>
      <c r="AN164" s="37"/>
      <c r="AO164" s="37"/>
      <c r="AP164" s="104"/>
      <c r="AQ164" s="18" t="s">
        <v>2909</v>
      </c>
      <c r="AR164" s="14" t="s">
        <v>1932</v>
      </c>
    </row>
    <row r="165" spans="1:44" s="18" customFormat="1" x14ac:dyDescent="0.2">
      <c r="A165" s="18" t="s">
        <v>1837</v>
      </c>
      <c r="C165" s="84" t="s">
        <v>1878</v>
      </c>
      <c r="D165" s="1" t="s">
        <v>1494</v>
      </c>
      <c r="E165" s="84" t="s">
        <v>3461</v>
      </c>
      <c r="G165" s="18" t="s">
        <v>2547</v>
      </c>
      <c r="H165" s="109">
        <v>7391846010357</v>
      </c>
      <c r="K165" s="37" t="s">
        <v>3457</v>
      </c>
      <c r="L165" s="36" t="s">
        <v>977</v>
      </c>
      <c r="M165" s="514"/>
      <c r="N165" s="514">
        <f>IF($C165="","",VLOOKUP($C165,'2017 Pricelist'!$C:$I,7,FALSE))</f>
        <v>24.990000000000002</v>
      </c>
      <c r="O165" s="35">
        <v>1</v>
      </c>
      <c r="P165" s="239">
        <v>5</v>
      </c>
      <c r="Q165" s="44">
        <f>CONVERT(0.05,"kg","lbm")</f>
        <v>0.11023113109243879</v>
      </c>
      <c r="R165" s="33">
        <v>7.25</v>
      </c>
      <c r="S165" s="441">
        <f>CONVERT(106,"mm","in")</f>
        <v>4.1732283464566926</v>
      </c>
      <c r="T165" s="442">
        <v>2.5</v>
      </c>
      <c r="U165" s="91">
        <v>0.11023113109243879</v>
      </c>
      <c r="V165" s="37">
        <v>8.5</v>
      </c>
      <c r="W165" s="37">
        <v>2.5</v>
      </c>
      <c r="X165" s="237">
        <v>0.2</v>
      </c>
      <c r="Y165" s="220"/>
      <c r="Z165" s="221"/>
      <c r="AA165" s="221"/>
      <c r="AB165" s="222"/>
      <c r="AC165" s="44">
        <v>3.1</v>
      </c>
      <c r="AD165" s="33">
        <v>12.25</v>
      </c>
      <c r="AE165" s="33">
        <v>4.75</v>
      </c>
      <c r="AF165" s="70">
        <v>2.25</v>
      </c>
      <c r="AG165" s="44">
        <f t="shared" si="20"/>
        <v>7.5764973958333329E-2</v>
      </c>
      <c r="AH165" s="1" t="s">
        <v>1494</v>
      </c>
      <c r="AI165" s="37" t="s">
        <v>1957</v>
      </c>
      <c r="AJ165" s="37" t="s">
        <v>1961</v>
      </c>
      <c r="AK165" s="37" t="s">
        <v>1972</v>
      </c>
      <c r="AL165" s="37" t="s">
        <v>1979</v>
      </c>
      <c r="AM165" s="37"/>
      <c r="AN165" s="37"/>
      <c r="AO165" s="37"/>
      <c r="AP165" s="104"/>
      <c r="AQ165" s="18" t="s">
        <v>2909</v>
      </c>
      <c r="AR165" s="14" t="s">
        <v>1932</v>
      </c>
    </row>
    <row r="166" spans="1:44" s="18" customFormat="1" x14ac:dyDescent="0.2">
      <c r="A166" s="18" t="s">
        <v>1837</v>
      </c>
      <c r="C166" s="84" t="s">
        <v>1710</v>
      </c>
      <c r="D166" s="1" t="s">
        <v>1494</v>
      </c>
      <c r="E166" s="84" t="s">
        <v>3697</v>
      </c>
      <c r="G166" s="18" t="s">
        <v>2547</v>
      </c>
      <c r="H166" s="109">
        <v>7316220023631</v>
      </c>
      <c r="K166" s="37" t="s">
        <v>3457</v>
      </c>
      <c r="L166" s="36" t="s">
        <v>977</v>
      </c>
      <c r="M166" s="514"/>
      <c r="N166" s="514">
        <f>IF($C166="","",VLOOKUP($C166,'2017 Pricelist'!$C:$I,7,FALSE))</f>
        <v>19.989999999999998</v>
      </c>
      <c r="O166" s="35">
        <v>1</v>
      </c>
      <c r="P166" s="239">
        <v>5</v>
      </c>
      <c r="Q166" s="44">
        <f>CONVERT(0.076,"kg","lbm")</f>
        <v>0.16755131926050695</v>
      </c>
      <c r="R166" s="33">
        <v>10.5</v>
      </c>
      <c r="S166" s="441">
        <f>CONVERT(150,"mm","in")</f>
        <v>5.9055118110236222</v>
      </c>
      <c r="T166" s="442">
        <v>2.5</v>
      </c>
      <c r="U166" s="91">
        <v>0.16755131926050695</v>
      </c>
      <c r="V166" s="37">
        <v>13.5</v>
      </c>
      <c r="W166" s="37">
        <v>2.5</v>
      </c>
      <c r="X166" s="237">
        <v>0.2</v>
      </c>
      <c r="Y166" s="90">
        <v>0.85</v>
      </c>
      <c r="Z166" s="89">
        <v>8.5</v>
      </c>
      <c r="AA166" s="89">
        <v>13</v>
      </c>
      <c r="AB166" s="249">
        <v>0.1</v>
      </c>
      <c r="AC166" s="120"/>
      <c r="AD166" s="33">
        <v>14</v>
      </c>
      <c r="AE166" s="33">
        <v>9</v>
      </c>
      <c r="AF166" s="70">
        <v>2</v>
      </c>
      <c r="AG166" s="44">
        <f t="shared" si="20"/>
        <v>0.14583333333333334</v>
      </c>
      <c r="AH166" s="1" t="s">
        <v>1494</v>
      </c>
      <c r="AI166" s="37" t="s">
        <v>1957</v>
      </c>
      <c r="AJ166" s="37" t="s">
        <v>1963</v>
      </c>
      <c r="AK166" s="37" t="s">
        <v>1974</v>
      </c>
      <c r="AL166" s="37" t="s">
        <v>1981</v>
      </c>
      <c r="AM166" s="37"/>
      <c r="AN166" s="37"/>
      <c r="AO166" s="37"/>
      <c r="AP166" s="104"/>
      <c r="AQ166" s="18" t="s">
        <v>2909</v>
      </c>
      <c r="AR166" s="14" t="s">
        <v>1932</v>
      </c>
    </row>
    <row r="167" spans="1:44" s="14" customFormat="1" x14ac:dyDescent="0.2">
      <c r="A167" s="18" t="s">
        <v>1837</v>
      </c>
      <c r="B167" s="18"/>
      <c r="C167" s="84" t="s">
        <v>1714</v>
      </c>
      <c r="D167" s="1" t="s">
        <v>1550</v>
      </c>
      <c r="E167" s="84" t="s">
        <v>3698</v>
      </c>
      <c r="F167" s="18"/>
      <c r="G167" s="18" t="s">
        <v>2547</v>
      </c>
      <c r="H167" s="109">
        <v>7316220027226</v>
      </c>
      <c r="I167" s="18"/>
      <c r="J167" s="18"/>
      <c r="K167" s="37" t="s">
        <v>3457</v>
      </c>
      <c r="L167" s="36" t="s">
        <v>977</v>
      </c>
      <c r="M167" s="514"/>
      <c r="N167" s="514">
        <f>IF($C167="","",VLOOKUP($C167,'2017 Pricelist'!$C:$I,7,FALSE))</f>
        <v>74.990000000000009</v>
      </c>
      <c r="O167" s="35">
        <v>1</v>
      </c>
      <c r="P167" s="239">
        <v>5</v>
      </c>
      <c r="Q167" s="44">
        <f>CONVERT(0.118,"kg","lbm")</f>
        <v>0.26014546937815552</v>
      </c>
      <c r="R167" s="33">
        <v>8</v>
      </c>
      <c r="S167" s="441">
        <f>CONVERT(95,"mm","in")</f>
        <v>3.7401574803149606</v>
      </c>
      <c r="T167" s="442">
        <v>3.2</v>
      </c>
      <c r="U167" s="91">
        <v>0.26014546937815552</v>
      </c>
      <c r="V167" s="37">
        <v>13.5</v>
      </c>
      <c r="W167" s="37">
        <v>2.5</v>
      </c>
      <c r="X167" s="237">
        <v>0.2</v>
      </c>
      <c r="Y167" s="90">
        <v>0.4</v>
      </c>
      <c r="Z167" s="89">
        <v>8.5</v>
      </c>
      <c r="AA167" s="89">
        <v>13</v>
      </c>
      <c r="AB167" s="249">
        <v>0.1</v>
      </c>
      <c r="AC167" s="44">
        <v>4.4000000000000004</v>
      </c>
      <c r="AD167" s="33">
        <v>14</v>
      </c>
      <c r="AE167" s="33">
        <v>9</v>
      </c>
      <c r="AF167" s="70">
        <v>2</v>
      </c>
      <c r="AG167" s="42">
        <f t="shared" si="20"/>
        <v>0.14583333333333334</v>
      </c>
      <c r="AH167" s="1" t="s">
        <v>1550</v>
      </c>
      <c r="AI167" s="37" t="s">
        <v>1956</v>
      </c>
      <c r="AJ167" s="37" t="s">
        <v>1967</v>
      </c>
      <c r="AK167" s="37" t="s">
        <v>1976</v>
      </c>
      <c r="AL167" s="37" t="s">
        <v>1982</v>
      </c>
      <c r="AM167" s="37"/>
      <c r="AN167" s="37"/>
      <c r="AO167" s="37"/>
      <c r="AP167" s="104"/>
      <c r="AQ167" s="18" t="s">
        <v>2909</v>
      </c>
      <c r="AR167" s="14" t="s">
        <v>1932</v>
      </c>
    </row>
    <row r="168" spans="1:44" s="18" customFormat="1" x14ac:dyDescent="0.2">
      <c r="A168" s="18" t="s">
        <v>1837</v>
      </c>
      <c r="C168" s="84" t="s">
        <v>1711</v>
      </c>
      <c r="D168" s="1" t="s">
        <v>3459</v>
      </c>
      <c r="E168" s="84" t="s">
        <v>3699</v>
      </c>
      <c r="G168" s="18" t="s">
        <v>2547</v>
      </c>
      <c r="H168" s="109">
        <v>7316220024232</v>
      </c>
      <c r="K168" s="37" t="s">
        <v>3457</v>
      </c>
      <c r="L168" s="36" t="s">
        <v>977</v>
      </c>
      <c r="M168" s="514"/>
      <c r="N168" s="514">
        <f>IF($C168="","",VLOOKUP($C168,'2017 Pricelist'!$C:$I,7,FALSE))</f>
        <v>29.990000000000002</v>
      </c>
      <c r="O168" s="35">
        <v>1</v>
      </c>
      <c r="P168" s="239">
        <v>5</v>
      </c>
      <c r="Q168" s="44">
        <f>CONVERT(0.066,"kg","lbm")</f>
        <v>0.1455050930420192</v>
      </c>
      <c r="R168" s="33">
        <v>7.75</v>
      </c>
      <c r="S168" s="441">
        <f>CONVERT(81,"mm","in")</f>
        <v>3.1889763779527556</v>
      </c>
      <c r="T168" s="442">
        <v>2.7</v>
      </c>
      <c r="U168" s="91">
        <v>0.1455050930420192</v>
      </c>
      <c r="V168" s="37">
        <v>13.5</v>
      </c>
      <c r="W168" s="37">
        <v>2.5</v>
      </c>
      <c r="X168" s="237">
        <v>0.2</v>
      </c>
      <c r="Y168" s="90">
        <v>0.4</v>
      </c>
      <c r="Z168" s="89">
        <v>8.5</v>
      </c>
      <c r="AA168" s="89">
        <v>13</v>
      </c>
      <c r="AB168" s="249">
        <v>0.1</v>
      </c>
      <c r="AC168" s="44">
        <v>4.4000000000000004</v>
      </c>
      <c r="AD168" s="33">
        <v>14</v>
      </c>
      <c r="AE168" s="33">
        <v>9</v>
      </c>
      <c r="AF168" s="70">
        <v>2</v>
      </c>
      <c r="AG168" s="44">
        <f t="shared" si="20"/>
        <v>0.14583333333333334</v>
      </c>
      <c r="AH168" s="1" t="s">
        <v>1298</v>
      </c>
      <c r="AI168" s="37" t="s">
        <v>1958</v>
      </c>
      <c r="AJ168" s="37" t="s">
        <v>1964</v>
      </c>
      <c r="AK168" s="37" t="s">
        <v>1975</v>
      </c>
      <c r="AL168" s="37" t="s">
        <v>1978</v>
      </c>
      <c r="AM168" s="37"/>
      <c r="AN168" s="37"/>
      <c r="AO168" s="37"/>
      <c r="AP168" s="104"/>
      <c r="AQ168" s="18" t="s">
        <v>2909</v>
      </c>
      <c r="AR168" s="14" t="s">
        <v>1932</v>
      </c>
    </row>
    <row r="169" spans="1:44" s="18" customFormat="1" x14ac:dyDescent="0.2">
      <c r="A169" s="18" t="s">
        <v>1837</v>
      </c>
      <c r="C169" s="84" t="s">
        <v>1713</v>
      </c>
      <c r="D169" s="1" t="s">
        <v>3459</v>
      </c>
      <c r="E169" s="84" t="s">
        <v>3700</v>
      </c>
      <c r="G169" s="18" t="s">
        <v>2547</v>
      </c>
      <c r="H169" s="109">
        <v>7316220026038</v>
      </c>
      <c r="K169" s="37" t="s">
        <v>3457</v>
      </c>
      <c r="L169" s="36" t="s">
        <v>977</v>
      </c>
      <c r="M169" s="514"/>
      <c r="N169" s="514">
        <f>IF($C169="","",VLOOKUP($C169,'2017 Pricelist'!$C:$I,7,FALSE))</f>
        <v>29.990000000000002</v>
      </c>
      <c r="O169" s="35">
        <v>1</v>
      </c>
      <c r="P169" s="239">
        <v>5</v>
      </c>
      <c r="Q169" s="44">
        <f>CONVERT(0.036,"kg","lbm")</f>
        <v>7.9366414386555922E-2</v>
      </c>
      <c r="R169" s="33">
        <v>6.5</v>
      </c>
      <c r="S169" s="441">
        <f>CONVERT(59,"mm","in")</f>
        <v>2.3228346456692912</v>
      </c>
      <c r="T169" s="442">
        <v>2.7</v>
      </c>
      <c r="U169" s="91">
        <v>7.9366414386555922E-2</v>
      </c>
      <c r="V169" s="37">
        <v>13.5</v>
      </c>
      <c r="W169" s="37">
        <v>2.5</v>
      </c>
      <c r="X169" s="237">
        <v>0.2</v>
      </c>
      <c r="Y169" s="220"/>
      <c r="Z169" s="221"/>
      <c r="AA169" s="221"/>
      <c r="AB169" s="222"/>
      <c r="AC169" s="120"/>
      <c r="AD169" s="121"/>
      <c r="AE169" s="121"/>
      <c r="AF169" s="122"/>
      <c r="AG169" s="44">
        <f t="shared" si="20"/>
        <v>0</v>
      </c>
      <c r="AH169" s="1" t="s">
        <v>1298</v>
      </c>
      <c r="AI169" s="37" t="s">
        <v>1957</v>
      </c>
      <c r="AJ169" s="37" t="s">
        <v>1966</v>
      </c>
      <c r="AK169" s="37" t="s">
        <v>1969</v>
      </c>
      <c r="AL169" s="37" t="s">
        <v>1980</v>
      </c>
      <c r="AM169" s="37"/>
      <c r="AN169" s="37"/>
      <c r="AO169" s="37"/>
      <c r="AP169" s="104"/>
      <c r="AQ169" s="18" t="s">
        <v>2909</v>
      </c>
      <c r="AR169" s="14" t="s">
        <v>1932</v>
      </c>
    </row>
    <row r="170" spans="1:44" s="18" customFormat="1" x14ac:dyDescent="0.2">
      <c r="A170" s="18" t="s">
        <v>1837</v>
      </c>
      <c r="C170" s="84" t="s">
        <v>1712</v>
      </c>
      <c r="D170" s="1" t="s">
        <v>1550</v>
      </c>
      <c r="E170" s="84" t="s">
        <v>3701</v>
      </c>
      <c r="G170" s="18" t="s">
        <v>2547</v>
      </c>
      <c r="H170" s="109">
        <v>7316222500628</v>
      </c>
      <c r="K170" s="37" t="s">
        <v>3457</v>
      </c>
      <c r="L170" s="36" t="s">
        <v>977</v>
      </c>
      <c r="M170" s="514"/>
      <c r="N170" s="514">
        <f>IF($C170="","",VLOOKUP($C170,'2017 Pricelist'!$C:$I,7,FALSE))</f>
        <v>29.990000000000002</v>
      </c>
      <c r="O170" s="35">
        <v>1</v>
      </c>
      <c r="P170" s="239">
        <v>5</v>
      </c>
      <c r="Q170" s="44">
        <f>CONVERT(0.0493,"kg","lbm")</f>
        <v>0.10868789525714463</v>
      </c>
      <c r="R170" s="33">
        <v>7.75</v>
      </c>
      <c r="S170" s="441">
        <f>CONVERT(115,"mm","in")</f>
        <v>4.5275590551181102</v>
      </c>
      <c r="T170" s="442">
        <v>2.5</v>
      </c>
      <c r="U170" s="91">
        <v>0.10868789525714463</v>
      </c>
      <c r="V170" s="37">
        <v>13.5</v>
      </c>
      <c r="W170" s="37">
        <v>2.5</v>
      </c>
      <c r="X170" s="237">
        <v>0.2</v>
      </c>
      <c r="Y170" s="90">
        <v>0.6</v>
      </c>
      <c r="Z170" s="89">
        <v>8.5</v>
      </c>
      <c r="AA170" s="89">
        <v>13</v>
      </c>
      <c r="AB170" s="249">
        <v>0.1</v>
      </c>
      <c r="AC170" s="120"/>
      <c r="AD170" s="33">
        <v>14</v>
      </c>
      <c r="AE170" s="33">
        <v>9</v>
      </c>
      <c r="AF170" s="70">
        <v>2</v>
      </c>
      <c r="AG170" s="44">
        <f t="shared" si="20"/>
        <v>0.14583333333333334</v>
      </c>
      <c r="AH170" s="1" t="s">
        <v>1550</v>
      </c>
      <c r="AI170" s="37" t="s">
        <v>1957</v>
      </c>
      <c r="AJ170" s="37" t="s">
        <v>1965</v>
      </c>
      <c r="AK170" s="37" t="s">
        <v>1970</v>
      </c>
      <c r="AL170" s="37" t="s">
        <v>1978</v>
      </c>
      <c r="AM170" s="37"/>
      <c r="AN170" s="37"/>
      <c r="AO170" s="37"/>
      <c r="AP170" s="104"/>
      <c r="AQ170" s="18" t="s">
        <v>2909</v>
      </c>
      <c r="AR170" s="14" t="s">
        <v>1932</v>
      </c>
    </row>
    <row r="171" spans="1:44" s="18" customFormat="1" ht="15.75" x14ac:dyDescent="0.25">
      <c r="A171" s="448" t="s">
        <v>3471</v>
      </c>
      <c r="B171" s="448"/>
      <c r="C171" s="448"/>
      <c r="D171" s="33"/>
      <c r="E171" s="34"/>
      <c r="H171" s="223"/>
      <c r="K171" s="36"/>
      <c r="L171" s="36"/>
      <c r="M171" s="504"/>
      <c r="N171" s="504"/>
      <c r="O171" s="35"/>
      <c r="P171" s="187"/>
      <c r="Q171" s="44"/>
      <c r="R171" s="33"/>
      <c r="S171" s="33"/>
      <c r="T171" s="70"/>
      <c r="U171" s="44"/>
      <c r="V171" s="33"/>
      <c r="W171" s="33"/>
      <c r="X171" s="70"/>
      <c r="Y171" s="44"/>
      <c r="Z171" s="33" t="s">
        <v>1549</v>
      </c>
      <c r="AA171" s="33"/>
      <c r="AB171" s="70"/>
      <c r="AC171" s="44"/>
      <c r="AD171" s="33"/>
      <c r="AE171" s="33"/>
      <c r="AF171" s="70"/>
      <c r="AG171" s="44"/>
    </row>
    <row r="172" spans="1:44" s="14" customFormat="1" x14ac:dyDescent="0.2">
      <c r="A172" s="422" t="s">
        <v>3351</v>
      </c>
      <c r="B172" s="425"/>
      <c r="C172" s="422"/>
      <c r="D172" s="423"/>
      <c r="E172" s="22"/>
      <c r="F172" s="19"/>
      <c r="H172" s="18"/>
      <c r="I172" s="28"/>
      <c r="J172" s="28"/>
      <c r="K172" s="29"/>
      <c r="L172" s="29"/>
      <c r="M172" s="513"/>
      <c r="N172" s="514"/>
      <c r="O172" s="17"/>
      <c r="P172" s="74"/>
      <c r="Q172" s="44"/>
      <c r="R172" s="33"/>
      <c r="S172" s="33"/>
      <c r="T172" s="70"/>
      <c r="U172" s="42"/>
      <c r="V172" s="15"/>
      <c r="W172" s="15"/>
      <c r="X172" s="43"/>
      <c r="Y172" s="42"/>
      <c r="Z172" s="15"/>
      <c r="AA172" s="15"/>
      <c r="AB172" s="43"/>
      <c r="AC172" s="42"/>
      <c r="AD172" s="15"/>
      <c r="AE172" s="15"/>
      <c r="AF172" s="43"/>
      <c r="AG172" s="44"/>
      <c r="AH172" s="20"/>
      <c r="AI172" s="20"/>
      <c r="AJ172" s="20"/>
      <c r="AK172" s="20"/>
      <c r="AL172" s="20"/>
      <c r="AM172" s="20"/>
      <c r="AN172" s="20"/>
      <c r="AO172" s="20"/>
      <c r="AP172" s="20"/>
      <c r="AR172" s="21"/>
    </row>
    <row r="173" spans="1:44" s="18" customFormat="1" ht="12.75" customHeight="1" x14ac:dyDescent="0.2">
      <c r="A173" s="18" t="s">
        <v>3365</v>
      </c>
      <c r="C173" s="40" t="s">
        <v>1646</v>
      </c>
      <c r="D173" s="1" t="s">
        <v>1550</v>
      </c>
      <c r="E173" s="452" t="s">
        <v>1659</v>
      </c>
      <c r="F173" s="18" t="s">
        <v>484</v>
      </c>
      <c r="G173" s="18" t="s">
        <v>2520</v>
      </c>
      <c r="H173" s="97" t="s">
        <v>1721</v>
      </c>
      <c r="K173" s="37" t="s">
        <v>3463</v>
      </c>
      <c r="L173" s="36" t="s">
        <v>977</v>
      </c>
      <c r="M173" s="514"/>
      <c r="N173" s="514">
        <f>IF($C173="","",VLOOKUP($C173,'2017 Pricelist'!$C:$I,7,FALSE))</f>
        <v>34.99</v>
      </c>
      <c r="O173" s="35">
        <v>1</v>
      </c>
      <c r="P173" s="239">
        <v>10</v>
      </c>
      <c r="Q173" s="44">
        <f>CONVERT(0.111,"kg","lbm")</f>
        <v>0.24471311102521412</v>
      </c>
      <c r="R173" s="33" t="s">
        <v>3464</v>
      </c>
      <c r="S173" s="441">
        <f>CONVERT(106,"mm","in")</f>
        <v>4.1732283464566926</v>
      </c>
      <c r="T173" s="442">
        <v>2.5</v>
      </c>
      <c r="U173" s="44">
        <v>0.24471311102521409</v>
      </c>
      <c r="V173" s="33">
        <v>10</v>
      </c>
      <c r="W173" s="33">
        <v>1.5</v>
      </c>
      <c r="X173" s="70">
        <v>1</v>
      </c>
      <c r="Y173" s="90" t="s">
        <v>259</v>
      </c>
      <c r="Z173" s="89" t="s">
        <v>259</v>
      </c>
      <c r="AA173" s="89" t="s">
        <v>259</v>
      </c>
      <c r="AB173" s="249" t="s">
        <v>259</v>
      </c>
      <c r="AC173" s="44">
        <v>2.75</v>
      </c>
      <c r="AD173" s="33">
        <v>12</v>
      </c>
      <c r="AE173" s="33">
        <v>5</v>
      </c>
      <c r="AF173" s="70">
        <v>2.5</v>
      </c>
      <c r="AG173" s="44">
        <f t="shared" ref="AG173:AG179" si="21">AD173*AE173*AF173/(12^3)</f>
        <v>8.6805555555555552E-2</v>
      </c>
      <c r="AH173" s="460" t="s">
        <v>1699</v>
      </c>
      <c r="AI173" s="248"/>
      <c r="AJ173" s="460"/>
      <c r="AK173" s="140"/>
      <c r="AL173" s="460"/>
      <c r="AM173" s="460"/>
      <c r="AN173" s="460"/>
      <c r="AO173" s="460"/>
      <c r="AP173" s="460"/>
      <c r="AQ173" s="18" t="s">
        <v>2909</v>
      </c>
      <c r="AR173" s="14" t="s">
        <v>1932</v>
      </c>
    </row>
    <row r="174" spans="1:44" s="18" customFormat="1" ht="12.75" customHeight="1" x14ac:dyDescent="0.2">
      <c r="A174" s="18" t="s">
        <v>3365</v>
      </c>
      <c r="C174" s="40" t="s">
        <v>1642</v>
      </c>
      <c r="D174" s="453" t="s">
        <v>1550</v>
      </c>
      <c r="E174" s="452" t="s">
        <v>1657</v>
      </c>
      <c r="F174" s="18" t="s">
        <v>484</v>
      </c>
      <c r="G174" s="18" t="s">
        <v>2520</v>
      </c>
      <c r="H174" s="97" t="s">
        <v>3465</v>
      </c>
      <c r="K174" s="37" t="s">
        <v>3463</v>
      </c>
      <c r="L174" s="36" t="s">
        <v>977</v>
      </c>
      <c r="M174" s="514"/>
      <c r="N174" s="514">
        <f>IF($C174="","",VLOOKUP($C174,'2017 Pricelist'!$C:$I,7,FALSE))</f>
        <v>27.990000000000002</v>
      </c>
      <c r="O174" s="35">
        <v>1</v>
      </c>
      <c r="P174" s="454">
        <v>10</v>
      </c>
      <c r="Q174" s="44">
        <f>CONVERT(0.128,"kg","lbm")</f>
        <v>0.28219169559664331</v>
      </c>
      <c r="R174" s="33" t="s">
        <v>3464</v>
      </c>
      <c r="S174" s="441">
        <f>CONVERT(66,"mm","in")</f>
        <v>2.5984251968503935</v>
      </c>
      <c r="T174" s="442">
        <v>2</v>
      </c>
      <c r="U174" s="44">
        <v>0.28219169559664331</v>
      </c>
      <c r="V174" s="33">
        <v>7.5</v>
      </c>
      <c r="W174" s="33">
        <v>1.5</v>
      </c>
      <c r="X174" s="70">
        <v>0.75</v>
      </c>
      <c r="Y174" s="90" t="s">
        <v>259</v>
      </c>
      <c r="Z174" s="89" t="s">
        <v>259</v>
      </c>
      <c r="AA174" s="89" t="s">
        <v>259</v>
      </c>
      <c r="AB174" s="249" t="s">
        <v>259</v>
      </c>
      <c r="AC174" s="44">
        <v>2.1</v>
      </c>
      <c r="AD174" s="33">
        <v>8.5</v>
      </c>
      <c r="AE174" s="33">
        <v>10.5</v>
      </c>
      <c r="AF174" s="70">
        <v>2</v>
      </c>
      <c r="AG174" s="44">
        <f t="shared" si="21"/>
        <v>0.1032986111111111</v>
      </c>
      <c r="AH174" s="140" t="s">
        <v>1657</v>
      </c>
      <c r="AI174" s="465" t="s">
        <v>1550</v>
      </c>
      <c r="AJ174" s="140"/>
      <c r="AK174" s="140"/>
      <c r="AL174" s="140"/>
      <c r="AM174" s="140"/>
      <c r="AN174" s="140"/>
      <c r="AO174" s="140"/>
      <c r="AP174" s="140"/>
      <c r="AQ174" s="18" t="s">
        <v>2909</v>
      </c>
      <c r="AR174" s="14" t="s">
        <v>1932</v>
      </c>
    </row>
    <row r="175" spans="1:44" s="18" customFormat="1" ht="12.75" customHeight="1" x14ac:dyDescent="0.2">
      <c r="A175" s="18" t="s">
        <v>3365</v>
      </c>
      <c r="C175" s="40" t="s">
        <v>1641</v>
      </c>
      <c r="D175" s="1" t="s">
        <v>1550</v>
      </c>
      <c r="E175" s="452" t="s">
        <v>1656</v>
      </c>
      <c r="F175" s="18" t="s">
        <v>484</v>
      </c>
      <c r="G175" s="18" t="s">
        <v>2520</v>
      </c>
      <c r="H175" s="3" t="s">
        <v>1828</v>
      </c>
      <c r="K175" s="37" t="s">
        <v>3463</v>
      </c>
      <c r="L175" s="36" t="s">
        <v>977</v>
      </c>
      <c r="M175" s="514"/>
      <c r="N175" s="514">
        <f>IF($C175="","",VLOOKUP($C175,'2017 Pricelist'!$C:$I,7,FALSE))</f>
        <v>19.989999999999998</v>
      </c>
      <c r="O175" s="35">
        <v>1</v>
      </c>
      <c r="P175" s="239">
        <v>10</v>
      </c>
      <c r="Q175" s="44">
        <f>CONVERT(0.089,"kg","lbm")</f>
        <v>0.19621141334454104</v>
      </c>
      <c r="R175" s="441">
        <f>CONVERT(192,"mm","in")</f>
        <v>7.559055118110237</v>
      </c>
      <c r="S175" s="441" t="s">
        <v>259</v>
      </c>
      <c r="T175" s="442" t="s">
        <v>259</v>
      </c>
      <c r="U175" s="44">
        <v>0.19621141334454104</v>
      </c>
      <c r="V175" s="33">
        <v>7.5</v>
      </c>
      <c r="W175" s="33">
        <v>1.25</v>
      </c>
      <c r="X175" s="70">
        <v>1</v>
      </c>
      <c r="Y175" s="90" t="s">
        <v>259</v>
      </c>
      <c r="Z175" s="89" t="s">
        <v>259</v>
      </c>
      <c r="AA175" s="89" t="s">
        <v>259</v>
      </c>
      <c r="AB175" s="249" t="s">
        <v>259</v>
      </c>
      <c r="AC175" s="44">
        <v>2.33</v>
      </c>
      <c r="AD175" s="33">
        <v>10.5</v>
      </c>
      <c r="AE175" s="33">
        <v>9</v>
      </c>
      <c r="AF175" s="70">
        <v>2</v>
      </c>
      <c r="AG175" s="44">
        <f t="shared" si="21"/>
        <v>0.109375</v>
      </c>
      <c r="AH175" s="460" t="s">
        <v>1823</v>
      </c>
      <c r="AI175" s="461" t="s">
        <v>1824</v>
      </c>
      <c r="AJ175" s="460" t="s">
        <v>1694</v>
      </c>
      <c r="AK175" s="140"/>
      <c r="AL175" s="460"/>
      <c r="AM175" s="460"/>
      <c r="AN175" s="460"/>
      <c r="AO175" s="460"/>
      <c r="AP175" s="460"/>
      <c r="AQ175" s="18" t="s">
        <v>2909</v>
      </c>
      <c r="AR175" s="14" t="s">
        <v>1932</v>
      </c>
    </row>
    <row r="176" spans="1:44" s="18" customFormat="1" x14ac:dyDescent="0.2">
      <c r="A176" s="18" t="s">
        <v>3365</v>
      </c>
      <c r="C176" s="40" t="s">
        <v>1643</v>
      </c>
      <c r="D176" s="1" t="s">
        <v>1550</v>
      </c>
      <c r="E176" s="9" t="s">
        <v>3466</v>
      </c>
      <c r="F176" s="18" t="s">
        <v>484</v>
      </c>
      <c r="G176" s="18" t="s">
        <v>2520</v>
      </c>
      <c r="H176" s="97" t="s">
        <v>1719</v>
      </c>
      <c r="K176" s="37" t="s">
        <v>3463</v>
      </c>
      <c r="L176" s="36" t="s">
        <v>977</v>
      </c>
      <c r="M176" s="514"/>
      <c r="N176" s="514">
        <f>IF($C176="","",VLOOKUP($C176,'2017 Pricelist'!$C:$I,7,FALSE))</f>
        <v>39.99</v>
      </c>
      <c r="O176" s="35">
        <v>1</v>
      </c>
      <c r="P176" s="239">
        <v>10</v>
      </c>
      <c r="Q176" s="44">
        <f>CONVERT(0.128,"kg","lbm")</f>
        <v>0.28219169559664331</v>
      </c>
      <c r="R176" s="33" t="s">
        <v>3464</v>
      </c>
      <c r="S176" s="441">
        <f>CONVERT(66,"mm","in")</f>
        <v>2.5984251968503935</v>
      </c>
      <c r="T176" s="442">
        <v>2</v>
      </c>
      <c r="U176" s="44">
        <v>0.28219169559664331</v>
      </c>
      <c r="V176" s="33">
        <v>10</v>
      </c>
      <c r="W176" s="33">
        <v>1.5</v>
      </c>
      <c r="X176" s="70">
        <v>1</v>
      </c>
      <c r="Y176" s="90" t="s">
        <v>259</v>
      </c>
      <c r="Z176" s="89" t="s">
        <v>259</v>
      </c>
      <c r="AA176" s="89" t="s">
        <v>259</v>
      </c>
      <c r="AB176" s="249" t="s">
        <v>259</v>
      </c>
      <c r="AC176" s="44">
        <v>3.05</v>
      </c>
      <c r="AD176" s="33">
        <v>14</v>
      </c>
      <c r="AE176" s="33">
        <v>5</v>
      </c>
      <c r="AF176" s="70">
        <v>2</v>
      </c>
      <c r="AG176" s="44">
        <f t="shared" si="21"/>
        <v>8.1018518518518517E-2</v>
      </c>
      <c r="AH176" s="460" t="s">
        <v>1691</v>
      </c>
      <c r="AI176" s="461" t="s">
        <v>1695</v>
      </c>
      <c r="AJ176" s="460" t="s">
        <v>1738</v>
      </c>
      <c r="AK176" s="140" t="s">
        <v>1694</v>
      </c>
      <c r="AL176" s="460" t="s">
        <v>1693</v>
      </c>
      <c r="AM176" s="460"/>
      <c r="AN176" s="460"/>
      <c r="AO176" s="460"/>
      <c r="AP176" s="460" t="s">
        <v>1691</v>
      </c>
      <c r="AQ176" s="18" t="s">
        <v>2909</v>
      </c>
      <c r="AR176" s="14" t="s">
        <v>1932</v>
      </c>
    </row>
    <row r="177" spans="1:44" s="18" customFormat="1" x14ac:dyDescent="0.2">
      <c r="A177" s="18" t="s">
        <v>3365</v>
      </c>
      <c r="C177" s="40" t="s">
        <v>1637</v>
      </c>
      <c r="D177" s="1" t="s">
        <v>1550</v>
      </c>
      <c r="E177" s="9" t="s">
        <v>3467</v>
      </c>
      <c r="F177" s="18" t="s">
        <v>484</v>
      </c>
      <c r="G177" s="18" t="s">
        <v>2520</v>
      </c>
      <c r="H177" s="97" t="s">
        <v>1717</v>
      </c>
      <c r="K177" s="37" t="s">
        <v>3463</v>
      </c>
      <c r="L177" s="36" t="s">
        <v>977</v>
      </c>
      <c r="M177" s="514"/>
      <c r="N177" s="514">
        <f>IF($C177="","",VLOOKUP($C177,'2017 Pricelist'!$C:$I,7,FALSE))</f>
        <v>39.99</v>
      </c>
      <c r="O177" s="35">
        <v>1</v>
      </c>
      <c r="P177" s="239">
        <v>10</v>
      </c>
      <c r="Q177" s="44">
        <f>CONVERT(0.128,"kg","lbm")</f>
        <v>0.28219169559664331</v>
      </c>
      <c r="R177" s="33" t="s">
        <v>3468</v>
      </c>
      <c r="S177" s="441">
        <f>CONVERT(151,"mm","in")</f>
        <v>5.9448818897637796</v>
      </c>
      <c r="T177" s="442">
        <v>2</v>
      </c>
      <c r="U177" s="44">
        <v>0.28219169559664331</v>
      </c>
      <c r="V177" s="33">
        <v>13</v>
      </c>
      <c r="W177" s="33">
        <v>1.5</v>
      </c>
      <c r="X177" s="70">
        <v>1</v>
      </c>
      <c r="Y177" s="90" t="s">
        <v>259</v>
      </c>
      <c r="Z177" s="89" t="s">
        <v>259</v>
      </c>
      <c r="AA177" s="89" t="s">
        <v>259</v>
      </c>
      <c r="AB177" s="249" t="s">
        <v>259</v>
      </c>
      <c r="AC177" s="44">
        <v>3</v>
      </c>
      <c r="AD177" s="33">
        <v>15</v>
      </c>
      <c r="AE177" s="33">
        <v>5</v>
      </c>
      <c r="AF177" s="70">
        <v>3</v>
      </c>
      <c r="AG177" s="44">
        <f t="shared" si="21"/>
        <v>0.13020833333333334</v>
      </c>
      <c r="AH177" s="460" t="s">
        <v>1691</v>
      </c>
      <c r="AI177" s="461" t="s">
        <v>1692</v>
      </c>
      <c r="AJ177" s="460" t="s">
        <v>3470</v>
      </c>
      <c r="AK177" s="140" t="s">
        <v>1694</v>
      </c>
      <c r="AL177" s="460" t="s">
        <v>1695</v>
      </c>
      <c r="AM177" s="460"/>
      <c r="AN177" s="460"/>
      <c r="AO177" s="460"/>
      <c r="AP177" s="460" t="s">
        <v>1691</v>
      </c>
      <c r="AQ177" s="18" t="s">
        <v>2909</v>
      </c>
      <c r="AR177" s="14" t="s">
        <v>1932</v>
      </c>
    </row>
    <row r="178" spans="1:44" s="14" customFormat="1" ht="12.75" customHeight="1" x14ac:dyDescent="0.2">
      <c r="A178" s="18" t="s">
        <v>3365</v>
      </c>
      <c r="B178" s="18"/>
      <c r="C178" s="40" t="s">
        <v>1638</v>
      </c>
      <c r="D178" s="1" t="s">
        <v>1550</v>
      </c>
      <c r="E178" s="9" t="s">
        <v>3472</v>
      </c>
      <c r="F178" s="18" t="s">
        <v>484</v>
      </c>
      <c r="G178" s="18" t="s">
        <v>2520</v>
      </c>
      <c r="H178" s="455">
        <v>7391846007524</v>
      </c>
      <c r="I178" s="18"/>
      <c r="J178" s="18"/>
      <c r="K178" s="37" t="s">
        <v>3463</v>
      </c>
      <c r="L178" s="36" t="s">
        <v>977</v>
      </c>
      <c r="M178" s="514"/>
      <c r="N178" s="514">
        <f>IF($C178="","",VLOOKUP($C178,'2017 Pricelist'!$C:$I,7,FALSE))</f>
        <v>39.99</v>
      </c>
      <c r="O178" s="35">
        <v>1</v>
      </c>
      <c r="P178" s="239">
        <v>10</v>
      </c>
      <c r="Q178" s="44">
        <f>CONVERT(0.119,"kg","lbm")</f>
        <v>0.26235009200000431</v>
      </c>
      <c r="R178" s="33" t="s">
        <v>3473</v>
      </c>
      <c r="S178" s="441">
        <f>CONVERT(118,"mm","in")</f>
        <v>4.6456692913385824</v>
      </c>
      <c r="T178" s="442">
        <v>2</v>
      </c>
      <c r="U178" s="44">
        <v>0.26235009200000431</v>
      </c>
      <c r="V178" s="33">
        <v>12</v>
      </c>
      <c r="W178" s="33">
        <v>1.375</v>
      </c>
      <c r="X178" s="70">
        <v>0.75</v>
      </c>
      <c r="Y178" s="90" t="s">
        <v>259</v>
      </c>
      <c r="Z178" s="89" t="s">
        <v>259</v>
      </c>
      <c r="AA178" s="89" t="s">
        <v>259</v>
      </c>
      <c r="AB178" s="249" t="s">
        <v>259</v>
      </c>
      <c r="AC178" s="44">
        <v>2</v>
      </c>
      <c r="AD178" s="33">
        <v>14</v>
      </c>
      <c r="AE178" s="33">
        <v>5</v>
      </c>
      <c r="AF178" s="70">
        <v>2.5</v>
      </c>
      <c r="AG178" s="42">
        <f t="shared" si="21"/>
        <v>0.10127314814814815</v>
      </c>
      <c r="AH178" s="460" t="s">
        <v>1691</v>
      </c>
      <c r="AI178" s="461" t="s">
        <v>1696</v>
      </c>
      <c r="AJ178" s="460" t="s">
        <v>1693</v>
      </c>
      <c r="AK178" s="140" t="s">
        <v>1694</v>
      </c>
      <c r="AL178" s="460" t="s">
        <v>1697</v>
      </c>
      <c r="AM178" s="460"/>
      <c r="AN178" s="460"/>
      <c r="AO178" s="460"/>
      <c r="AP178" s="460" t="s">
        <v>1691</v>
      </c>
      <c r="AQ178" s="18" t="s">
        <v>2909</v>
      </c>
      <c r="AR178" s="14" t="s">
        <v>1932</v>
      </c>
    </row>
    <row r="179" spans="1:44" s="14" customFormat="1" ht="12.75" customHeight="1" x14ac:dyDescent="0.2">
      <c r="A179" s="18" t="s">
        <v>3365</v>
      </c>
      <c r="B179" s="18"/>
      <c r="C179" s="40" t="s">
        <v>1644</v>
      </c>
      <c r="D179" s="1" t="s">
        <v>1550</v>
      </c>
      <c r="E179" s="452" t="s">
        <v>2531</v>
      </c>
      <c r="F179" s="18" t="s">
        <v>484</v>
      </c>
      <c r="G179" s="18" t="s">
        <v>2520</v>
      </c>
      <c r="H179" s="97" t="s">
        <v>1720</v>
      </c>
      <c r="I179" s="18"/>
      <c r="J179" s="18"/>
      <c r="K179" s="37" t="s">
        <v>3463</v>
      </c>
      <c r="L179" s="36" t="s">
        <v>977</v>
      </c>
      <c r="M179" s="514"/>
      <c r="N179" s="514">
        <f>IF($C179="","",VLOOKUP($C179,'2017 Pricelist'!$C:$I,7,FALSE))</f>
        <v>59.99</v>
      </c>
      <c r="O179" s="35">
        <v>1</v>
      </c>
      <c r="P179" s="239">
        <v>10</v>
      </c>
      <c r="Q179" s="44">
        <f>CONVERT(0.142,"kg","lbm")</f>
        <v>0.31305641230252612</v>
      </c>
      <c r="R179" s="441">
        <f>CONVERT(275,"mm","in")</f>
        <v>10.826771653543307</v>
      </c>
      <c r="S179" s="441">
        <f>CONVERT(130,"mm","in")</f>
        <v>5.1181102362204731</v>
      </c>
      <c r="T179" s="442">
        <v>2.5</v>
      </c>
      <c r="U179" s="44">
        <v>0.31305641230252618</v>
      </c>
      <c r="V179" s="33">
        <v>11.5</v>
      </c>
      <c r="W179" s="33">
        <v>1.5</v>
      </c>
      <c r="X179" s="70">
        <v>1</v>
      </c>
      <c r="Y179" s="90" t="s">
        <v>259</v>
      </c>
      <c r="Z179" s="89" t="s">
        <v>259</v>
      </c>
      <c r="AA179" s="89" t="s">
        <v>259</v>
      </c>
      <c r="AB179" s="249" t="s">
        <v>259</v>
      </c>
      <c r="AC179" s="44">
        <v>3.25</v>
      </c>
      <c r="AD179" s="33">
        <v>15</v>
      </c>
      <c r="AE179" s="33">
        <v>5</v>
      </c>
      <c r="AF179" s="70">
        <v>3</v>
      </c>
      <c r="AG179" s="42">
        <f t="shared" si="21"/>
        <v>0.13020833333333334</v>
      </c>
      <c r="AH179" s="460" t="s">
        <v>1691</v>
      </c>
      <c r="AI179" s="461" t="s">
        <v>1825</v>
      </c>
      <c r="AJ179" s="460" t="s">
        <v>1694</v>
      </c>
      <c r="AK179" s="140" t="s">
        <v>1738</v>
      </c>
      <c r="AL179" s="460" t="s">
        <v>1826</v>
      </c>
      <c r="AM179" s="460"/>
      <c r="AN179" s="460"/>
      <c r="AO179" s="460"/>
      <c r="AP179" s="460" t="s">
        <v>1691</v>
      </c>
      <c r="AQ179" s="18" t="s">
        <v>2909</v>
      </c>
      <c r="AR179" s="14" t="s">
        <v>1932</v>
      </c>
    </row>
    <row r="180" spans="1:44" s="14" customFormat="1" ht="12.75" customHeight="1" x14ac:dyDescent="0.2">
      <c r="A180" s="18" t="s">
        <v>3365</v>
      </c>
      <c r="B180" s="18"/>
      <c r="C180" s="40" t="s">
        <v>1639</v>
      </c>
      <c r="D180" s="1" t="s">
        <v>1550</v>
      </c>
      <c r="E180" s="452" t="s">
        <v>3474</v>
      </c>
      <c r="F180" s="18" t="s">
        <v>1829</v>
      </c>
      <c r="G180" s="18" t="s">
        <v>2520</v>
      </c>
      <c r="H180" s="455">
        <v>7391846008408</v>
      </c>
      <c r="I180" s="18"/>
      <c r="J180" s="18"/>
      <c r="K180" s="37" t="s">
        <v>3387</v>
      </c>
      <c r="L180" s="36" t="s">
        <v>977</v>
      </c>
      <c r="M180" s="514"/>
      <c r="N180" s="514">
        <f>IF($C180="","",VLOOKUP($C180,'2017 Pricelist'!$C:$I,7,FALSE))</f>
        <v>79.990000000000009</v>
      </c>
      <c r="O180" s="35">
        <v>1</v>
      </c>
      <c r="P180" s="239">
        <v>10</v>
      </c>
      <c r="Q180" s="44">
        <f>CONVERT(0.081,"kg","lbm")</f>
        <v>0.17857443236975085</v>
      </c>
      <c r="R180" s="441">
        <f>CONVERT(287,"mm","in")</f>
        <v>11.299212598425196</v>
      </c>
      <c r="S180" s="441">
        <f>CONVERT(118,"mm","in")</f>
        <v>4.6456692913385824</v>
      </c>
      <c r="T180" s="442">
        <v>2</v>
      </c>
      <c r="U180" s="44">
        <v>0.17857443236975085</v>
      </c>
      <c r="V180" s="33">
        <v>11</v>
      </c>
      <c r="W180" s="33">
        <v>1.5</v>
      </c>
      <c r="X180" s="70">
        <v>1</v>
      </c>
      <c r="Y180" s="90" t="s">
        <v>259</v>
      </c>
      <c r="Z180" s="89" t="s">
        <v>259</v>
      </c>
      <c r="AA180" s="89" t="s">
        <v>259</v>
      </c>
      <c r="AB180" s="249" t="s">
        <v>259</v>
      </c>
      <c r="AC180" s="44">
        <v>2.25</v>
      </c>
      <c r="AD180" s="33">
        <v>15</v>
      </c>
      <c r="AE180" s="33">
        <v>5</v>
      </c>
      <c r="AF180" s="70">
        <v>2.5</v>
      </c>
      <c r="AG180" s="42">
        <f t="shared" ref="AG180:AG210" si="22">AD180*AE180*AF180/(12^3)</f>
        <v>0.10850694444444445</v>
      </c>
      <c r="AH180" s="460" t="s">
        <v>1698</v>
      </c>
      <c r="AI180" s="460" t="s">
        <v>1696</v>
      </c>
      <c r="AJ180" s="140" t="s">
        <v>1693</v>
      </c>
      <c r="AK180" s="248" t="s">
        <v>1694</v>
      </c>
      <c r="AL180" s="460" t="s">
        <v>1681</v>
      </c>
      <c r="AM180" s="460"/>
      <c r="AN180" s="460"/>
      <c r="AO180" s="460"/>
      <c r="AP180" s="460" t="s">
        <v>1698</v>
      </c>
      <c r="AQ180" s="18" t="s">
        <v>2909</v>
      </c>
      <c r="AR180" s="14" t="s">
        <v>1932</v>
      </c>
    </row>
    <row r="181" spans="1:44" s="14" customFormat="1" ht="12.75" customHeight="1" x14ac:dyDescent="0.2">
      <c r="A181" s="18" t="s">
        <v>3365</v>
      </c>
      <c r="B181" s="18"/>
      <c r="C181" s="40" t="s">
        <v>3352</v>
      </c>
      <c r="D181" s="1" t="s">
        <v>1550</v>
      </c>
      <c r="E181" s="452" t="s">
        <v>3353</v>
      </c>
      <c r="F181" s="18" t="s">
        <v>217</v>
      </c>
      <c r="G181" s="18" t="s">
        <v>2520</v>
      </c>
      <c r="H181" s="455">
        <v>7391846103011</v>
      </c>
      <c r="I181" s="18"/>
      <c r="J181" s="35">
        <v>7391846103066</v>
      </c>
      <c r="K181" s="37" t="s">
        <v>3463</v>
      </c>
      <c r="L181" s="36" t="s">
        <v>977</v>
      </c>
      <c r="M181" s="514"/>
      <c r="N181" s="514">
        <f>IF($C181="","",VLOOKUP($C181,'2017 Pricelist'!$C:$I,7,FALSE))</f>
        <v>22.99</v>
      </c>
      <c r="O181" s="35">
        <v>1</v>
      </c>
      <c r="P181" s="239">
        <v>10</v>
      </c>
      <c r="Q181" s="44">
        <f>CONVERT(0.143,"kg","lbm")</f>
        <v>0.31526103492437491</v>
      </c>
      <c r="R181" s="33" t="s">
        <v>3464</v>
      </c>
      <c r="S181" s="441">
        <f>CONVERT(170,"mm","in")</f>
        <v>6.6929133858267713</v>
      </c>
      <c r="T181" s="442">
        <v>2.5</v>
      </c>
      <c r="U181" s="44"/>
      <c r="V181" s="121"/>
      <c r="W181" s="121"/>
      <c r="X181" s="122"/>
      <c r="Y181" s="90" t="s">
        <v>259</v>
      </c>
      <c r="Z181" s="89" t="s">
        <v>259</v>
      </c>
      <c r="AA181" s="89" t="s">
        <v>259</v>
      </c>
      <c r="AB181" s="249" t="s">
        <v>259</v>
      </c>
      <c r="AC181" s="120"/>
      <c r="AD181" s="121"/>
      <c r="AE181" s="121"/>
      <c r="AF181" s="122"/>
      <c r="AG181" s="42">
        <f t="shared" si="22"/>
        <v>0</v>
      </c>
      <c r="AH181" s="460"/>
      <c r="AI181" s="460"/>
      <c r="AJ181" s="140"/>
      <c r="AK181" s="248"/>
      <c r="AL181" s="460"/>
      <c r="AM181" s="460"/>
      <c r="AN181" s="460"/>
      <c r="AO181" s="460"/>
      <c r="AP181" s="460"/>
      <c r="AQ181" s="18" t="s">
        <v>2909</v>
      </c>
      <c r="AR181" s="14" t="s">
        <v>1932</v>
      </c>
    </row>
    <row r="182" spans="1:44" s="14" customFormat="1" ht="12.75" customHeight="1" x14ac:dyDescent="0.2">
      <c r="A182" s="18" t="s">
        <v>3365</v>
      </c>
      <c r="B182" s="18"/>
      <c r="C182" s="40" t="s">
        <v>3354</v>
      </c>
      <c r="D182" s="1" t="s">
        <v>1550</v>
      </c>
      <c r="E182" s="452" t="s">
        <v>3355</v>
      </c>
      <c r="F182" s="18" t="s">
        <v>217</v>
      </c>
      <c r="G182" s="18" t="s">
        <v>2520</v>
      </c>
      <c r="H182" s="455">
        <v>7391846104018</v>
      </c>
      <c r="I182" s="18"/>
      <c r="J182" s="35">
        <v>7391846104063</v>
      </c>
      <c r="K182" s="37" t="s">
        <v>3463</v>
      </c>
      <c r="L182" s="36" t="s">
        <v>977</v>
      </c>
      <c r="M182" s="514"/>
      <c r="N182" s="514">
        <f>IF($C182="","",VLOOKUP($C182,'2017 Pricelist'!$C:$I,7,FALSE))</f>
        <v>29.990000000000002</v>
      </c>
      <c r="O182" s="35">
        <v>1</v>
      </c>
      <c r="P182" s="239">
        <v>10</v>
      </c>
      <c r="Q182" s="44">
        <f>CONVERT(0.161,"kg","lbm")</f>
        <v>0.35494424211765291</v>
      </c>
      <c r="R182" s="33" t="s">
        <v>3464</v>
      </c>
      <c r="S182" s="441">
        <f>CONVERT(170,"mm","in")</f>
        <v>6.6929133858267713</v>
      </c>
      <c r="T182" s="442">
        <v>2.5</v>
      </c>
      <c r="U182" s="44"/>
      <c r="V182" s="121"/>
      <c r="W182" s="121"/>
      <c r="X182" s="122"/>
      <c r="Y182" s="90" t="s">
        <v>259</v>
      </c>
      <c r="Z182" s="89" t="s">
        <v>259</v>
      </c>
      <c r="AA182" s="89" t="s">
        <v>259</v>
      </c>
      <c r="AB182" s="249" t="s">
        <v>259</v>
      </c>
      <c r="AC182" s="120"/>
      <c r="AD182" s="121"/>
      <c r="AE182" s="121"/>
      <c r="AF182" s="122"/>
      <c r="AG182" s="42">
        <f t="shared" ref="AG182" si="23">AD182*AE182*AF182/(12^3)</f>
        <v>0</v>
      </c>
      <c r="AH182" s="460"/>
      <c r="AI182" s="460"/>
      <c r="AJ182" s="140"/>
      <c r="AK182" s="248"/>
      <c r="AL182" s="460"/>
      <c r="AM182" s="460"/>
      <c r="AN182" s="460"/>
      <c r="AO182" s="460"/>
      <c r="AP182" s="460"/>
      <c r="AQ182" s="18" t="s">
        <v>2909</v>
      </c>
      <c r="AR182" s="14" t="s">
        <v>1932</v>
      </c>
    </row>
    <row r="183" spans="1:44" s="14" customFormat="1" ht="12.75" customHeight="1" x14ac:dyDescent="0.2">
      <c r="A183" s="18" t="s">
        <v>3365</v>
      </c>
      <c r="B183" s="18"/>
      <c r="C183" s="40" t="s">
        <v>1645</v>
      </c>
      <c r="D183" s="1" t="s">
        <v>1550</v>
      </c>
      <c r="E183" s="452" t="s">
        <v>1658</v>
      </c>
      <c r="F183" s="18" t="s">
        <v>484</v>
      </c>
      <c r="G183" s="18" t="s">
        <v>2520</v>
      </c>
      <c r="H183" s="97" t="s">
        <v>3475</v>
      </c>
      <c r="I183" s="18"/>
      <c r="J183" s="18"/>
      <c r="K183" s="37" t="s">
        <v>3463</v>
      </c>
      <c r="L183" s="36" t="s">
        <v>977</v>
      </c>
      <c r="M183" s="514"/>
      <c r="N183" s="514">
        <f>IF($C183="","",VLOOKUP($C183,'2017 Pricelist'!$C:$I,7,FALSE))</f>
        <v>44.99</v>
      </c>
      <c r="O183" s="35">
        <v>1</v>
      </c>
      <c r="P183" s="239">
        <v>10</v>
      </c>
      <c r="Q183" s="44">
        <f>CONVERT(0.088,"kg","lbm")</f>
        <v>0.19400679072269225</v>
      </c>
      <c r="R183" s="33" t="s">
        <v>3464</v>
      </c>
      <c r="S183" s="441">
        <f>CONVERT(50,"mm","in")</f>
        <v>1.9685039370078741</v>
      </c>
      <c r="T183" s="442">
        <v>2.5</v>
      </c>
      <c r="U183" s="44">
        <v>0.19400679072269225</v>
      </c>
      <c r="V183" s="33">
        <v>9</v>
      </c>
      <c r="W183" s="33">
        <v>1.5</v>
      </c>
      <c r="X183" s="70">
        <v>1</v>
      </c>
      <c r="Y183" s="90" t="s">
        <v>259</v>
      </c>
      <c r="Z183" s="89" t="s">
        <v>259</v>
      </c>
      <c r="AA183" s="89" t="s">
        <v>259</v>
      </c>
      <c r="AB183" s="249" t="s">
        <v>259</v>
      </c>
      <c r="AC183" s="44">
        <v>2.1</v>
      </c>
      <c r="AD183" s="33">
        <v>11</v>
      </c>
      <c r="AE183" s="33">
        <v>9</v>
      </c>
      <c r="AF183" s="70">
        <v>2</v>
      </c>
      <c r="AG183" s="42">
        <f>AD183*AE183*AF183/(12^3)</f>
        <v>0.11458333333333333</v>
      </c>
      <c r="AH183" s="460" t="s">
        <v>1691</v>
      </c>
      <c r="AI183" s="461" t="s">
        <v>1736</v>
      </c>
      <c r="AJ183" s="460" t="s">
        <v>1716</v>
      </c>
      <c r="AK183" s="140" t="s">
        <v>1738</v>
      </c>
      <c r="AL183" s="460" t="s">
        <v>1737</v>
      </c>
      <c r="AM183" s="460"/>
      <c r="AN183" s="460"/>
      <c r="AO183" s="460"/>
      <c r="AP183" s="460" t="s">
        <v>1691</v>
      </c>
      <c r="AQ183" s="18" t="s">
        <v>2909</v>
      </c>
      <c r="AR183" s="14" t="s">
        <v>1932</v>
      </c>
    </row>
    <row r="184" spans="1:44" s="14" customFormat="1" ht="12.75" customHeight="1" x14ac:dyDescent="0.2">
      <c r="A184" s="18" t="s">
        <v>3365</v>
      </c>
      <c r="B184" s="18"/>
      <c r="C184" s="40" t="s">
        <v>3356</v>
      </c>
      <c r="D184" s="1" t="s">
        <v>1550</v>
      </c>
      <c r="E184" s="452" t="s">
        <v>3357</v>
      </c>
      <c r="F184" s="18" t="s">
        <v>217</v>
      </c>
      <c r="G184" s="18" t="s">
        <v>2520</v>
      </c>
      <c r="H184" s="455">
        <v>7391846159100</v>
      </c>
      <c r="I184" s="18"/>
      <c r="J184" s="35">
        <v>7391846159162</v>
      </c>
      <c r="K184" s="37" t="s">
        <v>3463</v>
      </c>
      <c r="L184" s="36" t="s">
        <v>977</v>
      </c>
      <c r="M184" s="514"/>
      <c r="N184" s="514">
        <f>IF($C184="","",VLOOKUP($C184,'2017 Pricelist'!$C:$I,7,FALSE))</f>
        <v>34.99</v>
      </c>
      <c r="O184" s="35">
        <v>1</v>
      </c>
      <c r="P184" s="239">
        <v>10</v>
      </c>
      <c r="Q184" s="44">
        <f>CONVERT(0.093,"kg","lbm")</f>
        <v>0.20502990383193614</v>
      </c>
      <c r="R184" s="33" t="s">
        <v>3464</v>
      </c>
      <c r="S184" s="441">
        <f>CONVERT(50,"mm","in")</f>
        <v>1.9685039370078741</v>
      </c>
      <c r="T184" s="442">
        <v>2.5</v>
      </c>
      <c r="U184" s="44"/>
      <c r="V184" s="121"/>
      <c r="W184" s="121"/>
      <c r="X184" s="122"/>
      <c r="Y184" s="90" t="s">
        <v>259</v>
      </c>
      <c r="Z184" s="89" t="s">
        <v>259</v>
      </c>
      <c r="AA184" s="89" t="s">
        <v>259</v>
      </c>
      <c r="AB184" s="249" t="s">
        <v>259</v>
      </c>
      <c r="AC184" s="120"/>
      <c r="AD184" s="121"/>
      <c r="AE184" s="121"/>
      <c r="AF184" s="122"/>
      <c r="AG184" s="42">
        <f t="shared" ref="AG184" si="24">AD184*AE184*AF184/(12^3)</f>
        <v>0</v>
      </c>
      <c r="AH184" s="460"/>
      <c r="AI184" s="460"/>
      <c r="AJ184" s="140"/>
      <c r="AK184" s="248"/>
      <c r="AL184" s="460"/>
      <c r="AM184" s="460"/>
      <c r="AN184" s="460"/>
      <c r="AO184" s="460"/>
      <c r="AP184" s="460"/>
      <c r="AQ184" s="18" t="s">
        <v>2909</v>
      </c>
      <c r="AR184" s="14" t="s">
        <v>1932</v>
      </c>
    </row>
    <row r="185" spans="1:44" s="14" customFormat="1" x14ac:dyDescent="0.2">
      <c r="A185" s="422" t="s">
        <v>3358</v>
      </c>
      <c r="B185" s="425"/>
      <c r="C185" s="422"/>
      <c r="D185" s="423"/>
      <c r="E185" s="22"/>
      <c r="F185" s="19"/>
      <c r="H185" s="18"/>
      <c r="I185" s="28"/>
      <c r="J185" s="28"/>
      <c r="K185" s="29"/>
      <c r="L185" s="29"/>
      <c r="M185" s="514"/>
      <c r="N185" s="514" t="str">
        <f>IF($C185="","",VLOOKUP($C185,'2017 Pricelist'!$C:$I,7,FALSE))</f>
        <v/>
      </c>
      <c r="O185" s="17"/>
      <c r="P185" s="74"/>
      <c r="Q185" s="44"/>
      <c r="R185" s="33"/>
      <c r="S185" s="33"/>
      <c r="T185" s="70"/>
      <c r="U185" s="42"/>
      <c r="V185" s="15"/>
      <c r="W185" s="15"/>
      <c r="X185" s="43"/>
      <c r="Y185" s="42"/>
      <c r="Z185" s="15"/>
      <c r="AA185" s="15"/>
      <c r="AB185" s="43"/>
      <c r="AC185" s="42"/>
      <c r="AD185" s="15"/>
      <c r="AE185" s="15"/>
      <c r="AF185" s="43"/>
      <c r="AG185" s="44"/>
      <c r="AH185" s="20"/>
      <c r="AI185" s="20"/>
      <c r="AJ185" s="20"/>
      <c r="AK185" s="20"/>
      <c r="AL185" s="20"/>
      <c r="AM185" s="20"/>
      <c r="AN185" s="20"/>
      <c r="AO185" s="20"/>
      <c r="AP185" s="20"/>
      <c r="AR185" s="21"/>
    </row>
    <row r="186" spans="1:44" s="14" customFormat="1" x14ac:dyDescent="0.2">
      <c r="A186" s="18" t="s">
        <v>3365</v>
      </c>
      <c r="B186" s="18"/>
      <c r="C186" s="40" t="s">
        <v>3359</v>
      </c>
      <c r="D186" s="1" t="s">
        <v>1550</v>
      </c>
      <c r="E186" s="452" t="s">
        <v>3360</v>
      </c>
      <c r="F186" s="18" t="s">
        <v>483</v>
      </c>
      <c r="G186" s="18" t="s">
        <v>2520</v>
      </c>
      <c r="H186" s="455">
        <v>7391846001577</v>
      </c>
      <c r="I186" s="18"/>
      <c r="J186" s="18"/>
      <c r="K186" s="37" t="s">
        <v>3463</v>
      </c>
      <c r="L186" s="36" t="s">
        <v>977</v>
      </c>
      <c r="M186" s="514"/>
      <c r="N186" s="514">
        <f>IF($C186="","",VLOOKUP($C186,'2017 Pricelist'!$C:$I,7,FALSE))</f>
        <v>29.990000000000002</v>
      </c>
      <c r="O186" s="35">
        <v>1</v>
      </c>
      <c r="P186" s="239">
        <v>10</v>
      </c>
      <c r="Q186" s="44">
        <f>CONVERT(0.094,"kg","lbm")</f>
        <v>0.20723452645378493</v>
      </c>
      <c r="R186" s="33" t="s">
        <v>3473</v>
      </c>
      <c r="S186" s="441">
        <f>CONVERT(125,"mm","in")</f>
        <v>4.9212598425196852</v>
      </c>
      <c r="T186" s="442" t="s">
        <v>259</v>
      </c>
      <c r="U186" s="44"/>
      <c r="V186" s="121"/>
      <c r="W186" s="121"/>
      <c r="X186" s="122"/>
      <c r="Y186" s="90" t="s">
        <v>259</v>
      </c>
      <c r="Z186" s="89" t="s">
        <v>259</v>
      </c>
      <c r="AA186" s="89" t="s">
        <v>259</v>
      </c>
      <c r="AB186" s="249" t="s">
        <v>259</v>
      </c>
      <c r="AC186" s="120"/>
      <c r="AD186" s="121"/>
      <c r="AE186" s="121"/>
      <c r="AF186" s="122"/>
      <c r="AG186" s="42">
        <f t="shared" ref="AG186" si="25">AD186*AE186*AF186/(12^3)</f>
        <v>0</v>
      </c>
      <c r="AH186" s="460"/>
      <c r="AI186" s="460"/>
      <c r="AJ186" s="140"/>
      <c r="AK186" s="248"/>
      <c r="AL186" s="460"/>
      <c r="AM186" s="460"/>
      <c r="AN186" s="460"/>
      <c r="AO186" s="460"/>
      <c r="AP186" s="460"/>
      <c r="AQ186" s="18" t="s">
        <v>2909</v>
      </c>
      <c r="AR186" s="14" t="s">
        <v>1932</v>
      </c>
    </row>
    <row r="187" spans="1:44" s="14" customFormat="1" x14ac:dyDescent="0.2">
      <c r="A187" s="18" t="s">
        <v>3365</v>
      </c>
      <c r="B187" s="18"/>
      <c r="C187" s="40" t="s">
        <v>1543</v>
      </c>
      <c r="D187" s="1" t="s">
        <v>1550</v>
      </c>
      <c r="E187" s="452" t="s">
        <v>3476</v>
      </c>
      <c r="F187" s="18" t="s">
        <v>484</v>
      </c>
      <c r="G187" s="18" t="s">
        <v>2520</v>
      </c>
      <c r="H187" s="3" t="s">
        <v>1725</v>
      </c>
      <c r="I187" s="18"/>
      <c r="J187" s="18"/>
      <c r="K187" s="37" t="s">
        <v>3463</v>
      </c>
      <c r="L187" s="36" t="s">
        <v>977</v>
      </c>
      <c r="M187" s="514"/>
      <c r="N187" s="514">
        <f>IF($C187="","",VLOOKUP($C187,'2017 Pricelist'!$C:$I,7,FALSE))</f>
        <v>39.99</v>
      </c>
      <c r="O187" s="35">
        <v>1</v>
      </c>
      <c r="P187" s="239">
        <v>10</v>
      </c>
      <c r="Q187" s="44">
        <f>CONVERT(0.092,"kg","lbm")</f>
        <v>0.20282528121008736</v>
      </c>
      <c r="R187" s="441">
        <f>CONVERT(269,"mm","in")</f>
        <v>10.590551181102363</v>
      </c>
      <c r="S187" s="441">
        <f>CONVERT(124,"mm","in")</f>
        <v>4.8818897637795269</v>
      </c>
      <c r="T187" s="442" t="s">
        <v>259</v>
      </c>
      <c r="U187" s="44">
        <v>0.20282528121008736</v>
      </c>
      <c r="V187" s="33">
        <v>10.5</v>
      </c>
      <c r="W187" s="33">
        <v>1.75</v>
      </c>
      <c r="X187" s="70">
        <v>1</v>
      </c>
      <c r="Y187" s="90" t="s">
        <v>259</v>
      </c>
      <c r="Z187" s="89" t="s">
        <v>259</v>
      </c>
      <c r="AA187" s="89" t="s">
        <v>259</v>
      </c>
      <c r="AB187" s="249" t="s">
        <v>259</v>
      </c>
      <c r="AC187" s="44">
        <v>2.1</v>
      </c>
      <c r="AD187" s="33">
        <v>12.5</v>
      </c>
      <c r="AE187" s="33">
        <v>5</v>
      </c>
      <c r="AF187" s="70">
        <v>2.5</v>
      </c>
      <c r="AG187" s="42">
        <f>AD187*AE187*AF187/(12^3)</f>
        <v>9.0422453703703706E-2</v>
      </c>
      <c r="AH187" s="460" t="s">
        <v>1699</v>
      </c>
      <c r="AI187" s="461" t="s">
        <v>1700</v>
      </c>
      <c r="AJ187" s="460" t="s">
        <v>1701</v>
      </c>
      <c r="AK187" s="140" t="s">
        <v>1702</v>
      </c>
      <c r="AL187" s="460" t="s">
        <v>1703</v>
      </c>
      <c r="AM187" s="460"/>
      <c r="AN187" s="460"/>
      <c r="AO187" s="460"/>
      <c r="AP187" s="460"/>
      <c r="AQ187" s="18" t="s">
        <v>2909</v>
      </c>
      <c r="AR187" s="14" t="s">
        <v>1932</v>
      </c>
    </row>
    <row r="188" spans="1:44" s="14" customFormat="1" x14ac:dyDescent="0.2">
      <c r="A188" s="18" t="s">
        <v>3365</v>
      </c>
      <c r="B188" s="18"/>
      <c r="C188" s="40" t="s">
        <v>1652</v>
      </c>
      <c r="D188" s="1" t="s">
        <v>1550</v>
      </c>
      <c r="E188" s="452" t="s">
        <v>3477</v>
      </c>
      <c r="F188" s="18" t="s">
        <v>484</v>
      </c>
      <c r="G188" s="18" t="s">
        <v>2520</v>
      </c>
      <c r="H188" s="455">
        <v>7391846008163</v>
      </c>
      <c r="I188" s="18"/>
      <c r="J188" s="18"/>
      <c r="K188" s="37" t="s">
        <v>3463</v>
      </c>
      <c r="L188" s="36" t="s">
        <v>977</v>
      </c>
      <c r="M188" s="514"/>
      <c r="N188" s="514">
        <f>IF($C188="","",VLOOKUP($C188,'2017 Pricelist'!$C:$I,7,FALSE))</f>
        <v>39.99</v>
      </c>
      <c r="O188" s="35">
        <v>1</v>
      </c>
      <c r="P188" s="239">
        <v>10</v>
      </c>
      <c r="Q188" s="44">
        <f>CONVERT(0.107,"kg","lbm")</f>
        <v>0.23589462053781898</v>
      </c>
      <c r="R188" s="441">
        <f>CONVERT(299,"mm","in")</f>
        <v>11.771653543307085</v>
      </c>
      <c r="S188" s="441">
        <f>CONVERT(154,"mm","in")</f>
        <v>6.0629921259842527</v>
      </c>
      <c r="T188" s="442" t="s">
        <v>259</v>
      </c>
      <c r="U188" s="44">
        <v>0.23589462053781901</v>
      </c>
      <c r="V188" s="33">
        <v>11</v>
      </c>
      <c r="W188" s="33">
        <v>1.75</v>
      </c>
      <c r="X188" s="70">
        <v>1</v>
      </c>
      <c r="Y188" s="90" t="s">
        <v>259</v>
      </c>
      <c r="Z188" s="89" t="s">
        <v>259</v>
      </c>
      <c r="AA188" s="89" t="s">
        <v>259</v>
      </c>
      <c r="AB188" s="249" t="s">
        <v>259</v>
      </c>
      <c r="AC188" s="44">
        <v>2.7</v>
      </c>
      <c r="AD188" s="33">
        <v>12.5</v>
      </c>
      <c r="AE188" s="33">
        <v>5</v>
      </c>
      <c r="AF188" s="70">
        <v>2.5</v>
      </c>
      <c r="AG188" s="42">
        <f>AD188*AE188*AF188/(12^3)</f>
        <v>9.0422453703703706E-2</v>
      </c>
      <c r="AH188" s="460" t="s">
        <v>1699</v>
      </c>
      <c r="AI188" s="461" t="s">
        <v>1700</v>
      </c>
      <c r="AJ188" s="460" t="s">
        <v>1701</v>
      </c>
      <c r="AK188" s="140" t="s">
        <v>1702</v>
      </c>
      <c r="AL188" s="460" t="s">
        <v>1703</v>
      </c>
      <c r="AM188" s="460"/>
      <c r="AN188" s="460"/>
      <c r="AO188" s="460"/>
      <c r="AP188" s="460"/>
      <c r="AQ188" s="18" t="s">
        <v>2909</v>
      </c>
      <c r="AR188" s="14" t="s">
        <v>1932</v>
      </c>
    </row>
    <row r="189" spans="1:44" s="14" customFormat="1" x14ac:dyDescent="0.2">
      <c r="A189" s="18" t="s">
        <v>3365</v>
      </c>
      <c r="B189" s="18"/>
      <c r="C189" s="40" t="s">
        <v>1653</v>
      </c>
      <c r="D189" s="1" t="s">
        <v>1550</v>
      </c>
      <c r="E189" s="9" t="s">
        <v>3478</v>
      </c>
      <c r="F189" s="18" t="s">
        <v>484</v>
      </c>
      <c r="G189" s="18" t="s">
        <v>2520</v>
      </c>
      <c r="H189" s="3" t="s">
        <v>1728</v>
      </c>
      <c r="I189" s="18"/>
      <c r="J189" s="18"/>
      <c r="K189" s="37" t="s">
        <v>3463</v>
      </c>
      <c r="L189" s="36" t="s">
        <v>977</v>
      </c>
      <c r="M189" s="514"/>
      <c r="N189" s="514">
        <f>IF($C189="","",VLOOKUP($C189,'2017 Pricelist'!$C:$I,7,FALSE))</f>
        <v>39.99</v>
      </c>
      <c r="O189" s="35">
        <v>1</v>
      </c>
      <c r="P189" s="239">
        <v>10</v>
      </c>
      <c r="Q189" s="44">
        <f>CONVERT(0.107,"kg","lbm")</f>
        <v>0.23589462053781898</v>
      </c>
      <c r="R189" s="441">
        <f>CONVERT(296,"mm","in")</f>
        <v>11.653543307086615</v>
      </c>
      <c r="S189" s="441">
        <f>CONVERT(151,"mm","in")</f>
        <v>5.9448818897637796</v>
      </c>
      <c r="T189" s="442" t="s">
        <v>259</v>
      </c>
      <c r="U189" s="44">
        <v>0.23589462053781901</v>
      </c>
      <c r="V189" s="33">
        <v>11.5</v>
      </c>
      <c r="W189" s="33">
        <v>1.5</v>
      </c>
      <c r="X189" s="70">
        <v>1</v>
      </c>
      <c r="Y189" s="90" t="s">
        <v>259</v>
      </c>
      <c r="Z189" s="89" t="s">
        <v>259</v>
      </c>
      <c r="AA189" s="89" t="s">
        <v>259</v>
      </c>
      <c r="AB189" s="249" t="s">
        <v>259</v>
      </c>
      <c r="AC189" s="44">
        <v>2.1</v>
      </c>
      <c r="AD189" s="33">
        <v>13</v>
      </c>
      <c r="AE189" s="33">
        <v>4.5</v>
      </c>
      <c r="AF189" s="70">
        <v>0.15</v>
      </c>
      <c r="AG189" s="42">
        <f>AD188*AE188*AF188/(12^3)</f>
        <v>9.0422453703703706E-2</v>
      </c>
      <c r="AH189" s="460" t="s">
        <v>1699</v>
      </c>
      <c r="AI189" s="461" t="s">
        <v>1700</v>
      </c>
      <c r="AJ189" s="460" t="s">
        <v>1701</v>
      </c>
      <c r="AK189" s="140" t="s">
        <v>1702</v>
      </c>
      <c r="AL189" s="460" t="s">
        <v>1703</v>
      </c>
      <c r="AM189" s="460"/>
      <c r="AN189" s="460"/>
      <c r="AO189" s="460"/>
      <c r="AP189" s="460"/>
      <c r="AQ189" s="18" t="s">
        <v>2909</v>
      </c>
      <c r="AR189" s="14" t="s">
        <v>1932</v>
      </c>
    </row>
    <row r="190" spans="1:44" s="14" customFormat="1" x14ac:dyDescent="0.2">
      <c r="A190" s="18" t="s">
        <v>3365</v>
      </c>
      <c r="B190" s="18"/>
      <c r="C190" s="40" t="s">
        <v>3361</v>
      </c>
      <c r="D190" s="1" t="s">
        <v>1550</v>
      </c>
      <c r="E190" s="452" t="s">
        <v>3362</v>
      </c>
      <c r="F190" s="18" t="s">
        <v>484</v>
      </c>
      <c r="G190" s="18" t="s">
        <v>2520</v>
      </c>
      <c r="H190" s="455">
        <v>7391846007395</v>
      </c>
      <c r="I190" s="18"/>
      <c r="J190" s="18"/>
      <c r="K190" s="37" t="s">
        <v>3463</v>
      </c>
      <c r="L190" s="36" t="s">
        <v>977</v>
      </c>
      <c r="M190" s="514"/>
      <c r="N190" s="514">
        <f>IF($C190="","",VLOOKUP($C190,'2017 Pricelist'!$C:$I,7,FALSE))</f>
        <v>24.990000000000002</v>
      </c>
      <c r="O190" s="35">
        <v>1</v>
      </c>
      <c r="P190" s="239">
        <v>10</v>
      </c>
      <c r="Q190" s="44">
        <f>CONVERT(0.112,"kg","lbm")</f>
        <v>0.2469177336470629</v>
      </c>
      <c r="R190" s="441">
        <f>CONVERT(275,"mm","in")</f>
        <v>10.826771653543307</v>
      </c>
      <c r="S190" s="441">
        <f>CONVERT(130,"mm","in")</f>
        <v>5.1181102362204731</v>
      </c>
      <c r="T190" s="442" t="s">
        <v>259</v>
      </c>
      <c r="U190" s="44"/>
      <c r="V190" s="121"/>
      <c r="W190" s="121"/>
      <c r="X190" s="122"/>
      <c r="Y190" s="90" t="s">
        <v>259</v>
      </c>
      <c r="Z190" s="89" t="s">
        <v>259</v>
      </c>
      <c r="AA190" s="89" t="s">
        <v>259</v>
      </c>
      <c r="AB190" s="249" t="s">
        <v>259</v>
      </c>
      <c r="AC190" s="120"/>
      <c r="AD190" s="121"/>
      <c r="AE190" s="121"/>
      <c r="AF190" s="122"/>
      <c r="AG190" s="42">
        <f t="shared" ref="AG190" si="26">AD190*AE190*AF190/(12^3)</f>
        <v>0</v>
      </c>
      <c r="AH190" s="460"/>
      <c r="AI190" s="460"/>
      <c r="AJ190" s="140"/>
      <c r="AK190" s="248"/>
      <c r="AL190" s="460"/>
      <c r="AM190" s="460"/>
      <c r="AN190" s="460"/>
      <c r="AO190" s="460"/>
      <c r="AP190" s="460"/>
      <c r="AQ190" s="18" t="s">
        <v>2909</v>
      </c>
      <c r="AR190" s="14" t="s">
        <v>1932</v>
      </c>
    </row>
    <row r="191" spans="1:44" s="18" customFormat="1" x14ac:dyDescent="0.2">
      <c r="A191" s="18" t="s">
        <v>3365</v>
      </c>
      <c r="C191" s="40" t="s">
        <v>1654</v>
      </c>
      <c r="D191" s="1" t="s">
        <v>1550</v>
      </c>
      <c r="E191" s="452" t="s">
        <v>2530</v>
      </c>
      <c r="F191" s="18" t="s">
        <v>484</v>
      </c>
      <c r="G191" s="18" t="s">
        <v>2520</v>
      </c>
      <c r="H191" s="3" t="s">
        <v>1729</v>
      </c>
      <c r="K191" s="37" t="s">
        <v>3463</v>
      </c>
      <c r="L191" s="36" t="s">
        <v>977</v>
      </c>
      <c r="M191" s="514"/>
      <c r="N191" s="514">
        <v>39.99</v>
      </c>
      <c r="O191" s="35">
        <v>1</v>
      </c>
      <c r="P191" s="239">
        <v>10</v>
      </c>
      <c r="Q191" s="44">
        <f>CONVERT(0.092,"kg","lbm")</f>
        <v>0.20282528121008736</v>
      </c>
      <c r="R191" s="441">
        <f>CONVERT(298,"mm","in")</f>
        <v>11.73228346456693</v>
      </c>
      <c r="S191" s="441">
        <f>CONVERT(153,"mm","in")</f>
        <v>6.0236220472440944</v>
      </c>
      <c r="T191" s="442" t="s">
        <v>259</v>
      </c>
      <c r="U191" s="44">
        <v>0.20282528121008736</v>
      </c>
      <c r="V191" s="33">
        <v>11.5</v>
      </c>
      <c r="W191" s="33">
        <v>1.5</v>
      </c>
      <c r="X191" s="70">
        <v>1</v>
      </c>
      <c r="Y191" s="90" t="s">
        <v>259</v>
      </c>
      <c r="Z191" s="89" t="s">
        <v>259</v>
      </c>
      <c r="AA191" s="89" t="s">
        <v>259</v>
      </c>
      <c r="AB191" s="249" t="s">
        <v>259</v>
      </c>
      <c r="AC191" s="44">
        <v>2.65</v>
      </c>
      <c r="AD191" s="33">
        <v>12.5</v>
      </c>
      <c r="AE191" s="33">
        <v>4.75</v>
      </c>
      <c r="AF191" s="70">
        <v>2.5</v>
      </c>
      <c r="AG191" s="42">
        <f>AD191*AE191*AF191/(12^3)</f>
        <v>8.5901331018518517E-2</v>
      </c>
      <c r="AH191" s="460" t="s">
        <v>1699</v>
      </c>
      <c r="AI191" s="461" t="s">
        <v>1700</v>
      </c>
      <c r="AJ191" s="460" t="s">
        <v>1701</v>
      </c>
      <c r="AK191" s="140" t="s">
        <v>1702</v>
      </c>
      <c r="AL191" s="460" t="s">
        <v>1703</v>
      </c>
      <c r="AM191" s="460"/>
      <c r="AN191" s="460"/>
      <c r="AO191" s="460"/>
      <c r="AP191" s="460"/>
      <c r="AQ191" s="18" t="s">
        <v>2909</v>
      </c>
      <c r="AR191" s="14" t="s">
        <v>1932</v>
      </c>
    </row>
    <row r="192" spans="1:44" s="14" customFormat="1" x14ac:dyDescent="0.2">
      <c r="A192" s="18" t="s">
        <v>3365</v>
      </c>
      <c r="B192" s="18"/>
      <c r="C192" s="40" t="s">
        <v>1655</v>
      </c>
      <c r="D192" s="1" t="s">
        <v>1550</v>
      </c>
      <c r="E192" s="452" t="s">
        <v>3479</v>
      </c>
      <c r="F192" s="18" t="s">
        <v>484</v>
      </c>
      <c r="G192" s="18" t="s">
        <v>2520</v>
      </c>
      <c r="H192" s="3" t="s">
        <v>1730</v>
      </c>
      <c r="I192" s="18"/>
      <c r="J192" s="18"/>
      <c r="K192" s="37" t="s">
        <v>3463</v>
      </c>
      <c r="L192" s="36" t="s">
        <v>977</v>
      </c>
      <c r="M192" s="514"/>
      <c r="N192" s="514">
        <f>IF($C192="","",VLOOKUP($C192,'2017 Pricelist'!$C:$I,7,FALSE))</f>
        <v>44.99</v>
      </c>
      <c r="O192" s="35">
        <v>1</v>
      </c>
      <c r="P192" s="239">
        <v>10</v>
      </c>
      <c r="Q192" s="44">
        <f>CONVERT(0.122,"kg","lbm")</f>
        <v>0.26896395986555066</v>
      </c>
      <c r="R192" s="441">
        <f>CONVERT(324,"mm","in")</f>
        <v>12.755905511811022</v>
      </c>
      <c r="S192" s="441">
        <f>CONVERT(179,"mm","in")</f>
        <v>7.0472440944881889</v>
      </c>
      <c r="T192" s="442" t="s">
        <v>259</v>
      </c>
      <c r="U192" s="44">
        <v>0.26896395986555066</v>
      </c>
      <c r="V192" s="33">
        <v>12.5</v>
      </c>
      <c r="W192" s="33">
        <v>1.75</v>
      </c>
      <c r="X192" s="70">
        <v>1</v>
      </c>
      <c r="Y192" s="90" t="s">
        <v>259</v>
      </c>
      <c r="Z192" s="89" t="s">
        <v>259</v>
      </c>
      <c r="AA192" s="89" t="s">
        <v>259</v>
      </c>
      <c r="AB192" s="249" t="s">
        <v>259</v>
      </c>
      <c r="AC192" s="44">
        <v>2.2000000000000002</v>
      </c>
      <c r="AD192" s="33">
        <v>14</v>
      </c>
      <c r="AE192" s="33">
        <v>5</v>
      </c>
      <c r="AF192" s="70">
        <v>2.5</v>
      </c>
      <c r="AG192" s="42">
        <f>AD192*AE192*AF192/(12^3)</f>
        <v>0.10127314814814815</v>
      </c>
      <c r="AH192" s="460" t="s">
        <v>1699</v>
      </c>
      <c r="AI192" s="461" t="s">
        <v>1700</v>
      </c>
      <c r="AJ192" s="460" t="s">
        <v>1701</v>
      </c>
      <c r="AK192" s="140" t="s">
        <v>1702</v>
      </c>
      <c r="AL192" s="460" t="s">
        <v>1703</v>
      </c>
      <c r="AM192" s="460"/>
      <c r="AN192" s="460"/>
      <c r="AO192" s="460"/>
      <c r="AP192" s="460"/>
      <c r="AQ192" s="18" t="s">
        <v>2909</v>
      </c>
      <c r="AR192" s="14" t="s">
        <v>1932</v>
      </c>
    </row>
    <row r="193" spans="1:44" s="14" customFormat="1" x14ac:dyDescent="0.2">
      <c r="A193" s="422" t="s">
        <v>3363</v>
      </c>
      <c r="B193" s="425"/>
      <c r="C193" s="422"/>
      <c r="D193" s="423"/>
      <c r="E193" s="22"/>
      <c r="F193" s="19"/>
      <c r="H193" s="18"/>
      <c r="I193" s="28"/>
      <c r="J193" s="28"/>
      <c r="K193" s="29"/>
      <c r="L193" s="29"/>
      <c r="M193" s="514"/>
      <c r="N193" s="514" t="str">
        <f>IF($C193="","",VLOOKUP($C193,'2017 Pricelist'!$C:$I,7,FALSE))</f>
        <v/>
      </c>
      <c r="O193" s="17"/>
      <c r="P193" s="74"/>
      <c r="Q193" s="44"/>
      <c r="R193" s="33"/>
      <c r="S193" s="33"/>
      <c r="T193" s="70"/>
      <c r="U193" s="42"/>
      <c r="V193" s="15"/>
      <c r="W193" s="15"/>
      <c r="X193" s="43"/>
      <c r="Y193" s="42"/>
      <c r="Z193" s="15"/>
      <c r="AA193" s="15"/>
      <c r="AB193" s="43"/>
      <c r="AC193" s="42"/>
      <c r="AD193" s="15"/>
      <c r="AE193" s="15"/>
      <c r="AF193" s="43"/>
      <c r="AG193" s="44"/>
      <c r="AH193" s="20"/>
      <c r="AI193" s="20"/>
      <c r="AJ193" s="20"/>
      <c r="AK193" s="20"/>
      <c r="AL193" s="20"/>
      <c r="AM193" s="20"/>
      <c r="AN193" s="20"/>
      <c r="AO193" s="20"/>
      <c r="AP193" s="20"/>
      <c r="AR193" s="21"/>
    </row>
    <row r="194" spans="1:44" s="14" customFormat="1" x14ac:dyDescent="0.2">
      <c r="A194" s="18" t="s">
        <v>3365</v>
      </c>
      <c r="B194" s="18"/>
      <c r="C194" s="40" t="s">
        <v>1640</v>
      </c>
      <c r="D194" s="1" t="s">
        <v>1550</v>
      </c>
      <c r="E194" s="452" t="s">
        <v>3480</v>
      </c>
      <c r="F194" s="18" t="s">
        <v>484</v>
      </c>
      <c r="G194" s="18" t="s">
        <v>2520</v>
      </c>
      <c r="H194" s="3" t="s">
        <v>1718</v>
      </c>
      <c r="I194" s="18"/>
      <c r="J194" s="18"/>
      <c r="K194" s="37" t="s">
        <v>3463</v>
      </c>
      <c r="L194" s="36" t="s">
        <v>977</v>
      </c>
      <c r="M194" s="514"/>
      <c r="N194" s="514">
        <f>IF($C194="","",VLOOKUP($C194,'2017 Pricelist'!$C:$I,7,FALSE))</f>
        <v>34.99</v>
      </c>
      <c r="O194" s="35">
        <v>1</v>
      </c>
      <c r="P194" s="239">
        <v>10</v>
      </c>
      <c r="Q194" s="44">
        <f>CONVERT(0.11,"kg","lbm")</f>
        <v>0.24250848840336534</v>
      </c>
      <c r="R194" s="441">
        <f>CONVERT(296,"mm","in")</f>
        <v>11.653543307086615</v>
      </c>
      <c r="S194" s="441">
        <f>CONVERT(151,"mm","in")</f>
        <v>5.9448818897637796</v>
      </c>
      <c r="T194" s="442" t="s">
        <v>259</v>
      </c>
      <c r="U194" s="44">
        <v>0.24250848840336534</v>
      </c>
      <c r="V194" s="33">
        <v>14</v>
      </c>
      <c r="W194" s="33">
        <v>1.75</v>
      </c>
      <c r="X194" s="70">
        <v>1</v>
      </c>
      <c r="Y194" s="90" t="s">
        <v>259</v>
      </c>
      <c r="Z194" s="89" t="s">
        <v>259</v>
      </c>
      <c r="AA194" s="89" t="s">
        <v>259</v>
      </c>
      <c r="AB194" s="249" t="s">
        <v>259</v>
      </c>
      <c r="AC194" s="44">
        <v>4.25</v>
      </c>
      <c r="AD194" s="33">
        <v>12</v>
      </c>
      <c r="AE194" s="33">
        <v>5</v>
      </c>
      <c r="AF194" s="70">
        <v>2.5</v>
      </c>
      <c r="AG194" s="42">
        <f>AD194*AE194*AF194/(12^3)</f>
        <v>8.6805555555555552E-2</v>
      </c>
      <c r="AH194" s="460" t="s">
        <v>1699</v>
      </c>
      <c r="AI194" s="461" t="s">
        <v>1700</v>
      </c>
      <c r="AJ194" s="460" t="s">
        <v>1701</v>
      </c>
      <c r="AK194" s="140" t="s">
        <v>1702</v>
      </c>
      <c r="AL194" s="460"/>
      <c r="AM194" s="460"/>
      <c r="AN194" s="460"/>
      <c r="AO194" s="460"/>
      <c r="AP194" s="460" t="s">
        <v>1701</v>
      </c>
      <c r="AQ194" s="18" t="s">
        <v>2909</v>
      </c>
      <c r="AR194" s="14" t="s">
        <v>1932</v>
      </c>
    </row>
    <row r="195" spans="1:44" s="14" customFormat="1" x14ac:dyDescent="0.2">
      <c r="A195" s="18" t="s">
        <v>3365</v>
      </c>
      <c r="B195" s="18"/>
      <c r="C195" s="40" t="s">
        <v>2051</v>
      </c>
      <c r="D195" s="1" t="s">
        <v>1550</v>
      </c>
      <c r="E195" s="119" t="s">
        <v>2648</v>
      </c>
      <c r="F195" s="18" t="s">
        <v>484</v>
      </c>
      <c r="G195" s="18" t="s">
        <v>2520</v>
      </c>
      <c r="H195" s="456">
        <v>7391846007432</v>
      </c>
      <c r="I195" s="18"/>
      <c r="J195" s="18"/>
      <c r="K195" s="37" t="s">
        <v>3463</v>
      </c>
      <c r="L195" s="36" t="s">
        <v>977</v>
      </c>
      <c r="M195" s="514"/>
      <c r="N195" s="514">
        <f>IF($C195="","",VLOOKUP($C195,'2017 Pricelist'!$C:$I,7,FALSE))</f>
        <v>27.990000000000002</v>
      </c>
      <c r="O195" s="35">
        <v>1</v>
      </c>
      <c r="P195" s="239">
        <v>10</v>
      </c>
      <c r="Q195" s="44">
        <f>CONVERT(0.103,"kg","lbm")</f>
        <v>0.2270761300504239</v>
      </c>
      <c r="R195" s="441">
        <f>CONVERT(290,"mm","in")</f>
        <v>11.417322834645669</v>
      </c>
      <c r="S195" s="441">
        <f>CONVERT(151,"mm","in")</f>
        <v>5.9448818897637796</v>
      </c>
      <c r="T195" s="442" t="s">
        <v>259</v>
      </c>
      <c r="U195" s="44">
        <v>0.2270761300504239</v>
      </c>
      <c r="V195" s="121"/>
      <c r="W195" s="121"/>
      <c r="X195" s="122"/>
      <c r="Y195" s="90" t="s">
        <v>259</v>
      </c>
      <c r="Z195" s="89" t="s">
        <v>259</v>
      </c>
      <c r="AA195" s="89" t="s">
        <v>259</v>
      </c>
      <c r="AB195" s="249" t="s">
        <v>259</v>
      </c>
      <c r="AC195" s="120"/>
      <c r="AD195" s="121"/>
      <c r="AE195" s="121"/>
      <c r="AF195" s="122"/>
      <c r="AG195" s="42"/>
      <c r="AH195" s="460"/>
      <c r="AI195" s="461"/>
      <c r="AJ195" s="460"/>
      <c r="AK195" s="140"/>
      <c r="AL195" s="460"/>
      <c r="AM195" s="460"/>
      <c r="AN195" s="460"/>
      <c r="AO195" s="460"/>
      <c r="AP195" s="460"/>
      <c r="AQ195" s="18" t="s">
        <v>2909</v>
      </c>
      <c r="AR195" s="14" t="s">
        <v>1932</v>
      </c>
    </row>
    <row r="196" spans="1:44" s="14" customFormat="1" x14ac:dyDescent="0.2">
      <c r="A196" s="18" t="s">
        <v>3365</v>
      </c>
      <c r="B196" s="18"/>
      <c r="C196" s="119" t="s">
        <v>2055</v>
      </c>
      <c r="D196" s="1" t="s">
        <v>1550</v>
      </c>
      <c r="E196" s="119" t="s">
        <v>2649</v>
      </c>
      <c r="F196" s="18" t="s">
        <v>484</v>
      </c>
      <c r="G196" s="18" t="s">
        <v>2520</v>
      </c>
      <c r="H196" s="8">
        <v>7391846007456</v>
      </c>
      <c r="I196" s="18"/>
      <c r="J196" s="18"/>
      <c r="K196" s="37" t="s">
        <v>3463</v>
      </c>
      <c r="L196" s="36" t="s">
        <v>977</v>
      </c>
      <c r="M196" s="514"/>
      <c r="N196" s="514">
        <f>IF($C196="","",VLOOKUP($C196,'2017 Pricelist'!$C:$I,7,FALSE))</f>
        <v>29.990000000000002</v>
      </c>
      <c r="O196" s="35">
        <v>1</v>
      </c>
      <c r="P196" s="239">
        <v>10</v>
      </c>
      <c r="Q196" s="44">
        <f>CONVERT(0.0915,"kg","lbm")</f>
        <v>0.20172296989916297</v>
      </c>
      <c r="R196" s="441">
        <f>CONVERT(290,"mm","in")</f>
        <v>11.417322834645669</v>
      </c>
      <c r="S196" s="441">
        <f>CONVERT(160,"mm","in")</f>
        <v>6.2992125984251972</v>
      </c>
      <c r="T196" s="442" t="s">
        <v>259</v>
      </c>
      <c r="U196" s="44">
        <v>0.2006206585882386</v>
      </c>
      <c r="V196" s="121"/>
      <c r="W196" s="121"/>
      <c r="X196" s="122"/>
      <c r="Y196" s="90" t="s">
        <v>259</v>
      </c>
      <c r="Z196" s="89" t="s">
        <v>259</v>
      </c>
      <c r="AA196" s="89" t="s">
        <v>259</v>
      </c>
      <c r="AB196" s="249" t="s">
        <v>259</v>
      </c>
      <c r="AC196" s="120"/>
      <c r="AD196" s="121"/>
      <c r="AE196" s="121"/>
      <c r="AF196" s="122"/>
      <c r="AG196" s="42"/>
      <c r="AH196" s="460"/>
      <c r="AI196" s="461"/>
      <c r="AJ196" s="460"/>
      <c r="AK196" s="140"/>
      <c r="AL196" s="460"/>
      <c r="AM196" s="460"/>
      <c r="AN196" s="460"/>
      <c r="AO196" s="460"/>
      <c r="AP196" s="460"/>
      <c r="AQ196" s="18" t="s">
        <v>2909</v>
      </c>
      <c r="AR196" s="14" t="s">
        <v>1932</v>
      </c>
    </row>
    <row r="197" spans="1:44" s="14" customFormat="1" x14ac:dyDescent="0.2">
      <c r="A197" s="18" t="s">
        <v>3365</v>
      </c>
      <c r="B197" s="18"/>
      <c r="C197" s="40" t="s">
        <v>1649</v>
      </c>
      <c r="D197" s="1" t="s">
        <v>1550</v>
      </c>
      <c r="E197" s="452" t="s">
        <v>2652</v>
      </c>
      <c r="F197" s="18" t="s">
        <v>484</v>
      </c>
      <c r="G197" s="18" t="s">
        <v>2520</v>
      </c>
      <c r="H197" s="3" t="s">
        <v>1724</v>
      </c>
      <c r="I197" s="18"/>
      <c r="J197" s="18"/>
      <c r="K197" s="37" t="s">
        <v>3463</v>
      </c>
      <c r="L197" s="36" t="s">
        <v>977</v>
      </c>
      <c r="M197" s="514"/>
      <c r="N197" s="514">
        <f>IF($C197="","",VLOOKUP($C197,'2017 Pricelist'!$C:$I,7,FALSE))</f>
        <v>34.99</v>
      </c>
      <c r="O197" s="35">
        <v>1</v>
      </c>
      <c r="P197" s="239">
        <v>10</v>
      </c>
      <c r="Q197" s="44">
        <f>CONVERT(0.106,"kg","lbm")</f>
        <v>0.23368999791597023</v>
      </c>
      <c r="R197" s="441">
        <f>CONVERT(316,"mm","in")</f>
        <v>12.440944881889763</v>
      </c>
      <c r="S197" s="441">
        <f>CONVERT(180,"mm","in")</f>
        <v>7.0866141732283472</v>
      </c>
      <c r="T197" s="442" t="s">
        <v>259</v>
      </c>
      <c r="U197" s="44">
        <v>0.23368999791597023</v>
      </c>
      <c r="V197" s="33">
        <v>12.5</v>
      </c>
      <c r="W197" s="33">
        <v>1.75</v>
      </c>
      <c r="X197" s="70">
        <v>1</v>
      </c>
      <c r="Y197" s="90" t="s">
        <v>259</v>
      </c>
      <c r="Z197" s="89" t="s">
        <v>259</v>
      </c>
      <c r="AA197" s="89" t="s">
        <v>259</v>
      </c>
      <c r="AB197" s="249" t="s">
        <v>259</v>
      </c>
      <c r="AC197" s="44">
        <v>2.5</v>
      </c>
      <c r="AD197" s="33">
        <v>15</v>
      </c>
      <c r="AE197" s="33">
        <v>5</v>
      </c>
      <c r="AF197" s="70">
        <v>2.5</v>
      </c>
      <c r="AG197" s="42">
        <f>AD197*AE197*AF197/(12^3)</f>
        <v>0.10850694444444445</v>
      </c>
      <c r="AH197" s="460" t="s">
        <v>1699</v>
      </c>
      <c r="AI197" s="461" t="s">
        <v>1700</v>
      </c>
      <c r="AJ197" s="460" t="s">
        <v>1701</v>
      </c>
      <c r="AK197" s="140" t="s">
        <v>1702</v>
      </c>
      <c r="AL197" s="460"/>
      <c r="AM197" s="460"/>
      <c r="AN197" s="460"/>
      <c r="AO197" s="460"/>
      <c r="AP197" s="460" t="s">
        <v>1701</v>
      </c>
      <c r="AQ197" s="18" t="s">
        <v>2909</v>
      </c>
      <c r="AR197" s="14" t="s">
        <v>1932</v>
      </c>
    </row>
    <row r="198" spans="1:44" s="18" customFormat="1" x14ac:dyDescent="0.2">
      <c r="A198" s="18" t="s">
        <v>3365</v>
      </c>
      <c r="C198" s="119" t="s">
        <v>2056</v>
      </c>
      <c r="D198" s="1" t="s">
        <v>1550</v>
      </c>
      <c r="E198" s="119" t="s">
        <v>2645</v>
      </c>
      <c r="F198" s="18" t="s">
        <v>484</v>
      </c>
      <c r="G198" s="18" t="s">
        <v>2520</v>
      </c>
      <c r="H198" s="456">
        <v>7391846007371</v>
      </c>
      <c r="K198" s="37" t="s">
        <v>3463</v>
      </c>
      <c r="L198" s="36" t="s">
        <v>977</v>
      </c>
      <c r="M198" s="514"/>
      <c r="N198" s="514">
        <f>IF($C198="","",VLOOKUP($C198,'2017 Pricelist'!$C:$I,7,FALSE))</f>
        <v>34.99</v>
      </c>
      <c r="O198" s="35">
        <v>1</v>
      </c>
      <c r="P198" s="239">
        <v>10</v>
      </c>
      <c r="Q198" s="44">
        <f>CONVERT(0.101,"kg","lbm")</f>
        <v>0.22266688480672636</v>
      </c>
      <c r="R198" s="33" t="s">
        <v>3468</v>
      </c>
      <c r="S198" s="441">
        <f>CONVERT(180,"mm","in")</f>
        <v>7.0866141732283472</v>
      </c>
      <c r="T198" s="442" t="s">
        <v>259</v>
      </c>
      <c r="U198" s="44">
        <v>0.23368999791597023</v>
      </c>
      <c r="V198" s="121"/>
      <c r="W198" s="121"/>
      <c r="X198" s="122"/>
      <c r="Y198" s="90" t="s">
        <v>259</v>
      </c>
      <c r="Z198" s="89" t="s">
        <v>259</v>
      </c>
      <c r="AA198" s="89" t="s">
        <v>259</v>
      </c>
      <c r="AB198" s="249" t="s">
        <v>259</v>
      </c>
      <c r="AC198" s="120"/>
      <c r="AD198" s="121"/>
      <c r="AE198" s="121"/>
      <c r="AF198" s="122"/>
      <c r="AG198" s="44"/>
      <c r="AH198" s="460"/>
      <c r="AI198" s="461"/>
      <c r="AJ198" s="460"/>
      <c r="AK198" s="140"/>
      <c r="AL198" s="460"/>
      <c r="AM198" s="460"/>
      <c r="AN198" s="460"/>
      <c r="AO198" s="460"/>
      <c r="AP198" s="460"/>
      <c r="AQ198" s="18" t="s">
        <v>2909</v>
      </c>
      <c r="AR198" s="14" t="s">
        <v>1932</v>
      </c>
    </row>
    <row r="199" spans="1:44" s="14" customFormat="1" x14ac:dyDescent="0.2">
      <c r="A199" s="18" t="s">
        <v>3365</v>
      </c>
      <c r="B199" s="18"/>
      <c r="C199" s="40" t="s">
        <v>1647</v>
      </c>
      <c r="D199" s="1" t="s">
        <v>1550</v>
      </c>
      <c r="E199" s="452" t="s">
        <v>2650</v>
      </c>
      <c r="F199" s="18" t="s">
        <v>484</v>
      </c>
      <c r="G199" s="18" t="s">
        <v>2520</v>
      </c>
      <c r="H199" s="97" t="s">
        <v>1722</v>
      </c>
      <c r="I199" s="18"/>
      <c r="J199" s="18"/>
      <c r="K199" s="37" t="s">
        <v>3463</v>
      </c>
      <c r="L199" s="36" t="s">
        <v>977</v>
      </c>
      <c r="M199" s="514"/>
      <c r="N199" s="514">
        <f>IF($C199="","",VLOOKUP($C199,'2017 Pricelist'!$C:$I,7,FALSE))</f>
        <v>39.99</v>
      </c>
      <c r="O199" s="35">
        <v>1</v>
      </c>
      <c r="P199" s="239">
        <v>10</v>
      </c>
      <c r="Q199" s="44">
        <f>CONVERT(0.109,"kg","lbm")</f>
        <v>0.24030386578151655</v>
      </c>
      <c r="R199" s="33" t="s">
        <v>3473</v>
      </c>
      <c r="S199" s="441">
        <f>CONVERT(197,"mm","in")</f>
        <v>7.7559055118110241</v>
      </c>
      <c r="T199" s="442" t="s">
        <v>259</v>
      </c>
      <c r="U199" s="44">
        <v>0.24030386578151655</v>
      </c>
      <c r="V199" s="33">
        <v>13</v>
      </c>
      <c r="W199" s="33">
        <v>1.75</v>
      </c>
      <c r="X199" s="70">
        <v>1</v>
      </c>
      <c r="Y199" s="90" t="s">
        <v>259</v>
      </c>
      <c r="Z199" s="89" t="s">
        <v>259</v>
      </c>
      <c r="AA199" s="89" t="s">
        <v>259</v>
      </c>
      <c r="AB199" s="249" t="s">
        <v>259</v>
      </c>
      <c r="AC199" s="44">
        <v>3</v>
      </c>
      <c r="AD199" s="33">
        <v>14</v>
      </c>
      <c r="AE199" s="33">
        <v>5</v>
      </c>
      <c r="AF199" s="70">
        <v>2.5</v>
      </c>
      <c r="AG199" s="42">
        <f>AD199*AE199*AF199/(12^3)</f>
        <v>0.10127314814814815</v>
      </c>
      <c r="AH199" s="460" t="s">
        <v>1699</v>
      </c>
      <c r="AI199" s="461" t="s">
        <v>1700</v>
      </c>
      <c r="AJ199" s="460" t="s">
        <v>1701</v>
      </c>
      <c r="AK199" s="140" t="s">
        <v>1702</v>
      </c>
      <c r="AL199" s="460"/>
      <c r="AM199" s="460"/>
      <c r="AN199" s="460"/>
      <c r="AO199" s="460"/>
      <c r="AP199" s="460" t="s">
        <v>1704</v>
      </c>
      <c r="AQ199" s="18" t="s">
        <v>2909</v>
      </c>
      <c r="AR199" s="14" t="s">
        <v>1932</v>
      </c>
    </row>
    <row r="200" spans="1:44" s="18" customFormat="1" x14ac:dyDescent="0.2">
      <c r="A200" s="18" t="s">
        <v>3365</v>
      </c>
      <c r="C200" s="119" t="s">
        <v>2059</v>
      </c>
      <c r="D200" s="1" t="s">
        <v>1550</v>
      </c>
      <c r="E200" s="119" t="s">
        <v>2646</v>
      </c>
      <c r="F200" s="18" t="s">
        <v>484</v>
      </c>
      <c r="G200" s="18" t="s">
        <v>2520</v>
      </c>
      <c r="H200" s="8">
        <v>7391846007388</v>
      </c>
      <c r="K200" s="37" t="s">
        <v>3463</v>
      </c>
      <c r="L200" s="36" t="s">
        <v>977</v>
      </c>
      <c r="M200" s="514"/>
      <c r="N200" s="514">
        <f>IF($C200="","",VLOOKUP($C200,'2017 Pricelist'!$C:$I,7,FALSE))</f>
        <v>39.99</v>
      </c>
      <c r="O200" s="35">
        <v>1</v>
      </c>
      <c r="P200" s="239">
        <v>10</v>
      </c>
      <c r="Q200" s="44">
        <f>CONVERT(0.113,"kg","lbm")</f>
        <v>0.24912235626891169</v>
      </c>
      <c r="R200" s="441">
        <f>CONVERT(335,"mm","in")</f>
        <v>13.188976377952757</v>
      </c>
      <c r="S200" s="441">
        <f>CONVERT(197,"mm","in")</f>
        <v>7.7559055118110241</v>
      </c>
      <c r="T200" s="442" t="s">
        <v>259</v>
      </c>
      <c r="U200" s="44">
        <v>0.24912235626891166</v>
      </c>
      <c r="V200" s="121"/>
      <c r="W200" s="121"/>
      <c r="X200" s="122"/>
      <c r="Y200" s="90" t="s">
        <v>259</v>
      </c>
      <c r="Z200" s="89" t="s">
        <v>259</v>
      </c>
      <c r="AA200" s="89" t="s">
        <v>259</v>
      </c>
      <c r="AB200" s="249" t="s">
        <v>259</v>
      </c>
      <c r="AC200" s="120"/>
      <c r="AD200" s="121"/>
      <c r="AE200" s="121"/>
      <c r="AF200" s="122"/>
      <c r="AG200" s="44"/>
      <c r="AH200" s="460"/>
      <c r="AI200" s="461"/>
      <c r="AJ200" s="460"/>
      <c r="AK200" s="140"/>
      <c r="AL200" s="460"/>
      <c r="AM200" s="460"/>
      <c r="AN200" s="460"/>
      <c r="AO200" s="460"/>
      <c r="AP200" s="460"/>
      <c r="AQ200" s="18" t="s">
        <v>2909</v>
      </c>
      <c r="AR200" s="14" t="s">
        <v>1932</v>
      </c>
    </row>
    <row r="201" spans="1:44" s="18" customFormat="1" x14ac:dyDescent="0.2">
      <c r="A201" s="18" t="s">
        <v>3365</v>
      </c>
      <c r="C201" s="119" t="s">
        <v>2060</v>
      </c>
      <c r="D201" s="1" t="s">
        <v>1550</v>
      </c>
      <c r="E201" s="119" t="s">
        <v>2647</v>
      </c>
      <c r="F201" s="18" t="s">
        <v>484</v>
      </c>
      <c r="G201" s="18" t="s">
        <v>2520</v>
      </c>
      <c r="H201" s="8">
        <v>7391846007425</v>
      </c>
      <c r="K201" s="37" t="s">
        <v>3463</v>
      </c>
      <c r="L201" s="36" t="s">
        <v>977</v>
      </c>
      <c r="M201" s="514"/>
      <c r="N201" s="514">
        <f>IF($C201="","",VLOOKUP($C201,'2017 Pricelist'!$C:$I,7,FALSE))</f>
        <v>39.99</v>
      </c>
      <c r="O201" s="35">
        <v>1</v>
      </c>
      <c r="P201" s="239">
        <v>10</v>
      </c>
      <c r="Q201" s="44">
        <f>CONVERT(0.112,"kg","lbm")</f>
        <v>0.2469177336470629</v>
      </c>
      <c r="R201" s="441">
        <f>CONVERT(346,"mm","in")</f>
        <v>13.622047244094489</v>
      </c>
      <c r="S201" s="441">
        <f>CONVERT(197,"mm","in")</f>
        <v>7.7559055118110241</v>
      </c>
      <c r="T201" s="442" t="s">
        <v>259</v>
      </c>
      <c r="U201" s="44">
        <v>0.27557782773109696</v>
      </c>
      <c r="V201" s="121"/>
      <c r="W201" s="121"/>
      <c r="X201" s="122"/>
      <c r="Y201" s="90" t="s">
        <v>259</v>
      </c>
      <c r="Z201" s="89" t="s">
        <v>259</v>
      </c>
      <c r="AA201" s="89" t="s">
        <v>259</v>
      </c>
      <c r="AB201" s="249" t="s">
        <v>259</v>
      </c>
      <c r="AC201" s="120"/>
      <c r="AD201" s="121"/>
      <c r="AE201" s="121"/>
      <c r="AF201" s="122"/>
      <c r="AG201" s="44"/>
      <c r="AH201" s="460"/>
      <c r="AI201" s="461"/>
      <c r="AJ201" s="460"/>
      <c r="AK201" s="140"/>
      <c r="AL201" s="460"/>
      <c r="AM201" s="460"/>
      <c r="AN201" s="460"/>
      <c r="AO201" s="460"/>
      <c r="AP201" s="460"/>
      <c r="AQ201" s="18" t="s">
        <v>2909</v>
      </c>
      <c r="AR201" s="14" t="s">
        <v>1932</v>
      </c>
    </row>
    <row r="202" spans="1:44" s="14" customFormat="1" x14ac:dyDescent="0.2">
      <c r="A202" s="18" t="s">
        <v>3365</v>
      </c>
      <c r="B202" s="18"/>
      <c r="C202" s="40" t="s">
        <v>1650</v>
      </c>
      <c r="D202" s="1" t="s">
        <v>1550</v>
      </c>
      <c r="E202" s="452" t="s">
        <v>2653</v>
      </c>
      <c r="F202" s="18" t="s">
        <v>484</v>
      </c>
      <c r="G202" s="18" t="s">
        <v>2520</v>
      </c>
      <c r="H202" s="3" t="s">
        <v>1726</v>
      </c>
      <c r="I202" s="18"/>
      <c r="J202" s="18"/>
      <c r="K202" s="37" t="s">
        <v>3463</v>
      </c>
      <c r="L202" s="36" t="s">
        <v>977</v>
      </c>
      <c r="M202" s="514"/>
      <c r="N202" s="514">
        <f>IF($C202="","",VLOOKUP($C202,'2017 Pricelist'!$C:$I,7,FALSE))</f>
        <v>44.99</v>
      </c>
      <c r="O202" s="35">
        <v>1</v>
      </c>
      <c r="P202" s="239">
        <v>10</v>
      </c>
      <c r="Q202" s="44">
        <f>CONVERT(0.125,"kg","lbm")</f>
        <v>0.27557782773109696</v>
      </c>
      <c r="R202" s="441">
        <f>CONVERT(355,"mm","in")</f>
        <v>13.976377952755906</v>
      </c>
      <c r="S202" s="441">
        <f>CONVERT(210,"mm","in")</f>
        <v>8.2677165354330704</v>
      </c>
      <c r="T202" s="442" t="s">
        <v>259</v>
      </c>
      <c r="U202" s="44">
        <v>0.27557782773109696</v>
      </c>
      <c r="V202" s="33">
        <v>13.5</v>
      </c>
      <c r="W202" s="33">
        <v>1.75</v>
      </c>
      <c r="X202" s="70">
        <v>1</v>
      </c>
      <c r="Y202" s="90" t="s">
        <v>259</v>
      </c>
      <c r="Z202" s="89" t="s">
        <v>259</v>
      </c>
      <c r="AA202" s="89" t="s">
        <v>259</v>
      </c>
      <c r="AB202" s="249" t="s">
        <v>259</v>
      </c>
      <c r="AC202" s="44">
        <v>2.2000000000000002</v>
      </c>
      <c r="AD202" s="33">
        <v>15</v>
      </c>
      <c r="AE202" s="33">
        <v>5</v>
      </c>
      <c r="AF202" s="70">
        <v>2.5</v>
      </c>
      <c r="AG202" s="42">
        <f>AD202*AE202*AF202/(12^3)</f>
        <v>0.10850694444444445</v>
      </c>
      <c r="AH202" s="460" t="s">
        <v>1699</v>
      </c>
      <c r="AI202" s="461" t="s">
        <v>1700</v>
      </c>
      <c r="AJ202" s="460" t="s">
        <v>1701</v>
      </c>
      <c r="AK202" s="140" t="s">
        <v>1702</v>
      </c>
      <c r="AL202" s="460"/>
      <c r="AM202" s="460"/>
      <c r="AN202" s="460"/>
      <c r="AO202" s="460"/>
      <c r="AP202" s="460" t="s">
        <v>1701</v>
      </c>
      <c r="AQ202" s="18" t="s">
        <v>2909</v>
      </c>
      <c r="AR202" s="14" t="s">
        <v>1932</v>
      </c>
    </row>
    <row r="203" spans="1:44" s="14" customFormat="1" x14ac:dyDescent="0.2">
      <c r="A203" s="18" t="s">
        <v>3365</v>
      </c>
      <c r="B203" s="18"/>
      <c r="C203" s="40" t="s">
        <v>1648</v>
      </c>
      <c r="D203" s="1" t="s">
        <v>1550</v>
      </c>
      <c r="E203" s="452" t="s">
        <v>2651</v>
      </c>
      <c r="F203" s="18" t="s">
        <v>484</v>
      </c>
      <c r="G203" s="18" t="s">
        <v>2520</v>
      </c>
      <c r="H203" s="3" t="s">
        <v>1723</v>
      </c>
      <c r="I203" s="18"/>
      <c r="J203" s="18"/>
      <c r="K203" s="37" t="s">
        <v>3463</v>
      </c>
      <c r="L203" s="36" t="s">
        <v>977</v>
      </c>
      <c r="M203" s="514"/>
      <c r="N203" s="514">
        <f>IF($C203="","",VLOOKUP($C203,'2017 Pricelist'!$C:$I,7,FALSE))</f>
        <v>39.99</v>
      </c>
      <c r="O203" s="35">
        <v>1</v>
      </c>
      <c r="P203" s="239">
        <v>10</v>
      </c>
      <c r="Q203" s="44">
        <f>CONVERT(0.125,"kg","lbm")</f>
        <v>0.27557782773109696</v>
      </c>
      <c r="R203" s="441">
        <f>CONVERT(350,"mm","in")</f>
        <v>13.779527559055117</v>
      </c>
      <c r="S203" s="441">
        <f>CONVERT(218,"mm","in")</f>
        <v>8.5826771653543314</v>
      </c>
      <c r="T203" s="442" t="s">
        <v>259</v>
      </c>
      <c r="U203" s="44">
        <v>0.27557782773109696</v>
      </c>
      <c r="V203" s="33">
        <v>14</v>
      </c>
      <c r="W203" s="33">
        <v>1.75</v>
      </c>
      <c r="X203" s="70">
        <v>1</v>
      </c>
      <c r="Y203" s="90" t="s">
        <v>259</v>
      </c>
      <c r="Z203" s="89" t="s">
        <v>259</v>
      </c>
      <c r="AA203" s="89" t="s">
        <v>259</v>
      </c>
      <c r="AB203" s="90" t="s">
        <v>259</v>
      </c>
      <c r="AC203" s="44">
        <v>4</v>
      </c>
      <c r="AD203" s="33">
        <v>15</v>
      </c>
      <c r="AE203" s="33">
        <v>5.5</v>
      </c>
      <c r="AF203" s="70">
        <v>2</v>
      </c>
      <c r="AG203" s="42">
        <f>AD203*AE203*AF203/(12^3)</f>
        <v>9.5486111111111105E-2</v>
      </c>
      <c r="AH203" s="460" t="s">
        <v>1699</v>
      </c>
      <c r="AI203" s="461" t="s">
        <v>1700</v>
      </c>
      <c r="AJ203" s="460" t="s">
        <v>1701</v>
      </c>
      <c r="AK203" s="140" t="s">
        <v>1702</v>
      </c>
      <c r="AL203" s="460"/>
      <c r="AM203" s="460"/>
      <c r="AN203" s="460"/>
      <c r="AO203" s="460"/>
      <c r="AP203" s="460" t="s">
        <v>1701</v>
      </c>
      <c r="AQ203" s="18" t="s">
        <v>2909</v>
      </c>
      <c r="AR203" s="14" t="s">
        <v>1932</v>
      </c>
    </row>
    <row r="204" spans="1:44" s="14" customFormat="1" x14ac:dyDescent="0.2">
      <c r="A204" s="422" t="s">
        <v>3364</v>
      </c>
      <c r="B204" s="425"/>
      <c r="C204" s="422"/>
      <c r="D204" s="423"/>
      <c r="E204" s="22"/>
      <c r="F204" s="19"/>
      <c r="H204" s="18"/>
      <c r="I204" s="28"/>
      <c r="J204" s="28"/>
      <c r="K204" s="29"/>
      <c r="L204" s="29"/>
      <c r="M204" s="514"/>
      <c r="N204" s="514" t="str">
        <f>IF($C204="","",VLOOKUP($C204,'2017 Pricelist'!$C:$I,7,FALSE))</f>
        <v/>
      </c>
      <c r="O204" s="17"/>
      <c r="P204" s="74"/>
      <c r="Q204" s="44"/>
      <c r="R204" s="33"/>
      <c r="S204" s="33"/>
      <c r="T204" s="70"/>
      <c r="U204" s="42"/>
      <c r="V204" s="15"/>
      <c r="W204" s="15"/>
      <c r="X204" s="43"/>
      <c r="Y204" s="42"/>
      <c r="Z204" s="15"/>
      <c r="AA204" s="15"/>
      <c r="AB204" s="43"/>
      <c r="AC204" s="42"/>
      <c r="AD204" s="15"/>
      <c r="AE204" s="15"/>
      <c r="AF204" s="43"/>
      <c r="AG204" s="44"/>
      <c r="AH204" s="20"/>
      <c r="AI204" s="20"/>
      <c r="AJ204" s="20"/>
      <c r="AK204" s="20"/>
      <c r="AL204" s="20"/>
      <c r="AM204" s="20"/>
      <c r="AN204" s="20"/>
      <c r="AO204" s="20"/>
      <c r="AP204" s="20"/>
      <c r="AR204" s="21"/>
    </row>
    <row r="205" spans="1:44" s="14" customFormat="1" x14ac:dyDescent="0.2">
      <c r="A205" s="18" t="s">
        <v>3365</v>
      </c>
      <c r="B205" s="581"/>
      <c r="C205" s="14" t="s">
        <v>4293</v>
      </c>
      <c r="D205" s="1" t="s">
        <v>1550</v>
      </c>
      <c r="E205" s="22" t="s">
        <v>4294</v>
      </c>
      <c r="F205" s="19" t="s">
        <v>345</v>
      </c>
      <c r="G205" s="14" t="s">
        <v>2520</v>
      </c>
      <c r="H205" s="18"/>
      <c r="I205" s="28"/>
      <c r="J205" s="28"/>
      <c r="K205" s="29"/>
      <c r="L205" s="29" t="s">
        <v>977</v>
      </c>
      <c r="M205" s="514"/>
      <c r="N205" s="514" t="e">
        <f>IF($C205="","",VLOOKUP($C205,'2017 Pricelist'!$C:$I,7,FALSE))</f>
        <v>#N/A</v>
      </c>
      <c r="O205" s="17">
        <v>1</v>
      </c>
      <c r="P205" s="74">
        <v>10</v>
      </c>
      <c r="Q205" s="44">
        <v>0.3</v>
      </c>
      <c r="R205" s="33">
        <v>11.5</v>
      </c>
      <c r="S205" s="33">
        <v>6.89</v>
      </c>
      <c r="T205" s="70"/>
      <c r="U205" s="42">
        <v>0.31</v>
      </c>
      <c r="V205" s="15">
        <v>11.5</v>
      </c>
      <c r="W205" s="15"/>
      <c r="X205" s="43"/>
      <c r="Y205" s="90" t="s">
        <v>259</v>
      </c>
      <c r="Z205" s="89" t="s">
        <v>259</v>
      </c>
      <c r="AA205" s="89" t="s">
        <v>259</v>
      </c>
      <c r="AB205" s="90" t="s">
        <v>259</v>
      </c>
      <c r="AC205" s="42">
        <v>3.15</v>
      </c>
      <c r="AD205" s="15">
        <v>14.75</v>
      </c>
      <c r="AE205" s="15">
        <v>4.75</v>
      </c>
      <c r="AF205" s="43">
        <v>3</v>
      </c>
      <c r="AG205" s="44"/>
      <c r="AH205" s="20"/>
      <c r="AI205" s="20"/>
      <c r="AJ205" s="20"/>
      <c r="AK205" s="20"/>
      <c r="AL205" s="20"/>
      <c r="AM205" s="20"/>
      <c r="AN205" s="20"/>
      <c r="AO205" s="20"/>
      <c r="AP205" s="20"/>
      <c r="AR205" s="21"/>
    </row>
    <row r="206" spans="1:44" s="14" customFormat="1" x14ac:dyDescent="0.2">
      <c r="A206" s="18" t="s">
        <v>3365</v>
      </c>
      <c r="B206" s="18"/>
      <c r="C206" s="40" t="s">
        <v>2052</v>
      </c>
      <c r="D206" s="1" t="s">
        <v>1550</v>
      </c>
      <c r="E206" s="119" t="s">
        <v>2053</v>
      </c>
      <c r="F206" s="18" t="s">
        <v>484</v>
      </c>
      <c r="G206" s="18" t="s">
        <v>2520</v>
      </c>
      <c r="H206" s="8">
        <v>7391846007722</v>
      </c>
      <c r="I206" s="18"/>
      <c r="J206" s="18"/>
      <c r="K206" s="37" t="s">
        <v>3463</v>
      </c>
      <c r="L206" s="36" t="s">
        <v>977</v>
      </c>
      <c r="M206" s="514"/>
      <c r="N206" s="514">
        <v>49.99</v>
      </c>
      <c r="O206" s="35">
        <v>1</v>
      </c>
      <c r="P206" s="239">
        <v>10</v>
      </c>
      <c r="Q206" s="44">
        <f>CONVERT(0.155,"kg","lbm")</f>
        <v>0.3417165063865602</v>
      </c>
      <c r="R206" s="441">
        <f>CONVERT(290,"mm","in")</f>
        <v>11.417322834645669</v>
      </c>
      <c r="S206" s="441">
        <f>CONVERT(145,"mm","in")</f>
        <v>5.7086614173228343</v>
      </c>
      <c r="T206" s="442">
        <v>2.5</v>
      </c>
      <c r="U206" s="44">
        <v>0.34171650638656026</v>
      </c>
      <c r="V206" s="121"/>
      <c r="W206" s="121"/>
      <c r="X206" s="122"/>
      <c r="Y206" s="90" t="s">
        <v>259</v>
      </c>
      <c r="Z206" s="89" t="s">
        <v>259</v>
      </c>
      <c r="AA206" s="89" t="s">
        <v>259</v>
      </c>
      <c r="AB206" s="249" t="s">
        <v>259</v>
      </c>
      <c r="AC206" s="120"/>
      <c r="AD206" s="121"/>
      <c r="AE206" s="121"/>
      <c r="AF206" s="122"/>
      <c r="AG206" s="42"/>
      <c r="AH206" s="460"/>
      <c r="AI206" s="461"/>
      <c r="AJ206" s="460"/>
      <c r="AK206" s="140"/>
      <c r="AL206" s="460"/>
      <c r="AM206" s="460"/>
      <c r="AN206" s="460"/>
      <c r="AO206" s="460"/>
      <c r="AP206" s="460"/>
      <c r="AQ206" s="18" t="s">
        <v>2909</v>
      </c>
      <c r="AR206" s="14" t="s">
        <v>1932</v>
      </c>
    </row>
    <row r="207" spans="1:44" s="14" customFormat="1" x14ac:dyDescent="0.2">
      <c r="A207" s="18" t="s">
        <v>3365</v>
      </c>
      <c r="B207" s="18"/>
      <c r="C207" s="119" t="s">
        <v>2054</v>
      </c>
      <c r="D207" s="1" t="s">
        <v>1550</v>
      </c>
      <c r="E207" s="119" t="s">
        <v>3481</v>
      </c>
      <c r="F207" s="18" t="s">
        <v>484</v>
      </c>
      <c r="G207" s="18" t="s">
        <v>2520</v>
      </c>
      <c r="H207" s="8">
        <v>7391846007777</v>
      </c>
      <c r="I207" s="18"/>
      <c r="J207" s="18"/>
      <c r="K207" s="37" t="s">
        <v>3463</v>
      </c>
      <c r="L207" s="36" t="s">
        <v>977</v>
      </c>
      <c r="M207" s="514"/>
      <c r="N207" s="514">
        <f>IF($C207="","",VLOOKUP($C207,'2017 Pricelist'!$C:$I,7,FALSE))</f>
        <v>44.99</v>
      </c>
      <c r="O207" s="35">
        <v>1</v>
      </c>
      <c r="P207" s="239">
        <v>10</v>
      </c>
      <c r="Q207" s="44">
        <f>CONVERT(0.131,"kg","lbm")</f>
        <v>0.28880556346218961</v>
      </c>
      <c r="R207" s="441">
        <f>CONVERT(285,"mm","in")</f>
        <v>11.220472440944883</v>
      </c>
      <c r="S207" s="441">
        <f>CONVERT(146,"mm","in")</f>
        <v>5.7480314960629926</v>
      </c>
      <c r="T207" s="442">
        <v>2.5</v>
      </c>
      <c r="U207" s="44">
        <v>0.28880556346218961</v>
      </c>
      <c r="V207" s="121"/>
      <c r="W207" s="121"/>
      <c r="X207" s="122"/>
      <c r="Y207" s="90" t="s">
        <v>259</v>
      </c>
      <c r="Z207" s="89" t="s">
        <v>259</v>
      </c>
      <c r="AA207" s="89" t="s">
        <v>259</v>
      </c>
      <c r="AB207" s="249" t="s">
        <v>259</v>
      </c>
      <c r="AC207" s="120"/>
      <c r="AD207" s="121"/>
      <c r="AE207" s="121"/>
      <c r="AF207" s="122"/>
      <c r="AG207" s="42"/>
      <c r="AH207" s="460"/>
      <c r="AI207" s="461"/>
      <c r="AJ207" s="460"/>
      <c r="AK207" s="140"/>
      <c r="AL207" s="460"/>
      <c r="AM207" s="460"/>
      <c r="AN207" s="460"/>
      <c r="AO207" s="460"/>
      <c r="AP207" s="460"/>
      <c r="AQ207" s="18" t="s">
        <v>2909</v>
      </c>
      <c r="AR207" s="14" t="s">
        <v>1932</v>
      </c>
    </row>
    <row r="208" spans="1:44" s="14" customFormat="1" x14ac:dyDescent="0.2">
      <c r="A208" s="18" t="s">
        <v>3365</v>
      </c>
      <c r="B208" s="18"/>
      <c r="C208" s="119" t="s">
        <v>2057</v>
      </c>
      <c r="D208" s="1" t="s">
        <v>1550</v>
      </c>
      <c r="E208" s="119" t="s">
        <v>3482</v>
      </c>
      <c r="F208" s="18" t="s">
        <v>484</v>
      </c>
      <c r="G208" s="18" t="s">
        <v>2520</v>
      </c>
      <c r="H208" s="445">
        <v>7391846003243</v>
      </c>
      <c r="I208" s="18"/>
      <c r="J208" s="18"/>
      <c r="K208" s="37" t="s">
        <v>3463</v>
      </c>
      <c r="L208" s="36" t="s">
        <v>977</v>
      </c>
      <c r="M208" s="514"/>
      <c r="N208" s="514">
        <f>IF($C208="","",VLOOKUP($C208,'2017 Pricelist'!$C:$I,7,FALSE))</f>
        <v>44.99</v>
      </c>
      <c r="O208" s="35">
        <v>1</v>
      </c>
      <c r="P208" s="239">
        <v>10</v>
      </c>
      <c r="Q208" s="44">
        <f>CONVERT(0.139,"kg","lbm")</f>
        <v>0.30644254443697982</v>
      </c>
      <c r="R208" s="33" t="s">
        <v>3464</v>
      </c>
      <c r="S208" s="441">
        <f>CONVERT(150,"mm","in")</f>
        <v>5.9055118110236222</v>
      </c>
      <c r="T208" s="442">
        <v>2.5</v>
      </c>
      <c r="U208" s="44" t="s">
        <v>2697</v>
      </c>
      <c r="V208" s="33">
        <v>11.5</v>
      </c>
      <c r="W208" s="33">
        <v>1.625</v>
      </c>
      <c r="X208" s="70">
        <v>1.25</v>
      </c>
      <c r="Y208" s="90" t="s">
        <v>259</v>
      </c>
      <c r="Z208" s="89" t="s">
        <v>259</v>
      </c>
      <c r="AA208" s="89" t="s">
        <v>259</v>
      </c>
      <c r="AB208" s="249" t="s">
        <v>259</v>
      </c>
      <c r="AC208" s="44">
        <v>3.262841480336188</v>
      </c>
      <c r="AD208" s="33">
        <v>14.625</v>
      </c>
      <c r="AE208" s="33">
        <v>4.875</v>
      </c>
      <c r="AF208" s="70">
        <v>3.125</v>
      </c>
      <c r="AG208" s="42">
        <f>AD208*AE208*AF208/(12^3)</f>
        <v>0.128936767578125</v>
      </c>
      <c r="AH208" s="460"/>
      <c r="AI208" s="461"/>
      <c r="AJ208" s="460"/>
      <c r="AK208" s="140"/>
      <c r="AL208" s="460"/>
      <c r="AM208" s="460"/>
      <c r="AN208" s="460"/>
      <c r="AO208" s="460"/>
      <c r="AP208" s="460"/>
      <c r="AQ208" s="18" t="s">
        <v>2909</v>
      </c>
      <c r="AR208" s="14" t="s">
        <v>1932</v>
      </c>
    </row>
    <row r="209" spans="1:44" s="14" customFormat="1" x14ac:dyDescent="0.2">
      <c r="A209" s="18" t="s">
        <v>3365</v>
      </c>
      <c r="B209" s="18"/>
      <c r="C209" s="119" t="s">
        <v>2058</v>
      </c>
      <c r="D209" s="1" t="s">
        <v>1550</v>
      </c>
      <c r="E209" s="119" t="s">
        <v>3483</v>
      </c>
      <c r="F209" s="18" t="s">
        <v>484</v>
      </c>
      <c r="G209" s="18" t="s">
        <v>2520</v>
      </c>
      <c r="H209" s="445">
        <v>7391846003229</v>
      </c>
      <c r="I209" s="18"/>
      <c r="J209" s="18"/>
      <c r="K209" s="37" t="s">
        <v>3463</v>
      </c>
      <c r="L209" s="36" t="s">
        <v>977</v>
      </c>
      <c r="M209" s="514"/>
      <c r="N209" s="514">
        <f>IF($C209="","",VLOOKUP($C209,'2017 Pricelist'!$C:$I,7,FALSE))</f>
        <v>49.99</v>
      </c>
      <c r="O209" s="35">
        <v>1</v>
      </c>
      <c r="P209" s="239">
        <v>10</v>
      </c>
      <c r="Q209" s="44">
        <f>CONVERT(0.195,"kg","lbm")</f>
        <v>0.42990141126051129</v>
      </c>
      <c r="R209" s="33" t="s">
        <v>3464</v>
      </c>
      <c r="S209" s="441">
        <f>CONVERT(200,"mm","in")</f>
        <v>7.8740157480314963</v>
      </c>
      <c r="T209" s="442">
        <v>2.5</v>
      </c>
      <c r="U209" s="44" t="s">
        <v>2692</v>
      </c>
      <c r="V209" s="33">
        <v>13.25</v>
      </c>
      <c r="W209" s="33">
        <v>1.625</v>
      </c>
      <c r="X209" s="70">
        <v>1.25</v>
      </c>
      <c r="Y209" s="90" t="s">
        <v>259</v>
      </c>
      <c r="Z209" s="89" t="s">
        <v>259</v>
      </c>
      <c r="AA209" s="89" t="s">
        <v>259</v>
      </c>
      <c r="AB209" s="249" t="s">
        <v>259</v>
      </c>
      <c r="AC209" s="44">
        <v>4.4202683568067958</v>
      </c>
      <c r="AD209" s="33">
        <v>15.375</v>
      </c>
      <c r="AE209" s="33">
        <v>5.5</v>
      </c>
      <c r="AF209" s="70">
        <v>4.125</v>
      </c>
      <c r="AG209" s="42">
        <f>AD209*AE209*AF209/(12^3)</f>
        <v>0.20186360677083334</v>
      </c>
      <c r="AH209" s="460"/>
      <c r="AI209" s="461"/>
      <c r="AJ209" s="460"/>
      <c r="AK209" s="140"/>
      <c r="AL209" s="460"/>
      <c r="AM209" s="460"/>
      <c r="AN209" s="460"/>
      <c r="AO209" s="460"/>
      <c r="AP209" s="460"/>
      <c r="AQ209" s="18" t="s">
        <v>2909</v>
      </c>
      <c r="AR209" s="14" t="s">
        <v>1932</v>
      </c>
    </row>
    <row r="210" spans="1:44" s="18" customFormat="1" x14ac:dyDescent="0.2">
      <c r="A210" s="18" t="s">
        <v>3365</v>
      </c>
      <c r="C210" s="40" t="s">
        <v>1651</v>
      </c>
      <c r="D210" s="1" t="s">
        <v>1550</v>
      </c>
      <c r="E210" s="119" t="s">
        <v>3484</v>
      </c>
      <c r="F210" s="18" t="s">
        <v>484</v>
      </c>
      <c r="G210" s="18" t="s">
        <v>2520</v>
      </c>
      <c r="H210" s="3" t="s">
        <v>1727</v>
      </c>
      <c r="K210" s="37" t="s">
        <v>3463</v>
      </c>
      <c r="L210" s="36" t="s">
        <v>977</v>
      </c>
      <c r="M210" s="514"/>
      <c r="N210" s="514">
        <f>IF($C210="","",VLOOKUP($C210,'2017 Pricelist'!$C:$I,7,FALSE))</f>
        <v>59.99</v>
      </c>
      <c r="O210" s="35">
        <v>1</v>
      </c>
      <c r="P210" s="239">
        <v>10</v>
      </c>
      <c r="Q210" s="44">
        <f>CONVERT(0.145,"kg","lbm")</f>
        <v>0.31967028016807247</v>
      </c>
      <c r="R210" s="441">
        <f>CONVERT(360,"mm","in")</f>
        <v>14.173228346456694</v>
      </c>
      <c r="S210" s="441">
        <f>CONVERT(215,"mm","in")</f>
        <v>8.4645669291338574</v>
      </c>
      <c r="T210" s="442">
        <v>2.5</v>
      </c>
      <c r="U210" s="44">
        <v>0.31967028016807247</v>
      </c>
      <c r="V210" s="33">
        <v>13.75</v>
      </c>
      <c r="W210" s="33">
        <v>1.5</v>
      </c>
      <c r="X210" s="70">
        <v>1</v>
      </c>
      <c r="Y210" s="90" t="s">
        <v>259</v>
      </c>
      <c r="Z210" s="89" t="s">
        <v>259</v>
      </c>
      <c r="AA210" s="89" t="s">
        <v>259</v>
      </c>
      <c r="AB210" s="249" t="s">
        <v>259</v>
      </c>
      <c r="AC210" s="44">
        <v>3.3</v>
      </c>
      <c r="AD210" s="33">
        <v>15</v>
      </c>
      <c r="AE210" s="33">
        <v>5.5</v>
      </c>
      <c r="AF210" s="70">
        <v>2</v>
      </c>
      <c r="AG210" s="44">
        <f t="shared" si="22"/>
        <v>9.5486111111111105E-2</v>
      </c>
      <c r="AH210" s="460" t="s">
        <v>1699</v>
      </c>
      <c r="AI210" s="461" t="s">
        <v>1830</v>
      </c>
      <c r="AJ210" s="460" t="s">
        <v>1831</v>
      </c>
      <c r="AK210" s="140"/>
      <c r="AL210" s="460"/>
      <c r="AM210" s="460"/>
      <c r="AN210" s="460"/>
      <c r="AO210" s="460"/>
      <c r="AP210" s="460"/>
      <c r="AQ210" s="18" t="s">
        <v>2909</v>
      </c>
      <c r="AR210" s="14" t="s">
        <v>1932</v>
      </c>
    </row>
    <row r="211" spans="1:44" s="14" customFormat="1" x14ac:dyDescent="0.2">
      <c r="A211" s="18" t="s">
        <v>3365</v>
      </c>
      <c r="B211" s="18"/>
      <c r="C211" s="40" t="s">
        <v>1666</v>
      </c>
      <c r="D211" s="1" t="s">
        <v>1550</v>
      </c>
      <c r="E211" s="40" t="s">
        <v>1671</v>
      </c>
      <c r="F211" s="18" t="s">
        <v>484</v>
      </c>
      <c r="G211" s="18" t="s">
        <v>2520</v>
      </c>
      <c r="H211" s="3" t="s">
        <v>1735</v>
      </c>
      <c r="I211" s="18"/>
      <c r="J211" s="18"/>
      <c r="K211" s="37" t="s">
        <v>3463</v>
      </c>
      <c r="L211" s="36" t="s">
        <v>977</v>
      </c>
      <c r="M211" s="514"/>
      <c r="N211" s="514">
        <f>IF($C211="","",VLOOKUP($C211,'2017 Pricelist'!$C:$I,7,FALSE))</f>
        <v>59.99</v>
      </c>
      <c r="O211" s="35">
        <v>1</v>
      </c>
      <c r="P211" s="239">
        <v>10</v>
      </c>
      <c r="Q211" s="44">
        <f>CONVERT(0.236,"kg","lbm")</f>
        <v>0.52029093875631105</v>
      </c>
      <c r="R211" s="441">
        <f>CONVERT(399,"mm","in")</f>
        <v>15.708661417322835</v>
      </c>
      <c r="S211" s="441">
        <f>CONVERT(250,"mm","in")</f>
        <v>9.8425196850393704</v>
      </c>
      <c r="T211" s="442">
        <v>2.5</v>
      </c>
      <c r="U211" s="44">
        <v>0.52029093875631105</v>
      </c>
      <c r="V211" s="33">
        <v>15.5</v>
      </c>
      <c r="W211" s="33">
        <v>2</v>
      </c>
      <c r="X211" s="70">
        <v>1</v>
      </c>
      <c r="Y211" s="90" t="s">
        <v>259</v>
      </c>
      <c r="Z211" s="89" t="s">
        <v>259</v>
      </c>
      <c r="AA211" s="89" t="s">
        <v>259</v>
      </c>
      <c r="AB211" s="249" t="s">
        <v>259</v>
      </c>
      <c r="AC211" s="44">
        <v>5.45</v>
      </c>
      <c r="AD211" s="33">
        <v>18.5</v>
      </c>
      <c r="AE211" s="33">
        <v>6.5</v>
      </c>
      <c r="AF211" s="70">
        <v>2.5</v>
      </c>
      <c r="AG211" s="42">
        <f>AD211*AE211*AF211/(12^3)</f>
        <v>0.17397280092592593</v>
      </c>
      <c r="AH211" s="460" t="s">
        <v>1813</v>
      </c>
      <c r="AI211" s="461" t="s">
        <v>1814</v>
      </c>
      <c r="AJ211" s="460" t="s">
        <v>1815</v>
      </c>
      <c r="AK211" s="140" t="s">
        <v>1694</v>
      </c>
      <c r="AL211" s="460"/>
      <c r="AM211" s="460"/>
      <c r="AN211" s="460"/>
      <c r="AO211" s="460"/>
      <c r="AP211" s="460"/>
      <c r="AQ211" s="18" t="s">
        <v>2909</v>
      </c>
      <c r="AR211" s="14" t="s">
        <v>1932</v>
      </c>
    </row>
    <row r="212" spans="1:44" s="14" customFormat="1" x14ac:dyDescent="0.2">
      <c r="A212" s="18" t="s">
        <v>3365</v>
      </c>
      <c r="B212" s="18"/>
      <c r="C212" s="119" t="s">
        <v>2061</v>
      </c>
      <c r="D212" s="1" t="s">
        <v>1550</v>
      </c>
      <c r="E212" s="119" t="s">
        <v>3485</v>
      </c>
      <c r="F212" s="18" t="s">
        <v>484</v>
      </c>
      <c r="G212" s="18" t="s">
        <v>2520</v>
      </c>
      <c r="H212" s="445">
        <v>7391846007272</v>
      </c>
      <c r="I212" s="18"/>
      <c r="J212" s="18"/>
      <c r="K212" s="37" t="s">
        <v>3463</v>
      </c>
      <c r="L212" s="36" t="s">
        <v>977</v>
      </c>
      <c r="M212" s="514"/>
      <c r="N212" s="514">
        <f>IF($C212="","",VLOOKUP($C212,'2017 Pricelist'!$C:$I,7,FALSE))</f>
        <v>64.990000000000009</v>
      </c>
      <c r="O212" s="35">
        <v>1</v>
      </c>
      <c r="P212" s="239">
        <v>10</v>
      </c>
      <c r="Q212" s="44">
        <f>CONVERT(0.243,"kg","lbm")</f>
        <v>0.53572329710925248</v>
      </c>
      <c r="R212" s="441">
        <f>CONVERT(387,"mm","in")</f>
        <v>15.236220472440946</v>
      </c>
      <c r="S212" s="441">
        <f>CONVERT(253,"mm","in")</f>
        <v>9.9606299212598426</v>
      </c>
      <c r="T212" s="442">
        <v>2.5</v>
      </c>
      <c r="U212" s="44" t="s">
        <v>2693</v>
      </c>
      <c r="V212" s="33">
        <v>15.25</v>
      </c>
      <c r="W212" s="33">
        <v>1.75</v>
      </c>
      <c r="X212" s="70">
        <v>0.875</v>
      </c>
      <c r="Y212" s="90" t="s">
        <v>259</v>
      </c>
      <c r="Z212" s="89" t="s">
        <v>259</v>
      </c>
      <c r="AA212" s="89" t="s">
        <v>259</v>
      </c>
      <c r="AB212" s="249" t="s">
        <v>259</v>
      </c>
      <c r="AC212" s="44">
        <v>5.621787685714378</v>
      </c>
      <c r="AD212" s="33">
        <v>18.5</v>
      </c>
      <c r="AE212" s="33">
        <v>6.375</v>
      </c>
      <c r="AF212" s="70">
        <v>2.375</v>
      </c>
      <c r="AG212" s="42">
        <f t="shared" ref="AG212:AG213" si="27">AD212*AE212*AF212/(12^3)</f>
        <v>0.16209581163194445</v>
      </c>
      <c r="AH212" s="460"/>
      <c r="AI212" s="461"/>
      <c r="AJ212" s="460"/>
      <c r="AK212" s="140"/>
      <c r="AL212" s="460"/>
      <c r="AM212" s="460"/>
      <c r="AN212" s="460"/>
      <c r="AO212" s="460"/>
      <c r="AP212" s="460"/>
      <c r="AQ212" s="18" t="s">
        <v>2909</v>
      </c>
      <c r="AR212" s="14" t="s">
        <v>1932</v>
      </c>
    </row>
    <row r="213" spans="1:44" s="14" customFormat="1" x14ac:dyDescent="0.2">
      <c r="A213" s="18" t="s">
        <v>3365</v>
      </c>
      <c r="B213" s="18"/>
      <c r="C213" s="119" t="s">
        <v>2062</v>
      </c>
      <c r="D213" s="1" t="s">
        <v>1550</v>
      </c>
      <c r="E213" s="119" t="s">
        <v>3486</v>
      </c>
      <c r="F213" s="18" t="s">
        <v>484</v>
      </c>
      <c r="G213" s="18" t="s">
        <v>2520</v>
      </c>
      <c r="H213" s="445">
        <v>7391846007289</v>
      </c>
      <c r="I213" s="18"/>
      <c r="J213" s="18"/>
      <c r="K213" s="37" t="s">
        <v>3463</v>
      </c>
      <c r="L213" s="36" t="s">
        <v>977</v>
      </c>
      <c r="M213" s="514"/>
      <c r="N213" s="514">
        <f>IF($C213="","",VLOOKUP($C213,'2017 Pricelist'!$C:$I,7,FALSE))</f>
        <v>74.990000000000009</v>
      </c>
      <c r="O213" s="35">
        <v>1</v>
      </c>
      <c r="P213" s="239">
        <v>10</v>
      </c>
      <c r="Q213" s="44">
        <f>CONVERT(0.298,"kg","lbm")</f>
        <v>0.65697754131093511</v>
      </c>
      <c r="R213" s="441">
        <f>CONVERT(452,"mm","in")</f>
        <v>17.795275590551181</v>
      </c>
      <c r="S213" s="441">
        <f>CONVERT(305,"mm","in")</f>
        <v>12.007874015748031</v>
      </c>
      <c r="T213" s="442">
        <v>2.5</v>
      </c>
      <c r="U213" s="44" t="s">
        <v>2694</v>
      </c>
      <c r="V213" s="33">
        <v>17.5</v>
      </c>
      <c r="W213" s="33">
        <v>2</v>
      </c>
      <c r="X213" s="70">
        <v>0.875</v>
      </c>
      <c r="Y213" s="90" t="s">
        <v>259</v>
      </c>
      <c r="Z213" s="89" t="s">
        <v>259</v>
      </c>
      <c r="AA213" s="89" t="s">
        <v>259</v>
      </c>
      <c r="AB213" s="249" t="s">
        <v>259</v>
      </c>
      <c r="AC213" s="44">
        <v>6.7020527704202779</v>
      </c>
      <c r="AD213" s="33">
        <v>18.5</v>
      </c>
      <c r="AE213" s="33">
        <v>6.375</v>
      </c>
      <c r="AF213" s="70">
        <v>2.375</v>
      </c>
      <c r="AG213" s="42">
        <f t="shared" si="27"/>
        <v>0.16209581163194445</v>
      </c>
      <c r="AH213" s="460"/>
      <c r="AI213" s="461"/>
      <c r="AJ213" s="460"/>
      <c r="AK213" s="140"/>
      <c r="AL213" s="460"/>
      <c r="AM213" s="460"/>
      <c r="AN213" s="460"/>
      <c r="AO213" s="460"/>
      <c r="AP213" s="460"/>
      <c r="AQ213" s="18" t="s">
        <v>2909</v>
      </c>
      <c r="AR213" s="14" t="s">
        <v>1932</v>
      </c>
    </row>
    <row r="214" spans="1:44" s="14" customFormat="1" x14ac:dyDescent="0.2">
      <c r="A214" s="422" t="s">
        <v>3350</v>
      </c>
      <c r="B214" s="425"/>
      <c r="C214" s="422"/>
      <c r="D214" s="423"/>
      <c r="E214" s="22"/>
      <c r="F214" s="19"/>
      <c r="H214" s="18"/>
      <c r="I214" s="28"/>
      <c r="J214" s="28"/>
      <c r="K214" s="29"/>
      <c r="L214" s="29"/>
      <c r="M214" s="514"/>
      <c r="N214" s="514" t="str">
        <f>IF($C214="","",VLOOKUP($C214,'2017 Pricelist'!$C:$I,7,FALSE))</f>
        <v/>
      </c>
      <c r="O214" s="17"/>
      <c r="P214" s="74"/>
      <c r="Q214" s="44"/>
      <c r="R214" s="33"/>
      <c r="S214" s="33"/>
      <c r="T214" s="70"/>
      <c r="U214" s="42"/>
      <c r="V214" s="15"/>
      <c r="W214" s="15"/>
      <c r="X214" s="43"/>
      <c r="Y214" s="42"/>
      <c r="Z214" s="15"/>
      <c r="AA214" s="15"/>
      <c r="AB214" s="43"/>
      <c r="AC214" s="42"/>
      <c r="AD214" s="15"/>
      <c r="AE214" s="15"/>
      <c r="AF214" s="43"/>
      <c r="AG214" s="44"/>
      <c r="AH214" s="20"/>
      <c r="AI214" s="20"/>
      <c r="AJ214" s="20"/>
      <c r="AK214" s="20"/>
      <c r="AL214" s="20"/>
      <c r="AM214" s="20"/>
      <c r="AN214" s="20"/>
      <c r="AO214" s="20"/>
      <c r="AP214" s="20"/>
      <c r="AR214" s="21"/>
    </row>
    <row r="215" spans="1:44" s="14" customFormat="1" x14ac:dyDescent="0.2">
      <c r="A215" s="18" t="s">
        <v>3365</v>
      </c>
      <c r="B215" s="18"/>
      <c r="C215" s="40" t="s">
        <v>1662</v>
      </c>
      <c r="D215" s="1" t="s">
        <v>1550</v>
      </c>
      <c r="E215" s="40" t="s">
        <v>1667</v>
      </c>
      <c r="F215" s="18" t="s">
        <v>484</v>
      </c>
      <c r="G215" s="18" t="s">
        <v>2520</v>
      </c>
      <c r="H215" s="3" t="s">
        <v>1731</v>
      </c>
      <c r="I215" s="18"/>
      <c r="J215" s="18"/>
      <c r="K215" s="37" t="s">
        <v>3463</v>
      </c>
      <c r="L215" s="36" t="s">
        <v>977</v>
      </c>
      <c r="M215" s="514"/>
      <c r="N215" s="514">
        <f>IF($C215="","",VLOOKUP($C215,'2017 Pricelist'!$C:$I,7,FALSE))</f>
        <v>69.990000000000009</v>
      </c>
      <c r="O215" s="35">
        <v>1</v>
      </c>
      <c r="P215" s="239">
        <v>10</v>
      </c>
      <c r="Q215" s="44">
        <f>CONVERT(0.185,"kg","lbm")</f>
        <v>0.4078551850420235</v>
      </c>
      <c r="R215" s="33" t="s">
        <v>3464</v>
      </c>
      <c r="S215" s="441">
        <f>CONVERT(216,"mm","in")</f>
        <v>8.5039370078740166</v>
      </c>
      <c r="T215" s="442">
        <v>2.5</v>
      </c>
      <c r="U215" s="44">
        <v>0.4078551850420235</v>
      </c>
      <c r="V215" s="33">
        <v>13.5</v>
      </c>
      <c r="W215" s="33">
        <v>2</v>
      </c>
      <c r="X215" s="70">
        <v>1</v>
      </c>
      <c r="Y215" s="90" t="s">
        <v>259</v>
      </c>
      <c r="Z215" s="89" t="s">
        <v>259</v>
      </c>
      <c r="AA215" s="89" t="s">
        <v>259</v>
      </c>
      <c r="AB215" s="249" t="s">
        <v>259</v>
      </c>
      <c r="AC215" s="44">
        <v>4.125</v>
      </c>
      <c r="AD215" s="33">
        <v>18</v>
      </c>
      <c r="AE215" s="33">
        <v>6.5</v>
      </c>
      <c r="AF215" s="70">
        <v>2.5</v>
      </c>
      <c r="AG215" s="42">
        <f>AD215*AE215*AF215/(12^3)</f>
        <v>0.16927083333333334</v>
      </c>
      <c r="AH215" s="460" t="s">
        <v>1700</v>
      </c>
      <c r="AI215" s="461" t="s">
        <v>1812</v>
      </c>
      <c r="AJ215" s="460" t="s">
        <v>1738</v>
      </c>
      <c r="AK215" s="140" t="s">
        <v>1694</v>
      </c>
      <c r="AL215" s="460"/>
      <c r="AM215" s="460"/>
      <c r="AN215" s="460"/>
      <c r="AO215" s="460"/>
      <c r="AP215" s="460"/>
      <c r="AQ215" s="18" t="s">
        <v>2909</v>
      </c>
      <c r="AR215" s="14" t="s">
        <v>1932</v>
      </c>
    </row>
    <row r="216" spans="1:44" s="14" customFormat="1" x14ac:dyDescent="0.2">
      <c r="A216" s="18" t="s">
        <v>3365</v>
      </c>
      <c r="B216" s="18"/>
      <c r="C216" s="40" t="s">
        <v>1663</v>
      </c>
      <c r="D216" s="1" t="s">
        <v>1550</v>
      </c>
      <c r="E216" s="40" t="s">
        <v>1668</v>
      </c>
      <c r="F216" s="18" t="s">
        <v>484</v>
      </c>
      <c r="G216" s="18" t="s">
        <v>2520</v>
      </c>
      <c r="H216" s="3" t="s">
        <v>1732</v>
      </c>
      <c r="I216" s="18"/>
      <c r="J216" s="18"/>
      <c r="K216" s="37" t="s">
        <v>3463</v>
      </c>
      <c r="L216" s="36" t="s">
        <v>977</v>
      </c>
      <c r="M216" s="514"/>
      <c r="N216" s="514">
        <f>IF($C216="","",VLOOKUP($C216,'2017 Pricelist'!$C:$I,7,FALSE))</f>
        <v>59.99</v>
      </c>
      <c r="O216" s="35">
        <v>1</v>
      </c>
      <c r="P216" s="239">
        <v>10</v>
      </c>
      <c r="Q216" s="44">
        <f>CONVERT(0.146,"kg","lbm")</f>
        <v>0.32187490278992126</v>
      </c>
      <c r="R216" s="33" t="s">
        <v>3464</v>
      </c>
      <c r="S216" s="441">
        <f>CONVERT(214,"mm","in")</f>
        <v>8.4251968503937</v>
      </c>
      <c r="T216" s="442">
        <v>2.5</v>
      </c>
      <c r="U216" s="44">
        <v>0.32187490278992126</v>
      </c>
      <c r="V216" s="33">
        <v>13.5</v>
      </c>
      <c r="W216" s="33">
        <v>1.75</v>
      </c>
      <c r="X216" s="70">
        <v>1</v>
      </c>
      <c r="Y216" s="90" t="s">
        <v>259</v>
      </c>
      <c r="Z216" s="89" t="s">
        <v>259</v>
      </c>
      <c r="AA216" s="89" t="s">
        <v>259</v>
      </c>
      <c r="AB216" s="249" t="s">
        <v>259</v>
      </c>
      <c r="AC216" s="44">
        <v>3.12</v>
      </c>
      <c r="AD216" s="33">
        <v>15</v>
      </c>
      <c r="AE216" s="33">
        <v>5.5</v>
      </c>
      <c r="AF216" s="70">
        <v>2</v>
      </c>
      <c r="AG216" s="42">
        <f>AD216*AE216*AF216/(12^3)</f>
        <v>9.5486111111111105E-2</v>
      </c>
      <c r="AH216" s="460" t="s">
        <v>1700</v>
      </c>
      <c r="AI216" s="461" t="s">
        <v>1812</v>
      </c>
      <c r="AJ216" s="460" t="s">
        <v>1738</v>
      </c>
      <c r="AK216" s="140" t="s">
        <v>1694</v>
      </c>
      <c r="AL216" s="460"/>
      <c r="AM216" s="460"/>
      <c r="AN216" s="460"/>
      <c r="AO216" s="460"/>
      <c r="AP216" s="460"/>
      <c r="AQ216" s="18" t="s">
        <v>2909</v>
      </c>
      <c r="AR216" s="14" t="s">
        <v>1932</v>
      </c>
    </row>
    <row r="217" spans="1:44" s="14" customFormat="1" x14ac:dyDescent="0.2">
      <c r="A217" s="18" t="s">
        <v>3365</v>
      </c>
      <c r="B217" s="18"/>
      <c r="C217" s="40" t="s">
        <v>1665</v>
      </c>
      <c r="D217" s="1" t="s">
        <v>1550</v>
      </c>
      <c r="E217" s="40" t="s">
        <v>1670</v>
      </c>
      <c r="F217" s="18" t="s">
        <v>484</v>
      </c>
      <c r="G217" s="18" t="s">
        <v>2520</v>
      </c>
      <c r="H217" s="3" t="s">
        <v>1734</v>
      </c>
      <c r="I217" s="18"/>
      <c r="J217" s="18"/>
      <c r="K217" s="37" t="s">
        <v>3463</v>
      </c>
      <c r="L217" s="36" t="s">
        <v>977</v>
      </c>
      <c r="M217" s="514"/>
      <c r="N217" s="514">
        <f>IF($C217="","",VLOOKUP($C217,'2017 Pricelist'!$C:$I,7,FALSE))</f>
        <v>24.990000000000002</v>
      </c>
      <c r="O217" s="35">
        <v>1</v>
      </c>
      <c r="P217" s="239">
        <v>10</v>
      </c>
      <c r="Q217" s="44">
        <f>CONVERT(0.062,"kg","lbm")</f>
        <v>0.13668660255462411</v>
      </c>
      <c r="R217" s="441">
        <f>CONVERT(237,"mm","in")</f>
        <v>9.3307086614173222</v>
      </c>
      <c r="S217" s="441">
        <f>CONVERT(118,"mm","in")</f>
        <v>4.6456692913385824</v>
      </c>
      <c r="T217" s="442">
        <v>1.6</v>
      </c>
      <c r="U217" s="44">
        <v>0.13668660255462409</v>
      </c>
      <c r="V217" s="33">
        <v>9.5</v>
      </c>
      <c r="W217" s="33">
        <v>1</v>
      </c>
      <c r="X217" s="70">
        <v>1</v>
      </c>
      <c r="Y217" s="90" t="s">
        <v>259</v>
      </c>
      <c r="Z217" s="89" t="s">
        <v>259</v>
      </c>
      <c r="AA217" s="89" t="s">
        <v>259</v>
      </c>
      <c r="AB217" s="249" t="s">
        <v>259</v>
      </c>
      <c r="AC217" s="44">
        <v>2</v>
      </c>
      <c r="AD217" s="33">
        <v>12</v>
      </c>
      <c r="AE217" s="33">
        <v>4</v>
      </c>
      <c r="AF217" s="70">
        <v>2</v>
      </c>
      <c r="AG217" s="42">
        <f>AD217*AE217*AF217/(12^3)</f>
        <v>5.5555555555555552E-2</v>
      </c>
      <c r="AH217" s="460" t="s">
        <v>1811</v>
      </c>
      <c r="AI217" s="461" t="s">
        <v>1681</v>
      </c>
      <c r="AJ217" s="460" t="s">
        <v>1816</v>
      </c>
      <c r="AK217" s="140" t="s">
        <v>1694</v>
      </c>
      <c r="AL217" s="460"/>
      <c r="AM217" s="460"/>
      <c r="AN217" s="460"/>
      <c r="AO217" s="460"/>
      <c r="AP217" s="460"/>
      <c r="AQ217" s="18" t="s">
        <v>2909</v>
      </c>
      <c r="AR217" s="14" t="s">
        <v>1932</v>
      </c>
    </row>
    <row r="218" spans="1:44" s="14" customFormat="1" x14ac:dyDescent="0.2">
      <c r="A218" s="18" t="s">
        <v>3365</v>
      </c>
      <c r="B218" s="18"/>
      <c r="C218" s="40" t="s">
        <v>1664</v>
      </c>
      <c r="D218" s="1" t="s">
        <v>1550</v>
      </c>
      <c r="E218" s="40" t="s">
        <v>1669</v>
      </c>
      <c r="F218" s="18" t="s">
        <v>484</v>
      </c>
      <c r="G218" s="18" t="s">
        <v>2520</v>
      </c>
      <c r="H218" s="3" t="s">
        <v>1733</v>
      </c>
      <c r="I218" s="18"/>
      <c r="J218" s="18"/>
      <c r="K218" s="37" t="s">
        <v>3463</v>
      </c>
      <c r="L218" s="36" t="s">
        <v>977</v>
      </c>
      <c r="M218" s="514"/>
      <c r="N218" s="514">
        <f>IF($C218="","",VLOOKUP($C218,'2017 Pricelist'!$C:$I,7,FALSE))</f>
        <v>24.990000000000002</v>
      </c>
      <c r="O218" s="35">
        <v>1</v>
      </c>
      <c r="P218" s="239">
        <v>10</v>
      </c>
      <c r="Q218" s="44">
        <f>CONVERT(0.065,"kg","lbm")</f>
        <v>0.14330047042017041</v>
      </c>
      <c r="R218" s="441">
        <f>CONVERT(205,"mm","in")</f>
        <v>8.0708661417322833</v>
      </c>
      <c r="S218" s="441">
        <f>CONVERT(85,"mm","in")</f>
        <v>3.3464566929133857</v>
      </c>
      <c r="T218" s="442">
        <v>2</v>
      </c>
      <c r="U218" s="44">
        <v>0.14330047042017041</v>
      </c>
      <c r="V218" s="33">
        <v>8</v>
      </c>
      <c r="W218" s="33">
        <v>1</v>
      </c>
      <c r="X218" s="70">
        <v>1</v>
      </c>
      <c r="Y218" s="90" t="s">
        <v>259</v>
      </c>
      <c r="Z218" s="89" t="s">
        <v>259</v>
      </c>
      <c r="AA218" s="89" t="s">
        <v>259</v>
      </c>
      <c r="AB218" s="249" t="s">
        <v>259</v>
      </c>
      <c r="AC218" s="44">
        <v>1.4</v>
      </c>
      <c r="AD218" s="33">
        <v>12</v>
      </c>
      <c r="AE218" s="33">
        <v>4</v>
      </c>
      <c r="AF218" s="70">
        <v>2</v>
      </c>
      <c r="AG218" s="42">
        <f>AD218*AE218*AF218/(12^3)</f>
        <v>5.5555555555555552E-2</v>
      </c>
      <c r="AH218" s="460" t="s">
        <v>1811</v>
      </c>
      <c r="AI218" s="461" t="s">
        <v>1738</v>
      </c>
      <c r="AJ218" s="460" t="s">
        <v>1817</v>
      </c>
      <c r="AK218" s="140" t="s">
        <v>1694</v>
      </c>
      <c r="AL218" s="460"/>
      <c r="AM218" s="460"/>
      <c r="AN218" s="460"/>
      <c r="AO218" s="460"/>
      <c r="AP218" s="460"/>
      <c r="AQ218" s="18" t="s">
        <v>2909</v>
      </c>
      <c r="AR218" s="14" t="s">
        <v>1932</v>
      </c>
    </row>
    <row r="219" spans="1:44" s="14" customFormat="1" x14ac:dyDescent="0.2">
      <c r="A219" s="422" t="s">
        <v>1675</v>
      </c>
      <c r="B219" s="425"/>
      <c r="C219" s="422"/>
      <c r="D219" s="423"/>
      <c r="E219" s="22"/>
      <c r="F219" s="19"/>
      <c r="H219" s="18"/>
      <c r="I219" s="28"/>
      <c r="J219" s="28"/>
      <c r="K219" s="29"/>
      <c r="L219" s="29"/>
      <c r="M219" s="514"/>
      <c r="N219" s="514" t="str">
        <f>IF($C219="","",VLOOKUP($C219,'2017 Pricelist'!$C:$I,7,FALSE))</f>
        <v/>
      </c>
      <c r="O219" s="17"/>
      <c r="P219" s="74"/>
      <c r="Q219" s="44"/>
      <c r="R219" s="33"/>
      <c r="S219" s="33"/>
      <c r="T219" s="70"/>
      <c r="U219" s="42"/>
      <c r="V219" s="33"/>
      <c r="W219" s="33"/>
      <c r="X219" s="70"/>
      <c r="Y219" s="42"/>
      <c r="Z219" s="15"/>
      <c r="AA219" s="15"/>
      <c r="AB219" s="43"/>
      <c r="AC219" s="42"/>
      <c r="AD219" s="15"/>
      <c r="AE219" s="15"/>
      <c r="AF219" s="43"/>
      <c r="AG219" s="44"/>
      <c r="AH219" s="20"/>
      <c r="AI219" s="20"/>
      <c r="AJ219" s="20"/>
      <c r="AK219" s="20"/>
      <c r="AL219" s="20"/>
      <c r="AM219" s="20"/>
      <c r="AN219" s="20"/>
      <c r="AO219" s="20"/>
      <c r="AP219" s="20"/>
      <c r="AR219" s="21"/>
    </row>
    <row r="220" spans="1:44" s="14" customFormat="1" x14ac:dyDescent="0.2">
      <c r="A220" s="18" t="s">
        <v>3365</v>
      </c>
      <c r="B220" s="18"/>
      <c r="C220" s="1" t="s">
        <v>1676</v>
      </c>
      <c r="D220" s="1" t="s">
        <v>1494</v>
      </c>
      <c r="E220" s="1" t="s">
        <v>3487</v>
      </c>
      <c r="F220" s="18" t="s">
        <v>222</v>
      </c>
      <c r="G220" s="18" t="s">
        <v>2520</v>
      </c>
      <c r="H220" s="3" t="s">
        <v>1912</v>
      </c>
      <c r="I220" s="18"/>
      <c r="J220" s="18"/>
      <c r="K220" s="37" t="s">
        <v>1299</v>
      </c>
      <c r="L220" s="36" t="s">
        <v>977</v>
      </c>
      <c r="M220" s="514"/>
      <c r="N220" s="514">
        <f>IF($C220="","",VLOOKUP($C220,'2017 Pricelist'!$C:$I,7,FALSE))</f>
        <v>24.990000000000002</v>
      </c>
      <c r="O220" s="35">
        <v>1</v>
      </c>
      <c r="P220" s="239">
        <v>10</v>
      </c>
      <c r="Q220" s="44">
        <f>CONVERT(0.172,"kg","lbm")</f>
        <v>0.37919509095798937</v>
      </c>
      <c r="R220" s="33" t="s">
        <v>3473</v>
      </c>
      <c r="S220" s="441">
        <f>CONVERT(137,"mm","in")</f>
        <v>5.3937007874015741</v>
      </c>
      <c r="T220" s="442">
        <v>2</v>
      </c>
      <c r="U220" s="44">
        <v>0.37919509095798942</v>
      </c>
      <c r="V220" s="33">
        <v>11</v>
      </c>
      <c r="W220" s="33">
        <v>1.5</v>
      </c>
      <c r="X220" s="70">
        <v>0.5</v>
      </c>
      <c r="Y220" s="90" t="s">
        <v>259</v>
      </c>
      <c r="Z220" s="89" t="s">
        <v>259</v>
      </c>
      <c r="AA220" s="89" t="s">
        <v>259</v>
      </c>
      <c r="AB220" s="249" t="s">
        <v>259</v>
      </c>
      <c r="AC220" s="44">
        <v>3</v>
      </c>
      <c r="AD220" s="33">
        <v>12</v>
      </c>
      <c r="AE220" s="33">
        <v>4</v>
      </c>
      <c r="AF220" s="70">
        <v>2</v>
      </c>
      <c r="AG220" s="42">
        <f>AD220*AE220*AF220/(12^3)</f>
        <v>5.5555555555555552E-2</v>
      </c>
      <c r="AH220" s="460" t="s">
        <v>1679</v>
      </c>
      <c r="AI220" s="460" t="s">
        <v>1684</v>
      </c>
      <c r="AJ220" s="460" t="s">
        <v>1681</v>
      </c>
      <c r="AK220" s="140" t="s">
        <v>1685</v>
      </c>
      <c r="AL220" s="460" t="s">
        <v>1682</v>
      </c>
      <c r="AM220" s="460"/>
      <c r="AN220" s="460"/>
      <c r="AO220" s="460"/>
      <c r="AP220" s="462" t="s">
        <v>1911</v>
      </c>
      <c r="AQ220" s="18" t="s">
        <v>2909</v>
      </c>
      <c r="AR220" s="14" t="s">
        <v>1932</v>
      </c>
    </row>
    <row r="221" spans="1:44" s="14" customFormat="1" x14ac:dyDescent="0.2">
      <c r="A221" s="18" t="s">
        <v>3365</v>
      </c>
      <c r="B221" s="18"/>
      <c r="C221" s="40" t="s">
        <v>1991</v>
      </c>
      <c r="D221" s="1" t="s">
        <v>1550</v>
      </c>
      <c r="E221" s="40" t="s">
        <v>1995</v>
      </c>
      <c r="F221" s="18" t="s">
        <v>3386</v>
      </c>
      <c r="G221" s="18" t="s">
        <v>2520</v>
      </c>
      <c r="H221" s="55" t="s">
        <v>1999</v>
      </c>
      <c r="I221" s="18"/>
      <c r="J221" s="18"/>
      <c r="K221" s="37" t="s">
        <v>1299</v>
      </c>
      <c r="L221" s="36" t="s">
        <v>977</v>
      </c>
      <c r="M221" s="514"/>
      <c r="N221" s="514">
        <f>IF($C221="","",VLOOKUP($C221,'2017 Pricelist'!$C:$I,7,FALSE))</f>
        <v>22.99</v>
      </c>
      <c r="O221" s="35">
        <v>1</v>
      </c>
      <c r="P221" s="239">
        <v>10</v>
      </c>
      <c r="Q221" s="44">
        <f>CONVERT(0.08,"kg","lbm")</f>
        <v>0.17636980974790206</v>
      </c>
      <c r="R221" s="33" t="s">
        <v>3464</v>
      </c>
      <c r="S221" s="441">
        <f>CONVERT(71,"mm","in")</f>
        <v>2.7952755905511815</v>
      </c>
      <c r="T221" s="442" t="s">
        <v>259</v>
      </c>
      <c r="U221" s="44">
        <v>0.17636980974790206</v>
      </c>
      <c r="V221" s="121"/>
      <c r="W221" s="121"/>
      <c r="X221" s="122"/>
      <c r="Y221" s="90" t="s">
        <v>259</v>
      </c>
      <c r="Z221" s="89" t="s">
        <v>259</v>
      </c>
      <c r="AA221" s="89" t="s">
        <v>259</v>
      </c>
      <c r="AB221" s="249" t="s">
        <v>259</v>
      </c>
      <c r="AC221" s="120"/>
      <c r="AD221" s="121"/>
      <c r="AE221" s="121"/>
      <c r="AF221" s="122"/>
      <c r="AG221" s="42"/>
      <c r="AH221" s="460"/>
      <c r="AI221" s="460"/>
      <c r="AJ221" s="140"/>
      <c r="AK221" s="140"/>
      <c r="AL221" s="460"/>
      <c r="AM221" s="460"/>
      <c r="AN221" s="460"/>
      <c r="AO221" s="460"/>
      <c r="AP221" s="460"/>
      <c r="AQ221" s="18" t="s">
        <v>2909</v>
      </c>
      <c r="AR221" s="14" t="s">
        <v>1932</v>
      </c>
    </row>
    <row r="222" spans="1:44" s="14" customFormat="1" x14ac:dyDescent="0.2">
      <c r="A222" s="18" t="s">
        <v>3365</v>
      </c>
      <c r="B222" s="18"/>
      <c r="C222" s="40" t="s">
        <v>1992</v>
      </c>
      <c r="D222" s="1" t="s">
        <v>1550</v>
      </c>
      <c r="E222" s="40" t="s">
        <v>1996</v>
      </c>
      <c r="F222" s="18" t="s">
        <v>3386</v>
      </c>
      <c r="G222" s="18" t="s">
        <v>2520</v>
      </c>
      <c r="H222" s="55" t="s">
        <v>2000</v>
      </c>
      <c r="I222" s="18"/>
      <c r="J222" s="18"/>
      <c r="K222" s="37" t="s">
        <v>1299</v>
      </c>
      <c r="L222" s="36" t="s">
        <v>977</v>
      </c>
      <c r="M222" s="514"/>
      <c r="N222" s="514">
        <f>IF($C222="","",VLOOKUP($C222,'2017 Pricelist'!$C:$I,7,FALSE))</f>
        <v>22.99</v>
      </c>
      <c r="O222" s="35">
        <v>1</v>
      </c>
      <c r="P222" s="239">
        <v>10</v>
      </c>
      <c r="Q222" s="44">
        <f>CONVERT(0.079,"kg","lbm")</f>
        <v>0.17416518712605328</v>
      </c>
      <c r="R222" s="33" t="s">
        <v>3464</v>
      </c>
      <c r="S222" s="441">
        <f>CONVERT(71,"mm","in")</f>
        <v>2.7952755905511815</v>
      </c>
      <c r="T222" s="442" t="s">
        <v>259</v>
      </c>
      <c r="U222" s="44">
        <v>0.17416518712605328</v>
      </c>
      <c r="V222" s="121"/>
      <c r="W222" s="121"/>
      <c r="X222" s="122"/>
      <c r="Y222" s="90" t="s">
        <v>259</v>
      </c>
      <c r="Z222" s="89" t="s">
        <v>259</v>
      </c>
      <c r="AA222" s="89" t="s">
        <v>259</v>
      </c>
      <c r="AB222" s="249" t="s">
        <v>259</v>
      </c>
      <c r="AC222" s="120"/>
      <c r="AD222" s="121"/>
      <c r="AE222" s="121"/>
      <c r="AF222" s="122"/>
      <c r="AG222" s="42"/>
      <c r="AH222" s="460"/>
      <c r="AI222" s="460"/>
      <c r="AJ222" s="140"/>
      <c r="AK222" s="140"/>
      <c r="AL222" s="460"/>
      <c r="AM222" s="460"/>
      <c r="AN222" s="460"/>
      <c r="AO222" s="460"/>
      <c r="AP222" s="460"/>
      <c r="AQ222" s="18" t="s">
        <v>2909</v>
      </c>
      <c r="AR222" s="14" t="s">
        <v>1932</v>
      </c>
    </row>
    <row r="223" spans="1:44" s="14" customFormat="1" x14ac:dyDescent="0.2">
      <c r="A223" s="18" t="s">
        <v>3365</v>
      </c>
      <c r="B223" s="18"/>
      <c r="C223" s="40" t="s">
        <v>1993</v>
      </c>
      <c r="D223" s="1" t="s">
        <v>1550</v>
      </c>
      <c r="E223" s="40" t="s">
        <v>1997</v>
      </c>
      <c r="F223" s="18" t="s">
        <v>3386</v>
      </c>
      <c r="G223" s="18" t="s">
        <v>2520</v>
      </c>
      <c r="H223" s="55" t="s">
        <v>2001</v>
      </c>
      <c r="I223" s="18"/>
      <c r="J223" s="18"/>
      <c r="K223" s="37" t="s">
        <v>1299</v>
      </c>
      <c r="L223" s="36" t="s">
        <v>977</v>
      </c>
      <c r="M223" s="514"/>
      <c r="N223" s="514">
        <f>IF($C223="","",VLOOKUP($C223,'2017 Pricelist'!$C:$I,7,FALSE))</f>
        <v>24.990000000000002</v>
      </c>
      <c r="O223" s="35">
        <v>1</v>
      </c>
      <c r="P223" s="239">
        <v>10</v>
      </c>
      <c r="Q223" s="44">
        <f>CONVERT(0.077,"kg","lbm")</f>
        <v>0.16975594188235571</v>
      </c>
      <c r="R223" s="33" t="s">
        <v>3464</v>
      </c>
      <c r="S223" s="441">
        <f>CONVERT(78,"mm","in")</f>
        <v>3.0708661417322833</v>
      </c>
      <c r="T223" s="442" t="s">
        <v>259</v>
      </c>
      <c r="U223" s="44">
        <v>0.16975594188235574</v>
      </c>
      <c r="V223" s="121"/>
      <c r="W223" s="121"/>
      <c r="X223" s="122"/>
      <c r="Y223" s="90" t="s">
        <v>259</v>
      </c>
      <c r="Z223" s="89" t="s">
        <v>259</v>
      </c>
      <c r="AA223" s="89" t="s">
        <v>259</v>
      </c>
      <c r="AB223" s="249" t="s">
        <v>259</v>
      </c>
      <c r="AC223" s="120"/>
      <c r="AD223" s="121"/>
      <c r="AE223" s="121"/>
      <c r="AF223" s="122"/>
      <c r="AG223" s="42"/>
      <c r="AH223" s="460"/>
      <c r="AI223" s="460"/>
      <c r="AJ223" s="140"/>
      <c r="AK223" s="140"/>
      <c r="AL223" s="460"/>
      <c r="AM223" s="460"/>
      <c r="AN223" s="460"/>
      <c r="AO223" s="460"/>
      <c r="AP223" s="460"/>
      <c r="AQ223" s="18" t="s">
        <v>2909</v>
      </c>
      <c r="AR223" s="14" t="s">
        <v>1932</v>
      </c>
    </row>
    <row r="224" spans="1:44" s="14" customFormat="1" x14ac:dyDescent="0.2">
      <c r="A224" s="18" t="s">
        <v>3365</v>
      </c>
      <c r="B224" s="18"/>
      <c r="C224" s="1" t="s">
        <v>1677</v>
      </c>
      <c r="D224" s="1" t="s">
        <v>1550</v>
      </c>
      <c r="E224" s="1" t="s">
        <v>2528</v>
      </c>
      <c r="F224" s="18" t="s">
        <v>3386</v>
      </c>
      <c r="G224" s="18" t="s">
        <v>2520</v>
      </c>
      <c r="H224" s="457">
        <v>7316220019405</v>
      </c>
      <c r="I224" s="18"/>
      <c r="J224" s="18"/>
      <c r="K224" s="37" t="s">
        <v>1299</v>
      </c>
      <c r="L224" s="36" t="s">
        <v>977</v>
      </c>
      <c r="M224" s="514"/>
      <c r="N224" s="514">
        <f>IF($C224="","",VLOOKUP($C224,'2017 Pricelist'!$C:$I,7,FALSE))</f>
        <v>27.990000000000002</v>
      </c>
      <c r="O224" s="35">
        <v>1</v>
      </c>
      <c r="P224" s="239">
        <v>10</v>
      </c>
      <c r="Q224" s="44">
        <f>CONVERT(0.077,"kg","lbm")</f>
        <v>0.16975594188235571</v>
      </c>
      <c r="R224" s="33" t="s">
        <v>3464</v>
      </c>
      <c r="S224" s="441">
        <f>CONVERT(78,"mm","in")</f>
        <v>3.0708661417322833</v>
      </c>
      <c r="T224" s="442" t="s">
        <v>259</v>
      </c>
      <c r="U224" s="44">
        <v>0.16975594188235574</v>
      </c>
      <c r="V224" s="33">
        <v>8</v>
      </c>
      <c r="W224" s="33">
        <v>1.5</v>
      </c>
      <c r="X224" s="70">
        <v>1</v>
      </c>
      <c r="Y224" s="90" t="s">
        <v>259</v>
      </c>
      <c r="Z224" s="89" t="s">
        <v>259</v>
      </c>
      <c r="AA224" s="89" t="s">
        <v>259</v>
      </c>
      <c r="AB224" s="249" t="s">
        <v>259</v>
      </c>
      <c r="AC224" s="44">
        <v>2</v>
      </c>
      <c r="AD224" s="33">
        <v>9</v>
      </c>
      <c r="AE224" s="33">
        <v>4</v>
      </c>
      <c r="AF224" s="70">
        <v>3</v>
      </c>
      <c r="AG224" s="42">
        <f>AD224*AE224*AF224/(12^3)</f>
        <v>6.25E-2</v>
      </c>
      <c r="AH224" s="460" t="s">
        <v>1678</v>
      </c>
      <c r="AI224" s="460" t="s">
        <v>1679</v>
      </c>
      <c r="AJ224" s="140" t="s">
        <v>1680</v>
      </c>
      <c r="AK224" s="140" t="s">
        <v>1681</v>
      </c>
      <c r="AL224" s="460" t="s">
        <v>1686</v>
      </c>
      <c r="AM224" s="460"/>
      <c r="AN224" s="460"/>
      <c r="AO224" s="460"/>
      <c r="AP224" s="460" t="s">
        <v>1683</v>
      </c>
      <c r="AQ224" s="18" t="s">
        <v>2909</v>
      </c>
      <c r="AR224" s="14" t="s">
        <v>1932</v>
      </c>
    </row>
    <row r="225" spans="1:44" s="14" customFormat="1" x14ac:dyDescent="0.2">
      <c r="A225" s="18" t="s">
        <v>3365</v>
      </c>
      <c r="B225" s="18"/>
      <c r="C225" s="40" t="s">
        <v>1994</v>
      </c>
      <c r="D225" s="1" t="s">
        <v>1550</v>
      </c>
      <c r="E225" s="40" t="s">
        <v>1998</v>
      </c>
      <c r="F225" s="18" t="s">
        <v>3386</v>
      </c>
      <c r="G225" s="18" t="s">
        <v>2520</v>
      </c>
      <c r="H225" s="55" t="s">
        <v>2002</v>
      </c>
      <c r="I225" s="18"/>
      <c r="J225" s="18"/>
      <c r="K225" s="37" t="s">
        <v>1299</v>
      </c>
      <c r="L225" s="36" t="s">
        <v>977</v>
      </c>
      <c r="M225" s="514"/>
      <c r="N225" s="514">
        <f>IF($C225="","",VLOOKUP($C225,'2017 Pricelist'!$C:$I,7,FALSE))</f>
        <v>34.99</v>
      </c>
      <c r="O225" s="35">
        <v>1</v>
      </c>
      <c r="P225" s="239">
        <v>10</v>
      </c>
      <c r="Q225" s="44">
        <f>CONVERT(0.079,"kg","lbm")</f>
        <v>0.17416518712605328</v>
      </c>
      <c r="R225" s="33" t="s">
        <v>3464</v>
      </c>
      <c r="S225" s="441">
        <f>CONVERT(78,"mm","in")</f>
        <v>3.0708661417322833</v>
      </c>
      <c r="T225" s="442" t="s">
        <v>259</v>
      </c>
      <c r="U225" s="44">
        <v>0.17416518712605328</v>
      </c>
      <c r="V225" s="121"/>
      <c r="W225" s="121"/>
      <c r="X225" s="122"/>
      <c r="Y225" s="90" t="s">
        <v>259</v>
      </c>
      <c r="Z225" s="89" t="s">
        <v>259</v>
      </c>
      <c r="AA225" s="89" t="s">
        <v>259</v>
      </c>
      <c r="AB225" s="249" t="s">
        <v>259</v>
      </c>
      <c r="AC225" s="120"/>
      <c r="AD225" s="121"/>
      <c r="AE225" s="121"/>
      <c r="AF225" s="122"/>
      <c r="AG225" s="42"/>
      <c r="AH225" s="460"/>
      <c r="AI225" s="460"/>
      <c r="AJ225" s="140"/>
      <c r="AK225" s="140"/>
      <c r="AL225" s="460"/>
      <c r="AM225" s="460"/>
      <c r="AN225" s="460"/>
      <c r="AO225" s="460"/>
      <c r="AP225" s="460"/>
      <c r="AQ225" s="18" t="s">
        <v>2909</v>
      </c>
      <c r="AR225" s="14" t="s">
        <v>1932</v>
      </c>
    </row>
    <row r="226" spans="1:44" x14ac:dyDescent="0.2">
      <c r="J226" s="241"/>
      <c r="P226" s="240"/>
      <c r="Q226" s="44"/>
      <c r="R226" s="33"/>
      <c r="S226" s="33"/>
      <c r="T226" s="70"/>
      <c r="U226" s="438"/>
      <c r="X226" s="240"/>
      <c r="Y226" s="230"/>
      <c r="AB226" s="240"/>
      <c r="AC226" s="438"/>
      <c r="AF226" s="240"/>
      <c r="AG226" s="230"/>
    </row>
    <row r="227" spans="1:44" x14ac:dyDescent="0.2">
      <c r="J227" s="241"/>
      <c r="Q227" s="33"/>
      <c r="R227" s="33"/>
      <c r="S227" s="33"/>
      <c r="T227" s="33"/>
    </row>
    <row r="228" spans="1:44" x14ac:dyDescent="0.2">
      <c r="J228" s="241"/>
      <c r="Q228" s="33"/>
      <c r="R228" s="151"/>
      <c r="S228" s="151"/>
      <c r="T228" s="151"/>
    </row>
    <row r="229" spans="1:44" x14ac:dyDescent="0.2">
      <c r="J229" s="241"/>
      <c r="Q229" s="33"/>
      <c r="R229" s="33"/>
      <c r="S229" s="33"/>
      <c r="T229" s="33"/>
    </row>
    <row r="230" spans="1:44" x14ac:dyDescent="0.2">
      <c r="J230" s="241"/>
      <c r="Q230" s="33"/>
      <c r="R230" s="33"/>
      <c r="S230" s="33"/>
      <c r="T230" s="33"/>
    </row>
    <row r="231" spans="1:44" x14ac:dyDescent="0.2">
      <c r="J231" s="241"/>
      <c r="Q231" s="33"/>
      <c r="R231" s="33"/>
      <c r="S231" s="33"/>
      <c r="T231" s="33"/>
    </row>
    <row r="232" spans="1:44" x14ac:dyDescent="0.2">
      <c r="J232" s="241"/>
      <c r="Q232" s="33"/>
      <c r="R232" s="33"/>
      <c r="S232" s="33"/>
      <c r="T232" s="33"/>
    </row>
    <row r="233" spans="1:44" x14ac:dyDescent="0.2">
      <c r="J233" s="241"/>
      <c r="Q233" s="33"/>
      <c r="R233" s="33"/>
      <c r="S233" s="33"/>
      <c r="T233" s="33"/>
    </row>
    <row r="234" spans="1:44" x14ac:dyDescent="0.2">
      <c r="J234" s="241"/>
      <c r="Q234" s="33"/>
      <c r="R234" s="33"/>
      <c r="S234" s="33"/>
      <c r="T234" s="33"/>
    </row>
    <row r="235" spans="1:44" ht="15.75" x14ac:dyDescent="0.25">
      <c r="J235" s="241"/>
      <c r="Q235" s="271"/>
      <c r="R235" s="155"/>
      <c r="S235" s="155"/>
      <c r="T235" s="155"/>
    </row>
    <row r="236" spans="1:44" x14ac:dyDescent="0.2">
      <c r="J236" s="241"/>
      <c r="Q236" s="33"/>
      <c r="R236" s="33"/>
      <c r="S236" s="33"/>
      <c r="T236" s="33"/>
    </row>
    <row r="237" spans="1:44" x14ac:dyDescent="0.2">
      <c r="J237" s="241"/>
      <c r="Q237" s="33"/>
      <c r="R237" s="33"/>
      <c r="S237" s="33"/>
      <c r="T237" s="33"/>
    </row>
    <row r="238" spans="1:44" x14ac:dyDescent="0.2">
      <c r="J238" s="241"/>
      <c r="Q238" s="33"/>
      <c r="R238" s="33"/>
      <c r="S238" s="33"/>
      <c r="T238" s="33"/>
    </row>
    <row r="239" spans="1:44" x14ac:dyDescent="0.2">
      <c r="J239" s="241"/>
      <c r="Q239" s="33"/>
      <c r="R239" s="33"/>
      <c r="S239" s="33"/>
      <c r="T239" s="33"/>
    </row>
    <row r="240" spans="1:44" x14ac:dyDescent="0.2">
      <c r="J240" s="241"/>
      <c r="Q240" s="33"/>
      <c r="R240" s="33"/>
      <c r="S240" s="33"/>
      <c r="T240" s="33"/>
    </row>
    <row r="241" spans="10:20" x14ac:dyDescent="0.2">
      <c r="J241" s="241"/>
      <c r="Q241" s="33"/>
      <c r="R241" s="33"/>
      <c r="S241" s="33"/>
      <c r="T241" s="33"/>
    </row>
    <row r="242" spans="10:20" x14ac:dyDescent="0.2">
      <c r="J242" s="241"/>
      <c r="Q242" s="33"/>
      <c r="R242" s="33"/>
      <c r="S242" s="33"/>
      <c r="T242" s="33"/>
    </row>
    <row r="243" spans="10:20" x14ac:dyDescent="0.2">
      <c r="J243" s="241"/>
      <c r="Q243" s="33"/>
      <c r="R243" s="33"/>
      <c r="S243" s="33"/>
      <c r="T243" s="33"/>
    </row>
    <row r="244" spans="10:20" ht="15.75" x14ac:dyDescent="0.25">
      <c r="J244" s="241"/>
      <c r="Q244" s="271"/>
      <c r="R244" s="155"/>
      <c r="S244" s="155"/>
      <c r="T244" s="155"/>
    </row>
    <row r="245" spans="10:20" x14ac:dyDescent="0.2">
      <c r="J245" s="241"/>
      <c r="Q245" s="33"/>
      <c r="R245" s="33"/>
      <c r="S245" s="33"/>
      <c r="T245" s="33"/>
    </row>
    <row r="246" spans="10:20" x14ac:dyDescent="0.2">
      <c r="J246" s="241"/>
      <c r="Q246" s="33"/>
      <c r="R246" s="33"/>
      <c r="S246" s="33"/>
      <c r="T246" s="33"/>
    </row>
    <row r="247" spans="10:20" ht="15.75" x14ac:dyDescent="0.25">
      <c r="J247" s="241"/>
      <c r="Q247" s="271"/>
      <c r="R247" s="155"/>
      <c r="S247" s="155"/>
      <c r="T247" s="155"/>
    </row>
    <row r="248" spans="10:20" x14ac:dyDescent="0.2">
      <c r="J248" s="241"/>
      <c r="Q248" s="33"/>
      <c r="R248" s="33"/>
      <c r="S248" s="33"/>
      <c r="T248" s="33"/>
    </row>
    <row r="249" spans="10:20" x14ac:dyDescent="0.2">
      <c r="J249" s="241"/>
      <c r="Q249" s="33"/>
      <c r="R249" s="33"/>
      <c r="S249" s="33"/>
      <c r="T249" s="33"/>
    </row>
    <row r="250" spans="10:20" x14ac:dyDescent="0.2">
      <c r="J250" s="241"/>
      <c r="Q250" s="33"/>
      <c r="R250" s="33"/>
      <c r="S250" s="33"/>
      <c r="T250" s="33"/>
    </row>
    <row r="251" spans="10:20" x14ac:dyDescent="0.2">
      <c r="J251" s="241"/>
      <c r="Q251" s="33"/>
      <c r="R251" s="33"/>
      <c r="S251" s="33"/>
      <c r="T251" s="33"/>
    </row>
    <row r="252" spans="10:20" ht="15.75" x14ac:dyDescent="0.25">
      <c r="J252" s="241"/>
      <c r="Q252" s="271"/>
      <c r="R252" s="155"/>
      <c r="S252" s="155"/>
      <c r="T252" s="155"/>
    </row>
    <row r="253" spans="10:20" x14ac:dyDescent="0.2">
      <c r="J253" s="241"/>
      <c r="Q253" s="33"/>
      <c r="R253" s="33"/>
      <c r="S253" s="33"/>
      <c r="T253" s="33"/>
    </row>
    <row r="254" spans="10:20" x14ac:dyDescent="0.2">
      <c r="J254" s="241"/>
      <c r="Q254" s="33"/>
      <c r="R254" s="33"/>
      <c r="S254" s="33"/>
      <c r="T254" s="33"/>
    </row>
    <row r="255" spans="10:20" x14ac:dyDescent="0.2">
      <c r="J255" s="241"/>
      <c r="Q255" s="33"/>
      <c r="R255" s="33"/>
      <c r="S255" s="33"/>
      <c r="T255" s="33"/>
    </row>
    <row r="256" spans="10:20" x14ac:dyDescent="0.2">
      <c r="J256" s="241"/>
      <c r="Q256" s="33"/>
      <c r="R256" s="33"/>
      <c r="S256" s="33"/>
      <c r="T256" s="33"/>
    </row>
    <row r="257" spans="10:20" x14ac:dyDescent="0.2">
      <c r="J257" s="241"/>
      <c r="Q257" s="33"/>
      <c r="R257" s="33"/>
      <c r="S257" s="33"/>
      <c r="T257" s="33"/>
    </row>
    <row r="258" spans="10:20" x14ac:dyDescent="0.2">
      <c r="J258" s="241"/>
      <c r="Q258" s="33"/>
      <c r="R258" s="33"/>
      <c r="S258" s="33"/>
      <c r="T258" s="33"/>
    </row>
    <row r="259" spans="10:20" x14ac:dyDescent="0.2">
      <c r="J259" s="241"/>
      <c r="Q259" s="33"/>
      <c r="R259" s="33"/>
      <c r="S259" s="33"/>
      <c r="T259" s="33"/>
    </row>
    <row r="260" spans="10:20" x14ac:dyDescent="0.2">
      <c r="J260" s="241"/>
      <c r="Q260" s="33"/>
      <c r="R260" s="33"/>
      <c r="S260" s="33"/>
      <c r="T260" s="33"/>
    </row>
    <row r="261" spans="10:20" x14ac:dyDescent="0.2">
      <c r="J261" s="241"/>
      <c r="Q261" s="33"/>
      <c r="R261" s="33"/>
      <c r="S261" s="33"/>
      <c r="T261" s="33"/>
    </row>
    <row r="262" spans="10:20" x14ac:dyDescent="0.2">
      <c r="J262" s="241"/>
      <c r="Q262" s="33"/>
      <c r="R262" s="33"/>
      <c r="S262" s="33"/>
      <c r="T262" s="33"/>
    </row>
    <row r="263" spans="10:20" x14ac:dyDescent="0.2">
      <c r="J263" s="241"/>
      <c r="Q263" s="33"/>
      <c r="R263" s="33"/>
      <c r="S263" s="33"/>
      <c r="T263" s="33"/>
    </row>
    <row r="264" spans="10:20" ht="15.75" x14ac:dyDescent="0.25">
      <c r="J264" s="241"/>
      <c r="Q264" s="271"/>
      <c r="R264" s="155"/>
      <c r="S264" s="155"/>
      <c r="T264" s="155"/>
    </row>
    <row r="265" spans="10:20" x14ac:dyDescent="0.2">
      <c r="J265" s="241"/>
      <c r="Q265" s="33"/>
      <c r="R265" s="33"/>
      <c r="S265" s="33"/>
      <c r="T265" s="33"/>
    </row>
    <row r="266" spans="10:20" x14ac:dyDescent="0.2">
      <c r="J266" s="241"/>
      <c r="Q266" s="33"/>
      <c r="R266" s="33"/>
      <c r="S266" s="33"/>
      <c r="T266" s="33"/>
    </row>
    <row r="267" spans="10:20" x14ac:dyDescent="0.2">
      <c r="J267" s="241"/>
      <c r="Q267" s="33"/>
      <c r="R267" s="33"/>
      <c r="S267" s="33"/>
      <c r="T267" s="33"/>
    </row>
    <row r="268" spans="10:20" x14ac:dyDescent="0.2">
      <c r="J268" s="241"/>
      <c r="Q268" s="33"/>
      <c r="R268" s="33"/>
      <c r="S268" s="33"/>
      <c r="T268" s="33"/>
    </row>
    <row r="269" spans="10:20" x14ac:dyDescent="0.2">
      <c r="J269" s="241"/>
      <c r="Q269" s="33"/>
      <c r="R269" s="33"/>
      <c r="S269" s="33"/>
      <c r="T269" s="33"/>
    </row>
    <row r="270" spans="10:20" x14ac:dyDescent="0.2">
      <c r="J270" s="241"/>
      <c r="Q270" s="33"/>
      <c r="R270" s="33"/>
      <c r="S270" s="33"/>
      <c r="T270" s="33"/>
    </row>
    <row r="271" spans="10:20" x14ac:dyDescent="0.2">
      <c r="J271" s="241"/>
      <c r="Q271" s="33"/>
      <c r="R271" s="33"/>
      <c r="S271" s="33"/>
      <c r="T271" s="33"/>
    </row>
    <row r="272" spans="10:20" x14ac:dyDescent="0.2">
      <c r="J272" s="241"/>
      <c r="Q272" s="33"/>
      <c r="R272" s="33"/>
      <c r="S272" s="33"/>
      <c r="T272" s="33"/>
    </row>
    <row r="273" spans="10:20" x14ac:dyDescent="0.2">
      <c r="J273" s="241"/>
      <c r="Q273" s="33"/>
      <c r="R273" s="33"/>
      <c r="S273" s="33"/>
      <c r="T273" s="33"/>
    </row>
    <row r="274" spans="10:20" x14ac:dyDescent="0.2">
      <c r="J274" s="241"/>
      <c r="Q274" s="33"/>
      <c r="R274" s="33"/>
      <c r="S274" s="33"/>
      <c r="T274" s="33"/>
    </row>
    <row r="275" spans="10:20" x14ac:dyDescent="0.2">
      <c r="J275" s="241"/>
      <c r="Q275" s="33"/>
      <c r="R275" s="33"/>
      <c r="S275" s="33"/>
      <c r="T275" s="33"/>
    </row>
    <row r="276" spans="10:20" x14ac:dyDescent="0.2">
      <c r="J276" s="241"/>
      <c r="Q276" s="33"/>
      <c r="R276" s="205"/>
      <c r="S276" s="205"/>
      <c r="T276" s="205"/>
    </row>
    <row r="277" spans="10:20" x14ac:dyDescent="0.2">
      <c r="Q277" s="33"/>
      <c r="R277" s="33"/>
      <c r="S277" s="33"/>
      <c r="T277" s="33"/>
    </row>
    <row r="278" spans="10:20" x14ac:dyDescent="0.2">
      <c r="Q278" s="33"/>
      <c r="R278" s="33"/>
      <c r="S278" s="33"/>
      <c r="T278" s="33"/>
    </row>
    <row r="279" spans="10:20" x14ac:dyDescent="0.2">
      <c r="Q279" s="33"/>
      <c r="R279" s="33"/>
      <c r="S279" s="33"/>
      <c r="T279" s="33"/>
    </row>
    <row r="280" spans="10:20" x14ac:dyDescent="0.2">
      <c r="Q280" s="33"/>
      <c r="R280" s="33"/>
      <c r="S280" s="33"/>
      <c r="T280" s="33"/>
    </row>
    <row r="281" spans="10:20" x14ac:dyDescent="0.2">
      <c r="Q281" s="33"/>
      <c r="R281" s="33"/>
      <c r="S281" s="33"/>
      <c r="T281" s="33"/>
    </row>
    <row r="282" spans="10:20" x14ac:dyDescent="0.2">
      <c r="Q282" s="33"/>
      <c r="R282" s="33"/>
      <c r="S282" s="33"/>
      <c r="T282" s="33"/>
    </row>
    <row r="283" spans="10:20" x14ac:dyDescent="0.2">
      <c r="Q283" s="33"/>
      <c r="R283" s="33"/>
      <c r="S283" s="33"/>
      <c r="T283" s="33"/>
    </row>
    <row r="284" spans="10:20" x14ac:dyDescent="0.2">
      <c r="Q284" s="33"/>
      <c r="R284" s="33"/>
      <c r="S284" s="33"/>
      <c r="T284" s="33"/>
    </row>
    <row r="285" spans="10:20" x14ac:dyDescent="0.2">
      <c r="Q285" s="33"/>
      <c r="R285" s="33"/>
      <c r="S285" s="33"/>
      <c r="T285" s="33"/>
    </row>
    <row r="286" spans="10:20" x14ac:dyDescent="0.2">
      <c r="Q286" s="33"/>
      <c r="R286" s="205"/>
      <c r="S286" s="205"/>
      <c r="T286" s="205"/>
    </row>
    <row r="287" spans="10:20" x14ac:dyDescent="0.2">
      <c r="Q287" s="33"/>
      <c r="R287" s="33"/>
      <c r="S287" s="33"/>
      <c r="T287" s="33"/>
    </row>
    <row r="288" spans="10:20" x14ac:dyDescent="0.2">
      <c r="Q288" s="33"/>
      <c r="R288" s="33"/>
      <c r="S288" s="33"/>
      <c r="T288" s="33"/>
    </row>
    <row r="289" spans="17:20" x14ac:dyDescent="0.2">
      <c r="Q289" s="33"/>
      <c r="R289" s="205"/>
      <c r="S289" s="205"/>
      <c r="T289" s="205"/>
    </row>
    <row r="290" spans="17:20" x14ac:dyDescent="0.2">
      <c r="R290" s="244"/>
      <c r="S290" s="244"/>
      <c r="T290" s="436"/>
    </row>
    <row r="303" spans="17:20" x14ac:dyDescent="0.2">
      <c r="Q303" s="33"/>
      <c r="R303" s="33"/>
      <c r="S303" s="33"/>
      <c r="T303" s="33"/>
    </row>
    <row r="304" spans="17:20" x14ac:dyDescent="0.2">
      <c r="Q304" s="33"/>
      <c r="R304" s="33"/>
      <c r="S304" s="33"/>
      <c r="T304" s="33"/>
    </row>
    <row r="305" spans="17:20" x14ac:dyDescent="0.2">
      <c r="Q305" s="33"/>
      <c r="R305" s="33"/>
      <c r="S305" s="33"/>
      <c r="T305" s="33"/>
    </row>
    <row r="306" spans="17:20" x14ac:dyDescent="0.2">
      <c r="Q306" s="33"/>
      <c r="R306" s="33"/>
      <c r="S306" s="33"/>
      <c r="T306" s="33"/>
    </row>
    <row r="307" spans="17:20" x14ac:dyDescent="0.2">
      <c r="Q307" s="33"/>
      <c r="R307" s="33"/>
      <c r="S307" s="33"/>
      <c r="T307" s="33"/>
    </row>
    <row r="308" spans="17:20" x14ac:dyDescent="0.2">
      <c r="Q308" s="33"/>
      <c r="R308" s="33"/>
      <c r="S308" s="33"/>
      <c r="T308" s="33"/>
    </row>
    <row r="309" spans="17:20" x14ac:dyDescent="0.2">
      <c r="Q309" s="33"/>
      <c r="R309" s="33"/>
      <c r="S309" s="33"/>
      <c r="T309" s="33"/>
    </row>
    <row r="310" spans="17:20" x14ac:dyDescent="0.2">
      <c r="Q310" s="33"/>
      <c r="R310" s="33"/>
      <c r="S310" s="33"/>
      <c r="T310" s="33"/>
    </row>
    <row r="311" spans="17:20" x14ac:dyDescent="0.2">
      <c r="Q311" s="33"/>
      <c r="R311" s="33"/>
      <c r="S311" s="33"/>
      <c r="T311" s="33"/>
    </row>
    <row r="312" spans="17:20" x14ac:dyDescent="0.2">
      <c r="Q312" s="33"/>
      <c r="R312" s="33"/>
      <c r="S312" s="33"/>
      <c r="T312" s="33"/>
    </row>
  </sheetData>
  <dataValidations count="1">
    <dataValidation allowBlank="1" showErrorMessage="1" sqref="I2:J2" xr:uid="{00000000-0002-0000-0200-000000000000}"/>
  </dataValidations>
  <pageMargins left="0.25" right="0.25" top="0.25" bottom="0.25" header="0.3" footer="0.3"/>
  <pageSetup paperSize="3" scale="28" fitToHeight="0" orientation="landscape" r:id="rId1"/>
  <ignoredErrors>
    <ignoredError sqref="I22:L22 J99 H37 H133:H139 H116 H84 H142:H155 H206:H225 H68:H69 H72:H82 H39:H41 H105:H109 H103 H129:H131 H191:H204 H118:H126 H13:H30 H159:H189 O22:P22 H92:H99 H8:H11" numberStoredAsText="1"/>
    <ignoredError sqref="Q6:S6 Q16:Q17 Q18:T18 Q23:R29 Q30:S32 Q33:T34 Q35:S40 Q69:S69 Q72:S72 Q73:T73 Q78:S82 Q89 Q92:S94 R95:S95 Q105:S108 S109 Q116:S116 Q118:S119 Q120:T120 Q121:S121 Q122:R122 Q133:S139 Q142:S146 Q147:T147 Q148:S151 Q154:S155 Q157:R157 S157:S158 Q158 Q159:S159 Q173:S174 R175 Q176:Q177 S176:S177 Q178:S178 Q181:S184 Q194:S203 Q206:S213 Q215:S218 Q220:S225 Q14:T15 Q13:S13 Q20:R21 T20:T21 T23:T29 S20:S29 Q68:T68 U6 R16:T16 Q88:S88 U89 U137 U35:U36 R179:R180 Q186:S192 AG68:AG69 Q70:T70 AG72:AG74 Q75:S76 AG133:AG139 AG88:AG90 AG206:AG225 AG105:AG109 AG103 Q103:S103 Q129:S131 AG116 Q84:S84 Q123:S126 Q7:T11 AG13:AG41 AG76:AG84 AG92:AG95 AG141:AG161 Q161:Q170 S161:S170 AG163:AG204 AG97:AG100 Q96:S99 AG7:AG11" unlockedFormula="1"/>
    <ignoredError sqref="Q22:R22 T22" numberStoredAsText="1" unlockedFormula="1"/>
    <ignoredError sqref="Q95 Q109:R109 S122 R158 Q175 Q179 S180 Q180 S179" formula="1"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X39"/>
  <sheetViews>
    <sheetView zoomScale="115" zoomScaleNormal="115" workbookViewId="0">
      <pane xSplit="6" ySplit="2" topLeftCell="K3" activePane="bottomRight" state="frozen"/>
      <selection pane="topRight" activeCell="G1" sqref="G1"/>
      <selection pane="bottomLeft" activeCell="A3" sqref="A3"/>
      <selection pane="bottomRight" activeCell="M1" sqref="M1:M1048576"/>
    </sheetView>
  </sheetViews>
  <sheetFormatPr defaultColWidth="7" defaultRowHeight="12.75" x14ac:dyDescent="0.2"/>
  <cols>
    <col min="1" max="2" width="7" style="20"/>
    <col min="3" max="3" width="16.7109375" style="20" bestFit="1" customWidth="1"/>
    <col min="4" max="4" width="7" style="20"/>
    <col min="5" max="5" width="47.7109375" style="20" bestFit="1" customWidth="1"/>
    <col min="6" max="6" width="19" style="20" bestFit="1" customWidth="1"/>
    <col min="7" max="7" width="17.7109375" style="20" bestFit="1" customWidth="1"/>
    <col min="8" max="8" width="14.28515625" style="20" bestFit="1" customWidth="1"/>
    <col min="9" max="9" width="6.28515625" style="20" bestFit="1" customWidth="1"/>
    <col min="10" max="10" width="6.5703125" style="20" bestFit="1" customWidth="1"/>
    <col min="11" max="11" width="12.28515625" style="20" bestFit="1" customWidth="1"/>
    <col min="12" max="12" width="8.5703125" style="20" bestFit="1" customWidth="1"/>
    <col min="13" max="13" width="10" style="20" customWidth="1"/>
    <col min="14" max="14" width="8.7109375" style="20" bestFit="1" customWidth="1"/>
    <col min="15" max="15" width="6.28515625" style="20" bestFit="1" customWidth="1"/>
    <col min="16" max="16" width="7.5703125" style="118" bestFit="1" customWidth="1"/>
    <col min="17" max="17" width="8.7109375" style="139" bestFit="1" customWidth="1"/>
    <col min="18" max="18" width="9" style="139" bestFit="1" customWidth="1"/>
    <col min="19" max="19" width="8.42578125" style="139" bestFit="1" customWidth="1"/>
    <col min="20" max="20" width="8.5703125" style="186" bestFit="1" customWidth="1"/>
    <col min="21" max="21" width="7.7109375" style="37" bestFit="1" customWidth="1"/>
    <col min="22" max="22" width="8" style="20" bestFit="1" customWidth="1"/>
    <col min="23" max="23" width="7.5703125" style="20" bestFit="1" customWidth="1"/>
    <col min="24" max="24" width="7.5703125" style="118" bestFit="1" customWidth="1"/>
    <col min="25" max="25" width="6.42578125" style="20" bestFit="1" customWidth="1"/>
    <col min="26" max="26" width="6.5703125" style="20" bestFit="1" customWidth="1"/>
    <col min="27" max="27" width="5.42578125" style="20" bestFit="1" customWidth="1"/>
    <col min="28" max="28" width="6" style="118" bestFit="1" customWidth="1"/>
    <col min="29" max="32" width="6.5703125" style="20" bestFit="1" customWidth="1"/>
    <col min="33" max="33" width="7" style="20"/>
    <col min="34" max="44" width="12.7109375" style="20" customWidth="1"/>
    <col min="45" max="16384" width="7" style="20"/>
  </cols>
  <sheetData>
    <row r="1" spans="1:336" s="273" customFormat="1" ht="60" customHeight="1" thickBot="1" x14ac:dyDescent="0.25">
      <c r="A1" s="408"/>
      <c r="B1" s="409"/>
      <c r="C1" s="410"/>
      <c r="D1" s="410"/>
      <c r="E1" s="408"/>
      <c r="F1" s="408"/>
      <c r="G1" s="408"/>
      <c r="H1" s="411"/>
      <c r="I1" s="411"/>
      <c r="J1" s="411"/>
      <c r="K1" s="411"/>
      <c r="L1" s="412"/>
      <c r="M1" s="413"/>
      <c r="N1" s="413"/>
      <c r="O1" s="414"/>
      <c r="P1" s="414"/>
      <c r="Q1" s="410"/>
      <c r="R1" s="410"/>
      <c r="S1" s="410"/>
      <c r="T1" s="410"/>
      <c r="U1" s="410"/>
      <c r="V1" s="410"/>
      <c r="W1" s="410"/>
      <c r="X1" s="410"/>
      <c r="Y1" s="410"/>
      <c r="Z1" s="410"/>
      <c r="AA1" s="410"/>
      <c r="AB1" s="410"/>
      <c r="AC1" s="410"/>
      <c r="AD1" s="410"/>
      <c r="AE1" s="410"/>
      <c r="AF1" s="410"/>
      <c r="AG1" s="410"/>
      <c r="AH1" s="408"/>
      <c r="AI1" s="408"/>
      <c r="AJ1" s="408"/>
      <c r="AK1" s="408"/>
      <c r="AL1" s="408"/>
      <c r="AM1" s="408"/>
      <c r="AN1" s="408"/>
      <c r="AO1" s="408"/>
      <c r="AP1" s="408"/>
      <c r="AQ1" s="408"/>
      <c r="AR1" s="408"/>
    </row>
    <row r="2" spans="1:336" s="14" customFormat="1" ht="68.25" thickBot="1" x14ac:dyDescent="0.25">
      <c r="A2" s="336" t="s">
        <v>131</v>
      </c>
      <c r="B2" s="334" t="s">
        <v>3069</v>
      </c>
      <c r="C2" s="334" t="s">
        <v>138</v>
      </c>
      <c r="D2" s="334" t="s">
        <v>98</v>
      </c>
      <c r="E2" s="334" t="s">
        <v>99</v>
      </c>
      <c r="F2" s="334" t="s">
        <v>100</v>
      </c>
      <c r="G2" s="334" t="s">
        <v>2519</v>
      </c>
      <c r="H2" s="379" t="s">
        <v>501</v>
      </c>
      <c r="I2" s="326" t="s">
        <v>2544</v>
      </c>
      <c r="J2" s="326" t="s">
        <v>2543</v>
      </c>
      <c r="K2" s="334" t="s">
        <v>260</v>
      </c>
      <c r="L2" s="334" t="s">
        <v>974</v>
      </c>
      <c r="M2" s="334" t="s">
        <v>5442</v>
      </c>
      <c r="N2" s="334" t="s">
        <v>132</v>
      </c>
      <c r="O2" s="334" t="s">
        <v>77</v>
      </c>
      <c r="P2" s="335" t="s">
        <v>78</v>
      </c>
      <c r="Q2" s="416" t="s">
        <v>2515</v>
      </c>
      <c r="R2" s="415" t="s">
        <v>2794</v>
      </c>
      <c r="S2" s="415" t="s">
        <v>2516</v>
      </c>
      <c r="T2" s="417" t="s">
        <v>2518</v>
      </c>
      <c r="U2" s="416" t="s">
        <v>2463</v>
      </c>
      <c r="V2" s="334" t="s">
        <v>2795</v>
      </c>
      <c r="W2" s="334" t="s">
        <v>2464</v>
      </c>
      <c r="X2" s="335" t="s">
        <v>2466</v>
      </c>
      <c r="Y2" s="336" t="s">
        <v>2467</v>
      </c>
      <c r="Z2" s="334" t="s">
        <v>2796</v>
      </c>
      <c r="AA2" s="334" t="s">
        <v>2468</v>
      </c>
      <c r="AB2" s="335" t="s">
        <v>2470</v>
      </c>
      <c r="AC2" s="336" t="s">
        <v>2471</v>
      </c>
      <c r="AD2" s="334" t="s">
        <v>2472</v>
      </c>
      <c r="AE2" s="334" t="s">
        <v>2473</v>
      </c>
      <c r="AF2" s="335" t="s">
        <v>2474</v>
      </c>
      <c r="AG2" s="336" t="s">
        <v>2484</v>
      </c>
      <c r="AH2" s="337" t="s">
        <v>133</v>
      </c>
      <c r="AI2" s="337" t="s">
        <v>134</v>
      </c>
      <c r="AJ2" s="337" t="s">
        <v>135</v>
      </c>
      <c r="AK2" s="337" t="s">
        <v>136</v>
      </c>
      <c r="AL2" s="337" t="s">
        <v>137</v>
      </c>
      <c r="AM2" s="331" t="s">
        <v>2104</v>
      </c>
      <c r="AN2" s="331" t="s">
        <v>2105</v>
      </c>
      <c r="AO2" s="331" t="s">
        <v>2106</v>
      </c>
      <c r="AP2" s="338" t="s">
        <v>144</v>
      </c>
      <c r="AQ2" s="338" t="s">
        <v>145</v>
      </c>
      <c r="AR2" s="341" t="s">
        <v>146</v>
      </c>
      <c r="AS2" s="273"/>
      <c r="AT2" s="273"/>
      <c r="AU2" s="273"/>
    </row>
    <row r="3" spans="1:336" s="14" customFormat="1" ht="15.75" x14ac:dyDescent="0.25">
      <c r="A3" s="403" t="s">
        <v>3116</v>
      </c>
      <c r="B3" s="403"/>
      <c r="C3" s="403"/>
      <c r="D3" s="22"/>
      <c r="E3" s="20"/>
      <c r="H3" s="29"/>
      <c r="I3" s="29"/>
      <c r="J3" s="29"/>
      <c r="K3" s="29"/>
      <c r="L3" s="256"/>
      <c r="M3" s="514"/>
      <c r="N3" s="514" t="str">
        <f>IF($C3="","",VLOOKUP($C3,'2017 Pricelist'!$C:$I,7,FALSE))</f>
        <v/>
      </c>
      <c r="O3" s="17"/>
      <c r="P3" s="74"/>
      <c r="Q3" s="33"/>
      <c r="R3" s="33"/>
      <c r="S3" s="33"/>
      <c r="T3" s="43"/>
      <c r="U3" s="15"/>
      <c r="V3" s="15"/>
      <c r="W3" s="15"/>
      <c r="X3" s="43"/>
      <c r="Y3" s="15"/>
      <c r="Z3" s="15"/>
      <c r="AA3" s="15"/>
      <c r="AB3" s="43"/>
      <c r="AC3" s="42"/>
      <c r="AD3" s="15"/>
      <c r="AE3" s="15"/>
      <c r="AF3" s="43"/>
      <c r="AG3" s="131"/>
      <c r="AH3" s="136"/>
      <c r="AI3" s="136"/>
      <c r="AJ3" s="136"/>
      <c r="AK3" s="136"/>
      <c r="AL3" s="136"/>
      <c r="AM3" s="136"/>
      <c r="AN3" s="46"/>
      <c r="AO3" s="134"/>
      <c r="AP3" s="46"/>
      <c r="AQ3" s="46"/>
      <c r="AR3" s="46"/>
    </row>
    <row r="4" spans="1:336" s="258" customFormat="1" x14ac:dyDescent="0.2">
      <c r="A4" s="18" t="s">
        <v>775</v>
      </c>
      <c r="B4" s="125"/>
      <c r="C4" s="18" t="s">
        <v>804</v>
      </c>
      <c r="D4" s="33"/>
      <c r="E4" s="59" t="s">
        <v>3120</v>
      </c>
      <c r="F4" s="18" t="s">
        <v>345</v>
      </c>
      <c r="G4" s="18" t="s">
        <v>2558</v>
      </c>
      <c r="H4" s="60" t="s">
        <v>779</v>
      </c>
      <c r="I4" s="36" t="s">
        <v>259</v>
      </c>
      <c r="J4" s="36" t="s">
        <v>259</v>
      </c>
      <c r="K4" s="61" t="s">
        <v>3121</v>
      </c>
      <c r="L4" s="36" t="s">
        <v>981</v>
      </c>
      <c r="M4" s="514"/>
      <c r="N4" s="514">
        <f>IF($C4="","",VLOOKUP($C4,'2017 Pricelist'!$C:$I,7,FALSE))</f>
        <v>7.99</v>
      </c>
      <c r="O4" s="35">
        <v>1</v>
      </c>
      <c r="P4" s="187">
        <v>140</v>
      </c>
      <c r="Q4" s="33">
        <f>CONVERT(170,"g","lbm")</f>
        <v>0.37478584571429185</v>
      </c>
      <c r="R4" s="33">
        <v>4.0674999999999999</v>
      </c>
      <c r="S4" s="33">
        <v>1.25</v>
      </c>
      <c r="T4" s="70">
        <v>3.5</v>
      </c>
      <c r="U4" s="33">
        <f>CONVERT(190,"g","lbm")</f>
        <v>0.41887829815126737</v>
      </c>
      <c r="V4" s="33">
        <v>4.125</v>
      </c>
      <c r="W4" s="33">
        <v>1.5</v>
      </c>
      <c r="X4" s="70">
        <v>4.5</v>
      </c>
      <c r="Y4" s="89" t="s">
        <v>259</v>
      </c>
      <c r="Z4" s="89" t="s">
        <v>259</v>
      </c>
      <c r="AA4" s="89" t="s">
        <v>259</v>
      </c>
      <c r="AB4" s="249" t="s">
        <v>259</v>
      </c>
      <c r="AC4" s="33">
        <v>61</v>
      </c>
      <c r="AD4" s="33">
        <v>21</v>
      </c>
      <c r="AE4" s="33">
        <v>13.75</v>
      </c>
      <c r="AF4" s="70">
        <v>11.25</v>
      </c>
      <c r="AG4" s="33">
        <f>AD4*AE4*AF4/(12^3)</f>
        <v>1.8798828125</v>
      </c>
      <c r="AH4" s="59" t="s">
        <v>3154</v>
      </c>
      <c r="AI4" s="59" t="s">
        <v>3155</v>
      </c>
      <c r="AJ4" s="59" t="s">
        <v>3160</v>
      </c>
      <c r="AK4" s="59" t="s">
        <v>3157</v>
      </c>
      <c r="AL4" s="59" t="s">
        <v>3158</v>
      </c>
      <c r="AM4" s="59" t="s">
        <v>3156</v>
      </c>
      <c r="AN4" s="59" t="s">
        <v>3159</v>
      </c>
      <c r="AO4" s="59" t="s">
        <v>3161</v>
      </c>
      <c r="AP4" s="59" t="s">
        <v>3170</v>
      </c>
      <c r="AQ4" s="9" t="s">
        <v>3162</v>
      </c>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row>
    <row r="5" spans="1:336" s="258" customFormat="1" x14ac:dyDescent="0.2">
      <c r="A5" s="18" t="s">
        <v>775</v>
      </c>
      <c r="B5" s="125"/>
      <c r="C5" s="18" t="s">
        <v>805</v>
      </c>
      <c r="D5" s="33"/>
      <c r="E5" s="59" t="s">
        <v>3122</v>
      </c>
      <c r="F5" s="18" t="s">
        <v>345</v>
      </c>
      <c r="G5" s="18" t="s">
        <v>2557</v>
      </c>
      <c r="H5" s="60" t="s">
        <v>780</v>
      </c>
      <c r="I5" s="36" t="s">
        <v>259</v>
      </c>
      <c r="J5" s="36" t="s">
        <v>259</v>
      </c>
      <c r="K5" s="61" t="s">
        <v>3121</v>
      </c>
      <c r="L5" s="36" t="s">
        <v>981</v>
      </c>
      <c r="M5" s="514"/>
      <c r="N5" s="514">
        <f>IF($C5="","",VLOOKUP($C5,'2017 Pricelist'!$C:$I,7,FALSE))</f>
        <v>5.99</v>
      </c>
      <c r="O5" s="35">
        <v>36</v>
      </c>
      <c r="P5" s="187">
        <v>288</v>
      </c>
      <c r="Q5" s="121">
        <f>CONVERT(0,"g","lbm")</f>
        <v>0</v>
      </c>
      <c r="R5" s="121">
        <f t="shared" ref="R5:T6" si="0">CONVERT(0,"mm","in")</f>
        <v>0</v>
      </c>
      <c r="S5" s="121">
        <f t="shared" si="0"/>
        <v>0</v>
      </c>
      <c r="T5" s="122">
        <f t="shared" si="0"/>
        <v>0</v>
      </c>
      <c r="U5" s="33">
        <f>CONVERT(82,"g","lbm")</f>
        <v>0.1807790549915996</v>
      </c>
      <c r="V5" s="33">
        <v>3.1</v>
      </c>
      <c r="W5" s="33">
        <v>0.6</v>
      </c>
      <c r="X5" s="70">
        <v>2.75</v>
      </c>
      <c r="Y5" s="33">
        <f>CONVERT(3190,"g","lbm")</f>
        <v>7.0327461636975945</v>
      </c>
      <c r="Z5" s="89">
        <v>9.5</v>
      </c>
      <c r="AA5" s="89">
        <v>5.75</v>
      </c>
      <c r="AB5" s="249">
        <v>4</v>
      </c>
      <c r="AC5" s="33">
        <v>60</v>
      </c>
      <c r="AD5" s="33">
        <v>21</v>
      </c>
      <c r="AE5" s="33">
        <v>13.75</v>
      </c>
      <c r="AF5" s="70">
        <v>11.25</v>
      </c>
      <c r="AG5" s="15">
        <f>AD5*AE5*AF5/(12^3)</f>
        <v>1.8798828125</v>
      </c>
      <c r="AH5" s="59" t="s">
        <v>3154</v>
      </c>
      <c r="AI5" s="20" t="s">
        <v>3163</v>
      </c>
      <c r="AJ5" s="59" t="s">
        <v>3155</v>
      </c>
      <c r="AK5" s="59" t="s">
        <v>3160</v>
      </c>
      <c r="AL5" s="9" t="s">
        <v>3164</v>
      </c>
      <c r="AM5" s="9" t="s">
        <v>3165</v>
      </c>
      <c r="AN5" s="59" t="s">
        <v>3159</v>
      </c>
      <c r="AO5" s="9" t="s">
        <v>3166</v>
      </c>
      <c r="AP5" s="59" t="s">
        <v>3171</v>
      </c>
      <c r="AQ5" s="9" t="s">
        <v>3162</v>
      </c>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row>
    <row r="6" spans="1:336" s="258" customFormat="1" x14ac:dyDescent="0.2">
      <c r="A6" s="18" t="s">
        <v>775</v>
      </c>
      <c r="B6" s="125"/>
      <c r="C6" s="18" t="s">
        <v>3115</v>
      </c>
      <c r="D6" s="33"/>
      <c r="E6" s="59" t="s">
        <v>3123</v>
      </c>
      <c r="F6" s="18" t="s">
        <v>345</v>
      </c>
      <c r="G6" s="18" t="s">
        <v>2557</v>
      </c>
      <c r="H6" s="60" t="s">
        <v>3124</v>
      </c>
      <c r="I6" s="36" t="s">
        <v>259</v>
      </c>
      <c r="J6" s="36" t="s">
        <v>259</v>
      </c>
      <c r="K6" s="61" t="s">
        <v>3121</v>
      </c>
      <c r="L6" s="36" t="s">
        <v>981</v>
      </c>
      <c r="M6" s="514"/>
      <c r="N6" s="514">
        <f>IF($C6="","",VLOOKUP($C6,'2017 Pricelist'!$C:$I,7,FALSE))</f>
        <v>5.99</v>
      </c>
      <c r="O6" s="35">
        <v>30</v>
      </c>
      <c r="P6" s="187">
        <v>300</v>
      </c>
      <c r="Q6" s="121">
        <f>CONVERT(0,"g","lbm")</f>
        <v>0</v>
      </c>
      <c r="R6" s="121">
        <f t="shared" si="0"/>
        <v>0</v>
      </c>
      <c r="S6" s="121">
        <f t="shared" si="0"/>
        <v>0</v>
      </c>
      <c r="T6" s="122">
        <f t="shared" si="0"/>
        <v>0</v>
      </c>
      <c r="U6" s="33">
        <f>CONVERT(88,"g","lbm")</f>
        <v>0.19400679072269225</v>
      </c>
      <c r="V6" s="33">
        <f>CONVERT(80,"mm","in")</f>
        <v>3.1496062992125986</v>
      </c>
      <c r="W6" s="33">
        <f>CONVERT(70,"mm","in")</f>
        <v>2.7559055118110236</v>
      </c>
      <c r="X6" s="70">
        <f>CONVERT(17,"mm","in")</f>
        <v>0.6692913385826772</v>
      </c>
      <c r="Y6" s="33">
        <f>CONVERT(0,"g","lbm")</f>
        <v>0</v>
      </c>
      <c r="Z6" s="33">
        <f>CONVERT(0,"mm","in")</f>
        <v>0</v>
      </c>
      <c r="AA6" s="33">
        <f>CONVERT(0,"mm","in")</f>
        <v>0</v>
      </c>
      <c r="AB6" s="70">
        <f>CONVERT(0,"mm","in")</f>
        <v>0</v>
      </c>
      <c r="AC6" s="33">
        <f>CONVERT(28,"kg","lbm")</f>
        <v>61.729433411765719</v>
      </c>
      <c r="AD6" s="33">
        <f>CONVERT(53,"cm","in")</f>
        <v>20.866141732283463</v>
      </c>
      <c r="AE6" s="33">
        <f>CONVERT(35,"cm","in")</f>
        <v>13.779527559055119</v>
      </c>
      <c r="AF6" s="70">
        <f>CONVERT(28.5,"cm","in")</f>
        <v>11.220472440944881</v>
      </c>
      <c r="AG6" s="15">
        <f>AD6*AE6*AF6/(12^3)</f>
        <v>1.866998142898298</v>
      </c>
      <c r="AH6" s="59" t="s">
        <v>3154</v>
      </c>
      <c r="AI6" s="37" t="s">
        <v>3163</v>
      </c>
      <c r="AJ6" s="59" t="s">
        <v>3155</v>
      </c>
      <c r="AK6" s="59" t="s">
        <v>3160</v>
      </c>
      <c r="AL6" s="59" t="s">
        <v>3167</v>
      </c>
      <c r="AM6" s="59" t="s">
        <v>3168</v>
      </c>
      <c r="AN6" s="59" t="s">
        <v>3159</v>
      </c>
      <c r="AO6" s="9" t="s">
        <v>3169</v>
      </c>
      <c r="AP6" s="59" t="s">
        <v>3172</v>
      </c>
      <c r="AQ6" s="9" t="s">
        <v>3162</v>
      </c>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row>
    <row r="7" spans="1:336" s="258" customFormat="1" x14ac:dyDescent="0.2">
      <c r="A7" s="18" t="s">
        <v>775</v>
      </c>
      <c r="B7" s="125"/>
      <c r="C7" s="18" t="s">
        <v>5431</v>
      </c>
      <c r="D7" s="33"/>
      <c r="E7" s="59" t="s">
        <v>5432</v>
      </c>
      <c r="F7" s="18" t="s">
        <v>345</v>
      </c>
      <c r="G7" s="248"/>
      <c r="H7" s="60" t="s">
        <v>5433</v>
      </c>
      <c r="I7" s="36" t="s">
        <v>259</v>
      </c>
      <c r="J7" s="36" t="s">
        <v>259</v>
      </c>
      <c r="K7" s="61"/>
      <c r="L7" s="36" t="s">
        <v>978</v>
      </c>
      <c r="M7" s="11"/>
      <c r="N7" s="11">
        <v>19.989999999999998</v>
      </c>
      <c r="O7" s="35">
        <v>1</v>
      </c>
      <c r="P7" s="187">
        <v>12</v>
      </c>
      <c r="Q7" s="33">
        <v>0.53</v>
      </c>
      <c r="R7" s="33">
        <v>3.1</v>
      </c>
      <c r="S7" s="33">
        <v>2.6</v>
      </c>
      <c r="T7" s="70">
        <v>1.7</v>
      </c>
      <c r="U7" s="33">
        <v>0.56000000000000005</v>
      </c>
      <c r="V7" s="33">
        <v>10</v>
      </c>
      <c r="W7" s="33">
        <v>3.5</v>
      </c>
      <c r="X7" s="70">
        <v>1.25</v>
      </c>
      <c r="Y7" s="121"/>
      <c r="Z7" s="121"/>
      <c r="AA7" s="121"/>
      <c r="AB7" s="122"/>
      <c r="AC7" s="121"/>
      <c r="AD7" s="121"/>
      <c r="AE7" s="121"/>
      <c r="AF7" s="122"/>
      <c r="AG7" s="15"/>
      <c r="AH7" s="658" t="s">
        <v>3154</v>
      </c>
      <c r="AI7" s="659" t="s">
        <v>3163</v>
      </c>
      <c r="AJ7" s="658" t="s">
        <v>3155</v>
      </c>
      <c r="AK7" s="658" t="s">
        <v>3160</v>
      </c>
      <c r="AL7" s="660" t="s">
        <v>3164</v>
      </c>
      <c r="AM7" s="59"/>
      <c r="AN7" s="59"/>
      <c r="AO7" s="9"/>
      <c r="AP7" s="489" t="s">
        <v>5436</v>
      </c>
      <c r="AQ7" s="9" t="s">
        <v>3162</v>
      </c>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row>
    <row r="8" spans="1:336" s="14" customFormat="1" ht="15.75" x14ac:dyDescent="0.25">
      <c r="A8" s="403" t="s">
        <v>3117</v>
      </c>
      <c r="B8" s="403"/>
      <c r="C8" s="403"/>
      <c r="D8" s="22"/>
      <c r="E8" s="20"/>
      <c r="H8" s="29"/>
      <c r="I8" s="29"/>
      <c r="J8" s="29"/>
      <c r="K8" s="29"/>
      <c r="L8" s="256"/>
      <c r="M8" s="4"/>
      <c r="N8" s="4"/>
      <c r="O8" s="35"/>
      <c r="P8" s="187"/>
      <c r="Q8" s="33"/>
      <c r="R8" s="33"/>
      <c r="S8" s="33"/>
      <c r="T8" s="43"/>
      <c r="U8" s="15"/>
      <c r="V8" s="15"/>
      <c r="W8" s="15"/>
      <c r="X8" s="43"/>
      <c r="Y8" s="15"/>
      <c r="Z8" s="15"/>
      <c r="AA8" s="15"/>
      <c r="AB8" s="43"/>
      <c r="AC8" s="42"/>
      <c r="AD8" s="15"/>
      <c r="AE8" s="15"/>
      <c r="AF8" s="43"/>
      <c r="AG8" s="131"/>
      <c r="AH8" s="136"/>
      <c r="AI8" s="136"/>
      <c r="AJ8" s="136"/>
      <c r="AK8" s="136"/>
      <c r="AL8" s="136"/>
      <c r="AM8" s="136"/>
      <c r="AN8" s="46"/>
      <c r="AO8" s="134"/>
      <c r="AP8" s="46"/>
      <c r="AQ8" s="46"/>
      <c r="AR8" s="46"/>
    </row>
    <row r="9" spans="1:336" s="14" customFormat="1" x14ac:dyDescent="0.2">
      <c r="A9" s="18" t="s">
        <v>775</v>
      </c>
      <c r="B9" s="125"/>
      <c r="C9" s="18" t="s">
        <v>803</v>
      </c>
      <c r="D9" s="33"/>
      <c r="E9" s="59" t="s">
        <v>3126</v>
      </c>
      <c r="F9" s="18" t="s">
        <v>2691</v>
      </c>
      <c r="G9" s="18" t="s">
        <v>2568</v>
      </c>
      <c r="H9" s="60" t="s">
        <v>778</v>
      </c>
      <c r="I9" s="36" t="s">
        <v>259</v>
      </c>
      <c r="J9" s="36" t="s">
        <v>259</v>
      </c>
      <c r="K9" s="61" t="s">
        <v>792</v>
      </c>
      <c r="L9" s="36" t="s">
        <v>981</v>
      </c>
      <c r="M9" s="514"/>
      <c r="N9" s="514">
        <f>IF($C9="","",VLOOKUP($C9,'2017 Pricelist'!$C:$I,7,FALSE))</f>
        <v>5.99</v>
      </c>
      <c r="O9" s="35">
        <v>1</v>
      </c>
      <c r="P9" s="187" t="s">
        <v>259</v>
      </c>
      <c r="Q9" s="33">
        <f>2.6/16</f>
        <v>0.16250000000000001</v>
      </c>
      <c r="R9" s="33">
        <v>4.5</v>
      </c>
      <c r="S9" s="33">
        <v>3.5</v>
      </c>
      <c r="T9" s="70">
        <v>0.06</v>
      </c>
      <c r="U9" s="33">
        <f>CONVERT(85,"g","lbm")</f>
        <v>0.18739292285714593</v>
      </c>
      <c r="V9" s="33">
        <v>4</v>
      </c>
      <c r="W9" s="33">
        <v>0.875</v>
      </c>
      <c r="X9" s="70">
        <v>7.875</v>
      </c>
      <c r="Y9" s="89" t="s">
        <v>259</v>
      </c>
      <c r="Z9" s="89" t="s">
        <v>259</v>
      </c>
      <c r="AA9" s="89" t="s">
        <v>259</v>
      </c>
      <c r="AB9" s="249" t="s">
        <v>259</v>
      </c>
      <c r="AC9" s="89" t="s">
        <v>259</v>
      </c>
      <c r="AD9" s="89" t="s">
        <v>259</v>
      </c>
      <c r="AE9" s="89" t="s">
        <v>259</v>
      </c>
      <c r="AF9" s="249" t="s">
        <v>259</v>
      </c>
      <c r="AG9" s="15"/>
      <c r="AH9" s="59" t="s">
        <v>3174</v>
      </c>
      <c r="AI9" s="59" t="s">
        <v>3175</v>
      </c>
      <c r="AJ9" s="59" t="s">
        <v>3176</v>
      </c>
      <c r="AK9" s="20" t="s">
        <v>3177</v>
      </c>
      <c r="AL9" s="59" t="s">
        <v>3178</v>
      </c>
      <c r="AM9" s="59" t="s">
        <v>3179</v>
      </c>
      <c r="AN9" s="59"/>
      <c r="AO9" s="59"/>
      <c r="AP9" s="59" t="s">
        <v>3173</v>
      </c>
      <c r="AQ9" s="9" t="s">
        <v>3162</v>
      </c>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row>
    <row r="10" spans="1:336" s="14" customFormat="1" x14ac:dyDescent="0.2">
      <c r="A10" s="18" t="s">
        <v>775</v>
      </c>
      <c r="B10" s="125"/>
      <c r="C10" s="18" t="s">
        <v>802</v>
      </c>
      <c r="D10" s="33"/>
      <c r="E10" s="59" t="s">
        <v>930</v>
      </c>
      <c r="F10" s="18" t="s">
        <v>2690</v>
      </c>
      <c r="G10" s="18" t="s">
        <v>2568</v>
      </c>
      <c r="H10" s="60" t="s">
        <v>777</v>
      </c>
      <c r="I10" s="36" t="s">
        <v>259</v>
      </c>
      <c r="J10" s="36" t="s">
        <v>259</v>
      </c>
      <c r="K10" s="61" t="s">
        <v>793</v>
      </c>
      <c r="L10" s="36" t="s">
        <v>975</v>
      </c>
      <c r="M10" s="514"/>
      <c r="N10" s="514">
        <f>IF($C10="","",VLOOKUP($C10,'2017 Pricelist'!$C:$I,7,FALSE))</f>
        <v>17.989999999999998</v>
      </c>
      <c r="O10" s="35">
        <v>1</v>
      </c>
      <c r="P10" s="302">
        <v>100</v>
      </c>
      <c r="Q10" s="33">
        <f>0.4/16</f>
        <v>2.5000000000000001E-2</v>
      </c>
      <c r="R10" s="33">
        <v>2.5</v>
      </c>
      <c r="S10" s="33">
        <v>1.5</v>
      </c>
      <c r="T10" s="70">
        <v>1.875</v>
      </c>
      <c r="U10" s="33">
        <f>CONVERT(20,"g","lbm")</f>
        <v>4.4092452436975516E-2</v>
      </c>
      <c r="V10" s="33">
        <v>4.5625</v>
      </c>
      <c r="W10" s="33">
        <v>1.25</v>
      </c>
      <c r="X10" s="70">
        <v>6</v>
      </c>
      <c r="Y10" s="89" t="s">
        <v>259</v>
      </c>
      <c r="Z10" s="89" t="s">
        <v>259</v>
      </c>
      <c r="AA10" s="89" t="s">
        <v>259</v>
      </c>
      <c r="AB10" s="249" t="s">
        <v>259</v>
      </c>
      <c r="AC10" s="33">
        <v>11.9</v>
      </c>
      <c r="AD10" s="33">
        <v>18</v>
      </c>
      <c r="AE10" s="33">
        <v>13</v>
      </c>
      <c r="AF10" s="70">
        <v>10.5</v>
      </c>
      <c r="AG10" s="15">
        <f>AD10*AE10*AF10/(12^3)</f>
        <v>1.421875</v>
      </c>
      <c r="AH10" s="59" t="s">
        <v>3181</v>
      </c>
      <c r="AI10" s="59" t="s">
        <v>3182</v>
      </c>
      <c r="AJ10" s="59" t="s">
        <v>3183</v>
      </c>
      <c r="AK10" s="59" t="s">
        <v>3184</v>
      </c>
      <c r="AL10" s="59" t="s">
        <v>3185</v>
      </c>
      <c r="AM10" s="59" t="s">
        <v>3186</v>
      </c>
      <c r="AN10" s="59"/>
      <c r="AO10" s="59"/>
      <c r="AP10" s="59" t="s">
        <v>3180</v>
      </c>
      <c r="AQ10" s="9" t="s">
        <v>3162</v>
      </c>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row>
    <row r="11" spans="1:336" s="14" customFormat="1" x14ac:dyDescent="0.2">
      <c r="A11" s="18" t="s">
        <v>775</v>
      </c>
      <c r="B11" s="125"/>
      <c r="C11" s="18" t="s">
        <v>3068</v>
      </c>
      <c r="D11" s="33"/>
      <c r="E11" s="59" t="s">
        <v>3127</v>
      </c>
      <c r="F11" s="18" t="s">
        <v>2690</v>
      </c>
      <c r="G11" s="18" t="s">
        <v>2558</v>
      </c>
      <c r="H11" s="60" t="s">
        <v>3114</v>
      </c>
      <c r="I11" s="251"/>
      <c r="J11" s="251"/>
      <c r="K11" s="61" t="s">
        <v>792</v>
      </c>
      <c r="L11" s="36" t="s">
        <v>975</v>
      </c>
      <c r="M11" s="514"/>
      <c r="N11" s="514">
        <v>12.99</v>
      </c>
      <c r="O11" s="35">
        <v>1</v>
      </c>
      <c r="P11" s="187">
        <v>450</v>
      </c>
      <c r="Q11" s="121">
        <f>CONVERT(0,"g","lbm")</f>
        <v>0</v>
      </c>
      <c r="R11" s="121">
        <f>CONVERT(0,"mm","in")</f>
        <v>0</v>
      </c>
      <c r="S11" s="121">
        <f>CONVERT(0,"mm","in")</f>
        <v>0</v>
      </c>
      <c r="T11" s="122">
        <f>CONVERT(0,"mm","in")</f>
        <v>0</v>
      </c>
      <c r="U11" s="121">
        <f>CONVERT(0,"g","lbm")</f>
        <v>0</v>
      </c>
      <c r="V11" s="121">
        <f>CONVERT(0,"mm","in")</f>
        <v>0</v>
      </c>
      <c r="W11" s="121">
        <f>CONVERT(0,"mm","in")</f>
        <v>0</v>
      </c>
      <c r="X11" s="122">
        <f>CONVERT(0,"mm","in")</f>
        <v>0</v>
      </c>
      <c r="Y11" s="121">
        <f>CONVERT(0,"g","lbm")</f>
        <v>0</v>
      </c>
      <c r="Z11" s="121">
        <f>CONVERT(0,"mm","in")</f>
        <v>0</v>
      </c>
      <c r="AA11" s="121">
        <f>CONVERT(0,"mm","in")</f>
        <v>0</v>
      </c>
      <c r="AB11" s="122">
        <f>CONVERT(0,"mm","in")</f>
        <v>0</v>
      </c>
      <c r="AC11" s="121">
        <f>CONVERT(0,"kg","lbm")</f>
        <v>0</v>
      </c>
      <c r="AD11" s="121">
        <f>CONVERT(0,"cm","in")</f>
        <v>0</v>
      </c>
      <c r="AE11" s="121">
        <f>CONVERT(0,"cm","in")</f>
        <v>0</v>
      </c>
      <c r="AF11" s="122">
        <f>CONVERT(0,"cm","in")</f>
        <v>0</v>
      </c>
      <c r="AG11" s="15">
        <f>AD11*AE11*AF11/(12^3)</f>
        <v>0</v>
      </c>
      <c r="AH11" s="59" t="s">
        <v>3190</v>
      </c>
      <c r="AI11" s="59" t="s">
        <v>3192</v>
      </c>
      <c r="AJ11" s="59" t="s">
        <v>3193</v>
      </c>
      <c r="AK11" s="59" t="s">
        <v>3195</v>
      </c>
      <c r="AL11" s="59" t="s">
        <v>3196</v>
      </c>
      <c r="AM11" s="59" t="s">
        <v>3198</v>
      </c>
      <c r="AN11" s="59"/>
      <c r="AO11" s="59"/>
      <c r="AP11" s="59" t="s">
        <v>3188</v>
      </c>
      <c r="AQ11" s="9" t="s">
        <v>3162</v>
      </c>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row>
    <row r="12" spans="1:336" s="14" customFormat="1" x14ac:dyDescent="0.2">
      <c r="A12" s="18" t="s">
        <v>775</v>
      </c>
      <c r="B12" s="125"/>
      <c r="C12" s="78" t="s">
        <v>1025</v>
      </c>
      <c r="D12" s="33"/>
      <c r="E12" s="59" t="s">
        <v>3128</v>
      </c>
      <c r="F12" s="18" t="s">
        <v>2690</v>
      </c>
      <c r="G12" s="18" t="s">
        <v>2558</v>
      </c>
      <c r="H12" s="8">
        <v>4021684028902</v>
      </c>
      <c r="I12" s="36" t="s">
        <v>259</v>
      </c>
      <c r="J12" s="36" t="s">
        <v>259</v>
      </c>
      <c r="K12" s="61" t="s">
        <v>792</v>
      </c>
      <c r="L12" s="36" t="s">
        <v>981</v>
      </c>
      <c r="M12" s="514"/>
      <c r="N12" s="514">
        <f>IF($C12="","",VLOOKUP($C12,'2017 Pricelist'!$C:$I,7,FALSE))</f>
        <v>22.99</v>
      </c>
      <c r="O12" s="35">
        <v>1</v>
      </c>
      <c r="P12" s="187">
        <v>75</v>
      </c>
      <c r="Q12" s="33">
        <f>12.7/16</f>
        <v>0.79374999999999996</v>
      </c>
      <c r="R12" s="33">
        <v>5.2</v>
      </c>
      <c r="S12" s="33">
        <v>3.8</v>
      </c>
      <c r="T12" s="70">
        <v>1.5</v>
      </c>
      <c r="U12" s="33">
        <f>CONVERT(375,"g","lbm")</f>
        <v>0.82673348319329087</v>
      </c>
      <c r="V12" s="33">
        <v>5.25</v>
      </c>
      <c r="W12" s="33">
        <v>1.5</v>
      </c>
      <c r="X12" s="70">
        <v>3.875</v>
      </c>
      <c r="Y12" s="89" t="s">
        <v>259</v>
      </c>
      <c r="Z12" s="89" t="s">
        <v>259</v>
      </c>
      <c r="AA12" s="89" t="s">
        <v>259</v>
      </c>
      <c r="AB12" s="249" t="s">
        <v>259</v>
      </c>
      <c r="AC12" s="33">
        <v>64</v>
      </c>
      <c r="AD12" s="33">
        <v>21</v>
      </c>
      <c r="AE12" s="33">
        <v>13.75</v>
      </c>
      <c r="AF12" s="70">
        <v>11.25</v>
      </c>
      <c r="AG12" s="15">
        <f>AD12*AE12*AF12/(12^3)</f>
        <v>1.8798828125</v>
      </c>
      <c r="AH12" s="59" t="s">
        <v>3189</v>
      </c>
      <c r="AI12" s="59" t="s">
        <v>3192</v>
      </c>
      <c r="AJ12" s="59" t="s">
        <v>3193</v>
      </c>
      <c r="AK12" s="59" t="s">
        <v>3194</v>
      </c>
      <c r="AL12" s="59" t="s">
        <v>3196</v>
      </c>
      <c r="AM12" s="59" t="s">
        <v>3197</v>
      </c>
      <c r="AN12" s="59"/>
      <c r="AO12" s="59"/>
      <c r="AP12" s="59" t="s">
        <v>3187</v>
      </c>
      <c r="AQ12" s="9" t="s">
        <v>3162</v>
      </c>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row>
    <row r="13" spans="1:336" s="14" customFormat="1" x14ac:dyDescent="0.2">
      <c r="A13" s="18" t="s">
        <v>775</v>
      </c>
      <c r="B13" s="125"/>
      <c r="C13" s="18" t="s">
        <v>801</v>
      </c>
      <c r="D13" s="33"/>
      <c r="E13" s="59" t="s">
        <v>3129</v>
      </c>
      <c r="F13" s="18" t="s">
        <v>2690</v>
      </c>
      <c r="G13" s="18" t="s">
        <v>2558</v>
      </c>
      <c r="H13" s="60" t="s">
        <v>776</v>
      </c>
      <c r="I13" s="36" t="s">
        <v>259</v>
      </c>
      <c r="J13" s="36" t="s">
        <v>259</v>
      </c>
      <c r="K13" s="61" t="s">
        <v>792</v>
      </c>
      <c r="L13" s="36" t="s">
        <v>981</v>
      </c>
      <c r="M13" s="514"/>
      <c r="N13" s="514">
        <f>IF($C13="","",VLOOKUP($C13,'2017 Pricelist'!$C:$I,7,FALSE))</f>
        <v>12.99</v>
      </c>
      <c r="O13" s="35">
        <v>1</v>
      </c>
      <c r="P13" s="187">
        <v>110</v>
      </c>
      <c r="Q13" s="33">
        <f>6.3/16</f>
        <v>0.39374999999999999</v>
      </c>
      <c r="R13" s="33">
        <v>3.9</v>
      </c>
      <c r="S13" s="33">
        <v>3</v>
      </c>
      <c r="T13" s="70">
        <v>0.9</v>
      </c>
      <c r="U13" s="33">
        <f>CONVERT(195,"g","lbm")</f>
        <v>0.42990141126051129</v>
      </c>
      <c r="V13" s="33">
        <v>4.125</v>
      </c>
      <c r="W13" s="33">
        <v>0.9375</v>
      </c>
      <c r="X13" s="70">
        <v>8</v>
      </c>
      <c r="Y13" s="89" t="s">
        <v>259</v>
      </c>
      <c r="Z13" s="89" t="s">
        <v>259</v>
      </c>
      <c r="AA13" s="89" t="s">
        <v>259</v>
      </c>
      <c r="AB13" s="249" t="s">
        <v>259</v>
      </c>
      <c r="AC13" s="33">
        <v>51</v>
      </c>
      <c r="AD13" s="33">
        <v>21</v>
      </c>
      <c r="AE13" s="33">
        <v>13.75</v>
      </c>
      <c r="AF13" s="70">
        <v>11.25</v>
      </c>
      <c r="AG13" s="15">
        <f>AD13*AE13*AF13/(12^3)</f>
        <v>1.8798828125</v>
      </c>
      <c r="AH13" s="59" t="s">
        <v>3190</v>
      </c>
      <c r="AI13" s="59" t="s">
        <v>3192</v>
      </c>
      <c r="AJ13" s="59" t="s">
        <v>3193</v>
      </c>
      <c r="AK13" s="59" t="s">
        <v>3195</v>
      </c>
      <c r="AL13" s="59" t="s">
        <v>3196</v>
      </c>
      <c r="AM13" s="59" t="s">
        <v>3198</v>
      </c>
      <c r="AN13" s="59"/>
      <c r="AO13" s="59"/>
      <c r="AP13" s="59" t="s">
        <v>3188</v>
      </c>
      <c r="AQ13" s="9" t="s">
        <v>3162</v>
      </c>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row>
    <row r="14" spans="1:336" s="258" customFormat="1" x14ac:dyDescent="0.2">
      <c r="A14" s="18" t="s">
        <v>775</v>
      </c>
      <c r="B14" s="125"/>
      <c r="C14" s="18" t="s">
        <v>1800</v>
      </c>
      <c r="D14" s="33"/>
      <c r="E14" s="59" t="s">
        <v>3130</v>
      </c>
      <c r="F14" s="18"/>
      <c r="G14" s="18" t="s">
        <v>2522</v>
      </c>
      <c r="H14" s="36" t="s">
        <v>1580</v>
      </c>
      <c r="I14" s="36" t="s">
        <v>259</v>
      </c>
      <c r="J14" s="36" t="s">
        <v>259</v>
      </c>
      <c r="K14" s="61" t="s">
        <v>3121</v>
      </c>
      <c r="L14" s="36" t="s">
        <v>981</v>
      </c>
      <c r="M14" s="514"/>
      <c r="N14" s="514">
        <v>359.64</v>
      </c>
      <c r="O14" s="35">
        <v>1</v>
      </c>
      <c r="P14" s="187" t="s">
        <v>3131</v>
      </c>
      <c r="Q14" s="33" t="s">
        <v>259</v>
      </c>
      <c r="R14" s="33" t="s">
        <v>259</v>
      </c>
      <c r="S14" s="33" t="s">
        <v>259</v>
      </c>
      <c r="T14" s="70" t="s">
        <v>259</v>
      </c>
      <c r="U14" s="121">
        <v>17.5</v>
      </c>
      <c r="V14" s="33">
        <v>13</v>
      </c>
      <c r="W14" s="33">
        <v>6.25</v>
      </c>
      <c r="X14" s="70">
        <v>16.5</v>
      </c>
      <c r="Y14" s="89" t="s">
        <v>259</v>
      </c>
      <c r="Z14" s="89" t="s">
        <v>259</v>
      </c>
      <c r="AA14" s="89" t="s">
        <v>259</v>
      </c>
      <c r="AB14" s="249" t="s">
        <v>259</v>
      </c>
      <c r="AC14" s="121">
        <v>17.5</v>
      </c>
      <c r="AD14" s="121">
        <v>9</v>
      </c>
      <c r="AE14" s="121">
        <v>14</v>
      </c>
      <c r="AF14" s="122">
        <v>14</v>
      </c>
      <c r="AG14" s="15">
        <f>AD14*AE14*AF14/(12^3)</f>
        <v>1.0208333333333333</v>
      </c>
      <c r="AH14" s="59" t="s">
        <v>1801</v>
      </c>
      <c r="AI14" s="59" t="s">
        <v>3191</v>
      </c>
      <c r="AJ14" s="59"/>
      <c r="AK14" s="59"/>
      <c r="AL14" s="9"/>
      <c r="AM14" s="9"/>
      <c r="AN14" s="9"/>
      <c r="AO14" s="9"/>
      <c r="AP14" s="9" t="s">
        <v>3162</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row>
    <row r="15" spans="1:336" s="14" customFormat="1" ht="15.75" x14ac:dyDescent="0.25">
      <c r="A15" s="403" t="s">
        <v>3118</v>
      </c>
      <c r="B15" s="403"/>
      <c r="C15" s="403"/>
      <c r="D15" s="22"/>
      <c r="E15" s="20"/>
      <c r="H15" s="29"/>
      <c r="I15" s="29"/>
      <c r="J15" s="29"/>
      <c r="K15" s="29"/>
      <c r="L15" s="256"/>
      <c r="M15" s="4"/>
      <c r="N15" s="4"/>
      <c r="O15" s="35"/>
      <c r="P15" s="187"/>
      <c r="Q15" s="33"/>
      <c r="R15" s="33"/>
      <c r="S15" s="33"/>
      <c r="T15" s="43"/>
      <c r="U15" s="15"/>
      <c r="V15" s="15"/>
      <c r="W15" s="15"/>
      <c r="X15" s="43"/>
      <c r="Y15" s="15"/>
      <c r="Z15" s="15"/>
      <c r="AA15" s="15"/>
      <c r="AB15" s="43"/>
      <c r="AC15" s="42"/>
      <c r="AD15" s="15"/>
      <c r="AE15" s="15"/>
      <c r="AF15" s="43"/>
      <c r="AG15" s="131"/>
      <c r="AH15" s="136"/>
      <c r="AI15" s="136"/>
      <c r="AJ15" s="136"/>
      <c r="AK15" s="136"/>
      <c r="AL15" s="136"/>
      <c r="AM15" s="136"/>
      <c r="AN15" s="46"/>
      <c r="AO15" s="134"/>
      <c r="AP15" s="46"/>
      <c r="AQ15" s="46"/>
      <c r="AR15" s="46"/>
    </row>
    <row r="16" spans="1:336" s="14" customFormat="1" ht="13.5" customHeight="1" x14ac:dyDescent="0.25">
      <c r="A16" s="18" t="s">
        <v>775</v>
      </c>
      <c r="B16" s="613"/>
      <c r="C16" s="225" t="s">
        <v>4771</v>
      </c>
      <c r="D16" s="22"/>
      <c r="E16" s="59" t="s">
        <v>4401</v>
      </c>
      <c r="F16" s="14" t="s">
        <v>266</v>
      </c>
      <c r="G16" s="14" t="s">
        <v>2557</v>
      </c>
      <c r="H16" s="29" t="s">
        <v>4773</v>
      </c>
      <c r="I16" s="36" t="s">
        <v>259</v>
      </c>
      <c r="J16" s="36" t="s">
        <v>259</v>
      </c>
      <c r="K16" s="29" t="s">
        <v>795</v>
      </c>
      <c r="L16" s="36" t="s">
        <v>975</v>
      </c>
      <c r="M16" s="4"/>
      <c r="N16" s="4">
        <v>34.99</v>
      </c>
      <c r="O16" s="35">
        <v>1</v>
      </c>
      <c r="P16" s="187">
        <v>12</v>
      </c>
      <c r="Q16" s="33">
        <v>0.63</v>
      </c>
      <c r="R16" s="33">
        <v>4.4000000000000004</v>
      </c>
      <c r="S16" s="33">
        <v>4.4000000000000004</v>
      </c>
      <c r="T16" s="43">
        <v>6.5</v>
      </c>
      <c r="U16" s="15">
        <v>0.78</v>
      </c>
      <c r="V16" s="15">
        <v>4.5</v>
      </c>
      <c r="W16" s="15">
        <v>4.5</v>
      </c>
      <c r="X16" s="43">
        <v>4.25</v>
      </c>
      <c r="Y16" s="89" t="s">
        <v>259</v>
      </c>
      <c r="Z16" s="89" t="s">
        <v>259</v>
      </c>
      <c r="AA16" s="89" t="s">
        <v>259</v>
      </c>
      <c r="AB16" s="249" t="s">
        <v>259</v>
      </c>
      <c r="AC16" s="15"/>
      <c r="AD16" s="15"/>
      <c r="AE16" s="15"/>
      <c r="AF16" s="43"/>
      <c r="AG16" s="18"/>
      <c r="AH16" s="59" t="s">
        <v>3199</v>
      </c>
      <c r="AI16" s="59" t="s">
        <v>3200</v>
      </c>
      <c r="AJ16" s="59" t="s">
        <v>3201</v>
      </c>
      <c r="AK16" s="59" t="s">
        <v>3202</v>
      </c>
      <c r="AL16" s="59" t="s">
        <v>5434</v>
      </c>
      <c r="AM16" s="136"/>
      <c r="AN16" s="46"/>
      <c r="AO16" s="134"/>
      <c r="AP16" s="657" t="s">
        <v>5435</v>
      </c>
      <c r="AQ16" s="9" t="s">
        <v>3162</v>
      </c>
      <c r="AR16" s="46"/>
    </row>
    <row r="17" spans="1:336" s="18" customFormat="1" x14ac:dyDescent="0.2">
      <c r="A17" s="18" t="s">
        <v>775</v>
      </c>
      <c r="B17" s="125"/>
      <c r="C17" s="18" t="s">
        <v>808</v>
      </c>
      <c r="D17" s="33"/>
      <c r="E17" s="59" t="s">
        <v>3132</v>
      </c>
      <c r="F17" s="18" t="s">
        <v>2690</v>
      </c>
      <c r="G17" s="18" t="s">
        <v>2557</v>
      </c>
      <c r="H17" s="60" t="s">
        <v>783</v>
      </c>
      <c r="I17" s="36" t="s">
        <v>259</v>
      </c>
      <c r="J17" s="36" t="s">
        <v>259</v>
      </c>
      <c r="K17" s="61" t="s">
        <v>795</v>
      </c>
      <c r="L17" s="36" t="s">
        <v>975</v>
      </c>
      <c r="M17" s="514"/>
      <c r="N17" s="514">
        <f>IF($C17="","",VLOOKUP($C17,'2017 Pricelist'!$C:$I,7,FALSE))</f>
        <v>29.990000000000002</v>
      </c>
      <c r="O17" s="35">
        <v>1</v>
      </c>
      <c r="P17" s="187">
        <v>12</v>
      </c>
      <c r="Q17" s="33">
        <f>7.9/16</f>
        <v>0.49375000000000002</v>
      </c>
      <c r="R17" s="33">
        <v>4.4000000000000004</v>
      </c>
      <c r="S17" s="33">
        <v>4.4000000000000004</v>
      </c>
      <c r="T17" s="70">
        <v>6.5</v>
      </c>
      <c r="U17" s="33">
        <f>CONVERT(290,"g","lbm")</f>
        <v>0.63934056033614495</v>
      </c>
      <c r="V17" s="33">
        <v>4.5</v>
      </c>
      <c r="W17" s="33">
        <v>4.5</v>
      </c>
      <c r="X17" s="70">
        <v>4.25</v>
      </c>
      <c r="Y17" s="89" t="s">
        <v>259</v>
      </c>
      <c r="Z17" s="89" t="s">
        <v>259</v>
      </c>
      <c r="AA17" s="89" t="s">
        <v>259</v>
      </c>
      <c r="AB17" s="249" t="s">
        <v>259</v>
      </c>
      <c r="AC17" s="33">
        <v>7.75</v>
      </c>
      <c r="AD17" s="33">
        <v>14.2</v>
      </c>
      <c r="AE17" s="33">
        <v>9.6999999999999993</v>
      </c>
      <c r="AF17" s="70">
        <v>9.6999999999999993</v>
      </c>
      <c r="AG17" s="15">
        <f t="shared" ref="AG17:AG22" si="1">AD17*AE17*AF17/(12^3)</f>
        <v>0.77319328703703694</v>
      </c>
      <c r="AH17" s="59" t="s">
        <v>3199</v>
      </c>
      <c r="AI17" s="59" t="s">
        <v>3200</v>
      </c>
      <c r="AJ17" s="59" t="s">
        <v>3201</v>
      </c>
      <c r="AK17" s="59" t="s">
        <v>3202</v>
      </c>
      <c r="AL17" s="59" t="s">
        <v>991</v>
      </c>
      <c r="AM17" s="59" t="s">
        <v>989</v>
      </c>
      <c r="AN17" s="59" t="s">
        <v>3203</v>
      </c>
      <c r="AO17" s="59"/>
      <c r="AP17" s="59" t="s">
        <v>3204</v>
      </c>
      <c r="AQ17" s="9" t="s">
        <v>3162</v>
      </c>
      <c r="AS17" s="14"/>
      <c r="AT17" s="14"/>
      <c r="AU17" s="14"/>
    </row>
    <row r="18" spans="1:336" s="14" customFormat="1" x14ac:dyDescent="0.2">
      <c r="A18" s="225" t="s">
        <v>775</v>
      </c>
      <c r="B18" s="225"/>
      <c r="C18" s="225" t="s">
        <v>4268</v>
      </c>
      <c r="D18" s="22"/>
      <c r="E18" s="59" t="s">
        <v>4269</v>
      </c>
      <c r="F18" s="14" t="s">
        <v>266</v>
      </c>
      <c r="G18" s="14" t="s">
        <v>2557</v>
      </c>
      <c r="H18" s="29" t="s">
        <v>4270</v>
      </c>
      <c r="I18" s="29" t="s">
        <v>259</v>
      </c>
      <c r="J18" s="29" t="s">
        <v>259</v>
      </c>
      <c r="K18" s="29" t="s">
        <v>795</v>
      </c>
      <c r="L18" s="29" t="s">
        <v>975</v>
      </c>
      <c r="M18" s="514"/>
      <c r="N18" s="514">
        <f>IF($C18="","",VLOOKUP($C18,'2017 Pricelist'!$C:$I,7,FALSE))</f>
        <v>59.99</v>
      </c>
      <c r="O18" s="35">
        <v>1</v>
      </c>
      <c r="P18" s="187">
        <v>12</v>
      </c>
      <c r="Q18" s="33">
        <v>1.24</v>
      </c>
      <c r="R18" s="33">
        <v>4.38</v>
      </c>
      <c r="S18" s="33">
        <v>4.38</v>
      </c>
      <c r="T18" s="43">
        <v>9.25</v>
      </c>
      <c r="U18" s="15">
        <v>1.44</v>
      </c>
      <c r="V18" s="15">
        <v>5.25</v>
      </c>
      <c r="W18" s="15">
        <v>5.25</v>
      </c>
      <c r="X18" s="43">
        <v>6.5</v>
      </c>
      <c r="Y18" s="249" t="s">
        <v>259</v>
      </c>
      <c r="Z18" s="249" t="s">
        <v>259</v>
      </c>
      <c r="AA18" s="249" t="s">
        <v>259</v>
      </c>
      <c r="AB18" s="249" t="s">
        <v>259</v>
      </c>
      <c r="AC18" s="15">
        <v>16.98</v>
      </c>
      <c r="AD18" s="15">
        <v>16.53</v>
      </c>
      <c r="AE18" s="15">
        <v>11.22</v>
      </c>
      <c r="AF18" s="43">
        <v>13.78</v>
      </c>
      <c r="AG18" s="18">
        <f t="shared" si="1"/>
        <v>1.4790102708333335</v>
      </c>
      <c r="AH18" s="59" t="s">
        <v>3205</v>
      </c>
      <c r="AI18" s="59" t="s">
        <v>3206</v>
      </c>
      <c r="AJ18" t="s">
        <v>3207</v>
      </c>
      <c r="AK18" s="59" t="s">
        <v>3208</v>
      </c>
      <c r="AL18" s="576" t="s">
        <v>4271</v>
      </c>
      <c r="AM18" s="59" t="s">
        <v>3210</v>
      </c>
      <c r="AN18" s="59" t="s">
        <v>989</v>
      </c>
      <c r="AO18" s="59" t="s">
        <v>4272</v>
      </c>
      <c r="AP18" s="46" t="s">
        <v>4273</v>
      </c>
      <c r="AQ18" s="9" t="s">
        <v>3162</v>
      </c>
      <c r="AR18" s="46"/>
    </row>
    <row r="19" spans="1:336" s="18" customFormat="1" x14ac:dyDescent="0.2">
      <c r="A19" s="18" t="s">
        <v>775</v>
      </c>
      <c r="B19" s="125"/>
      <c r="C19" s="18" t="s">
        <v>809</v>
      </c>
      <c r="D19" s="33"/>
      <c r="E19" s="59" t="s">
        <v>3134</v>
      </c>
      <c r="F19" s="18" t="s">
        <v>2690</v>
      </c>
      <c r="G19" s="18" t="s">
        <v>2557</v>
      </c>
      <c r="H19" s="60" t="s">
        <v>784</v>
      </c>
      <c r="I19" s="36" t="s">
        <v>259</v>
      </c>
      <c r="J19" s="36" t="s">
        <v>259</v>
      </c>
      <c r="K19" s="61" t="s">
        <v>795</v>
      </c>
      <c r="L19" s="36" t="s">
        <v>975</v>
      </c>
      <c r="M19" s="514"/>
      <c r="N19" s="514">
        <f>IF($C19="","",VLOOKUP($C19,'2017 Pricelist'!$C:$I,7,FALSE))</f>
        <v>49.99</v>
      </c>
      <c r="O19" s="35">
        <v>1</v>
      </c>
      <c r="P19" s="187">
        <v>12</v>
      </c>
      <c r="Q19" s="33">
        <f>16.1/16</f>
        <v>1.0062500000000001</v>
      </c>
      <c r="R19" s="33">
        <v>4.375</v>
      </c>
      <c r="S19" s="33">
        <v>4.375</v>
      </c>
      <c r="T19" s="70">
        <v>9.25</v>
      </c>
      <c r="U19" s="33">
        <f>CONVERT(550,"g","lbm")</f>
        <v>1.2125424420168267</v>
      </c>
      <c r="V19" s="33">
        <v>5.25</v>
      </c>
      <c r="W19" s="33">
        <v>5.25</v>
      </c>
      <c r="X19" s="70">
        <v>6.5</v>
      </c>
      <c r="Y19" s="89" t="s">
        <v>259</v>
      </c>
      <c r="Z19" s="89" t="s">
        <v>259</v>
      </c>
      <c r="AA19" s="89" t="s">
        <v>259</v>
      </c>
      <c r="AB19" s="249" t="s">
        <v>259</v>
      </c>
      <c r="AC19" s="33">
        <v>16.5</v>
      </c>
      <c r="AD19" s="33">
        <v>16.350000000000001</v>
      </c>
      <c r="AE19" s="33">
        <v>11</v>
      </c>
      <c r="AF19" s="70">
        <v>14.2</v>
      </c>
      <c r="AG19" s="15">
        <f t="shared" si="1"/>
        <v>1.4779340277777779</v>
      </c>
      <c r="AH19" s="59" t="s">
        <v>3205</v>
      </c>
      <c r="AI19" s="59" t="s">
        <v>3206</v>
      </c>
      <c r="AJ19" t="s">
        <v>3207</v>
      </c>
      <c r="AK19" s="59" t="s">
        <v>3208</v>
      </c>
      <c r="AL19" s="59" t="s">
        <v>3209</v>
      </c>
      <c r="AM19" s="59" t="s">
        <v>3210</v>
      </c>
      <c r="AN19" s="59" t="s">
        <v>989</v>
      </c>
      <c r="AO19" s="59" t="s">
        <v>3211</v>
      </c>
      <c r="AP19" s="59" t="s">
        <v>3212</v>
      </c>
      <c r="AQ19" s="9" t="s">
        <v>3162</v>
      </c>
      <c r="AS19" s="14"/>
      <c r="AT19" s="14"/>
      <c r="AU19" s="14"/>
    </row>
    <row r="20" spans="1:336" s="14" customFormat="1" x14ac:dyDescent="0.2">
      <c r="A20" s="18" t="s">
        <v>775</v>
      </c>
      <c r="B20" s="125"/>
      <c r="C20" s="37" t="s">
        <v>1132</v>
      </c>
      <c r="D20" s="33"/>
      <c r="E20" s="59" t="s">
        <v>3135</v>
      </c>
      <c r="F20" s="18" t="s">
        <v>2690</v>
      </c>
      <c r="G20" s="18" t="s">
        <v>2557</v>
      </c>
      <c r="H20" s="60" t="s">
        <v>1134</v>
      </c>
      <c r="I20" s="36" t="s">
        <v>259</v>
      </c>
      <c r="J20" s="36" t="s">
        <v>259</v>
      </c>
      <c r="K20" s="61" t="s">
        <v>795</v>
      </c>
      <c r="L20" s="36" t="s">
        <v>975</v>
      </c>
      <c r="M20" s="514"/>
      <c r="N20" s="514">
        <f>IF($C20="","",VLOOKUP($C20,'2017 Pricelist'!$C:$I,7,FALSE))</f>
        <v>99.990000000000009</v>
      </c>
      <c r="O20" s="35">
        <v>1</v>
      </c>
      <c r="P20" s="187">
        <v>12</v>
      </c>
      <c r="Q20" s="33">
        <f>42.3/16</f>
        <v>2.6437499999999998</v>
      </c>
      <c r="R20" s="33" t="s">
        <v>259</v>
      </c>
      <c r="S20" s="33" t="s">
        <v>259</v>
      </c>
      <c r="T20" s="70" t="s">
        <v>259</v>
      </c>
      <c r="U20" s="33">
        <f>CONVERT(1390,"g","lbm")</f>
        <v>3.0644254443697982</v>
      </c>
      <c r="V20" s="33">
        <v>4.4000000000000004</v>
      </c>
      <c r="W20" s="33">
        <v>4.4000000000000004</v>
      </c>
      <c r="X20" s="70">
        <v>5.6</v>
      </c>
      <c r="Y20" s="89" t="s">
        <v>259</v>
      </c>
      <c r="Z20" s="89" t="s">
        <v>259</v>
      </c>
      <c r="AA20" s="89" t="s">
        <v>259</v>
      </c>
      <c r="AB20" s="249" t="s">
        <v>259</v>
      </c>
      <c r="AC20" s="33">
        <v>38.700000000000003</v>
      </c>
      <c r="AD20" s="33">
        <v>25.5</v>
      </c>
      <c r="AE20" s="33">
        <v>11.5</v>
      </c>
      <c r="AF20" s="70">
        <v>17.5</v>
      </c>
      <c r="AG20" s="15">
        <f t="shared" si="1"/>
        <v>2.9698350694444446</v>
      </c>
      <c r="AH20" s="59" t="s">
        <v>3214</v>
      </c>
      <c r="AI20" s="59" t="s">
        <v>3215</v>
      </c>
      <c r="AJ20" s="59" t="s">
        <v>3216</v>
      </c>
      <c r="AK20" s="59" t="s">
        <v>1133</v>
      </c>
      <c r="AL20" s="59" t="s">
        <v>991</v>
      </c>
      <c r="AM20" s="59" t="s">
        <v>3210</v>
      </c>
      <c r="AN20" s="59" t="s">
        <v>989</v>
      </c>
      <c r="AO20" s="59" t="s">
        <v>3217</v>
      </c>
      <c r="AP20" s="59" t="s">
        <v>3213</v>
      </c>
      <c r="AQ20" s="9" t="s">
        <v>3162</v>
      </c>
      <c r="AR20" s="18"/>
    </row>
    <row r="21" spans="1:336" s="14" customFormat="1" x14ac:dyDescent="0.2">
      <c r="A21" s="18" t="s">
        <v>775</v>
      </c>
      <c r="B21" s="125"/>
      <c r="C21" s="18" t="s">
        <v>862</v>
      </c>
      <c r="D21" s="33"/>
      <c r="E21" s="59" t="s">
        <v>3137</v>
      </c>
      <c r="F21" s="18" t="s">
        <v>1550</v>
      </c>
      <c r="G21" s="18" t="s">
        <v>2558</v>
      </c>
      <c r="H21" s="60" t="s">
        <v>863</v>
      </c>
      <c r="I21" s="36" t="s">
        <v>259</v>
      </c>
      <c r="J21" s="36" t="s">
        <v>259</v>
      </c>
      <c r="K21" s="61" t="s">
        <v>792</v>
      </c>
      <c r="L21" s="36" t="s">
        <v>975</v>
      </c>
      <c r="M21" s="514"/>
      <c r="N21" s="514">
        <f>IF($C21="","",VLOOKUP($C21,'2017 Pricelist'!$C:$I,7,FALSE))</f>
        <v>29.990000000000002</v>
      </c>
      <c r="O21" s="35">
        <v>1</v>
      </c>
      <c r="P21" s="187">
        <v>26</v>
      </c>
      <c r="Q21" s="33">
        <f>CONVERT(95,"g","lbm")</f>
        <v>0.20943914907563368</v>
      </c>
      <c r="R21" s="33">
        <v>4.75</v>
      </c>
      <c r="S21" s="33">
        <v>0.5</v>
      </c>
      <c r="T21" s="70">
        <v>5</v>
      </c>
      <c r="U21" s="33">
        <f>CONVERT(125,"g","lbm")</f>
        <v>0.27557782773109696</v>
      </c>
      <c r="V21" s="33">
        <v>5</v>
      </c>
      <c r="W21" s="33">
        <v>0.75</v>
      </c>
      <c r="X21" s="70">
        <v>6.5</v>
      </c>
      <c r="Y21" s="89" t="s">
        <v>259</v>
      </c>
      <c r="Z21" s="89" t="s">
        <v>259</v>
      </c>
      <c r="AA21" s="89" t="s">
        <v>259</v>
      </c>
      <c r="AB21" s="249" t="s">
        <v>259</v>
      </c>
      <c r="AC21" s="33">
        <v>7.65</v>
      </c>
      <c r="AD21" s="33">
        <v>10.5</v>
      </c>
      <c r="AE21" s="33">
        <v>7.375</v>
      </c>
      <c r="AF21" s="70">
        <v>11.75</v>
      </c>
      <c r="AG21" s="15">
        <f t="shared" si="1"/>
        <v>0.52655707465277779</v>
      </c>
      <c r="AH21" s="78" t="s">
        <v>995</v>
      </c>
      <c r="AI21" s="78" t="s">
        <v>3219</v>
      </c>
      <c r="AJ21" s="78" t="s">
        <v>996</v>
      </c>
      <c r="AK21" s="78" t="s">
        <v>997</v>
      </c>
      <c r="AL21" s="78" t="s">
        <v>3220</v>
      </c>
      <c r="AM21" s="78"/>
      <c r="AN21" s="78"/>
      <c r="AO21" s="78"/>
      <c r="AP21" s="78" t="s">
        <v>3218</v>
      </c>
      <c r="AQ21" s="9" t="s">
        <v>3162</v>
      </c>
      <c r="AR21" s="18"/>
      <c r="AS21" s="18"/>
      <c r="AT21" s="18"/>
      <c r="AU21" s="18"/>
    </row>
    <row r="22" spans="1:336" s="14" customFormat="1" x14ac:dyDescent="0.2">
      <c r="A22" s="18" t="s">
        <v>775</v>
      </c>
      <c r="B22" s="125"/>
      <c r="C22" s="18" t="s">
        <v>806</v>
      </c>
      <c r="D22" s="33"/>
      <c r="E22" s="59" t="s">
        <v>3136</v>
      </c>
      <c r="F22" s="18" t="s">
        <v>119</v>
      </c>
      <c r="G22" s="18" t="s">
        <v>2658</v>
      </c>
      <c r="H22" s="60" t="s">
        <v>781</v>
      </c>
      <c r="I22" s="36" t="s">
        <v>259</v>
      </c>
      <c r="J22" s="36" t="s">
        <v>259</v>
      </c>
      <c r="K22" s="61" t="s">
        <v>794</v>
      </c>
      <c r="L22" s="36" t="s">
        <v>975</v>
      </c>
      <c r="M22" s="514"/>
      <c r="N22" s="514">
        <f>IF($C22="","",VLOOKUP($C22,'2017 Pricelist'!$C:$I,7,FALSE))</f>
        <v>24.990000000000002</v>
      </c>
      <c r="O22" s="35">
        <v>1</v>
      </c>
      <c r="P22" s="187">
        <v>24</v>
      </c>
      <c r="Q22" s="33">
        <f>3.4/16</f>
        <v>0.21249999999999999</v>
      </c>
      <c r="R22" s="33">
        <v>3</v>
      </c>
      <c r="S22" s="33">
        <v>3</v>
      </c>
      <c r="T22" s="70">
        <v>1.875</v>
      </c>
      <c r="U22" s="33">
        <f>CONVERT(110,"g","lbm")</f>
        <v>0.24250848840336534</v>
      </c>
      <c r="V22" s="33">
        <v>6.75</v>
      </c>
      <c r="W22" s="33">
        <v>2.25</v>
      </c>
      <c r="X22" s="70">
        <v>7</v>
      </c>
      <c r="Y22" s="89" t="s">
        <v>259</v>
      </c>
      <c r="Z22" s="89" t="s">
        <v>259</v>
      </c>
      <c r="AA22" s="89" t="s">
        <v>259</v>
      </c>
      <c r="AB22" s="249" t="s">
        <v>259</v>
      </c>
      <c r="AC22" s="33">
        <v>7.75</v>
      </c>
      <c r="AD22" s="33">
        <v>12.5</v>
      </c>
      <c r="AE22" s="33">
        <v>10</v>
      </c>
      <c r="AF22" s="70">
        <v>9</v>
      </c>
      <c r="AG22" s="15">
        <f t="shared" si="1"/>
        <v>0.65104166666666663</v>
      </c>
      <c r="AH22" s="59" t="s">
        <v>3221</v>
      </c>
      <c r="AI22" s="59" t="s">
        <v>3222</v>
      </c>
      <c r="AJ22" s="59" t="s">
        <v>3223</v>
      </c>
      <c r="AK22" s="59" t="s">
        <v>3224</v>
      </c>
      <c r="AL22" s="59" t="s">
        <v>3225</v>
      </c>
      <c r="AM22" s="59" t="s">
        <v>3226</v>
      </c>
      <c r="AN22" s="59"/>
      <c r="AO22" s="59"/>
      <c r="AP22" s="59" t="s">
        <v>3227</v>
      </c>
      <c r="AQ22" s="9" t="s">
        <v>3162</v>
      </c>
      <c r="AR22" s="18"/>
    </row>
    <row r="23" spans="1:336" s="14" customFormat="1" ht="15.75" x14ac:dyDescent="0.25">
      <c r="A23" s="403" t="s">
        <v>3119</v>
      </c>
      <c r="B23" s="403"/>
      <c r="C23" s="403"/>
      <c r="D23" s="22"/>
      <c r="E23" s="20"/>
      <c r="H23" s="29"/>
      <c r="I23" s="29"/>
      <c r="J23" s="29"/>
      <c r="K23" s="29"/>
      <c r="L23" s="256"/>
      <c r="M23" s="4"/>
      <c r="N23" s="4"/>
      <c r="O23" s="35"/>
      <c r="P23" s="187"/>
      <c r="Q23" s="33"/>
      <c r="R23" s="33"/>
      <c r="S23" s="33"/>
      <c r="T23" s="43"/>
      <c r="U23" s="15"/>
      <c r="V23" s="15"/>
      <c r="W23" s="15"/>
      <c r="X23" s="43"/>
      <c r="Y23" s="15"/>
      <c r="Z23" s="15"/>
      <c r="AA23" s="15"/>
      <c r="AB23" s="43"/>
      <c r="AC23" s="42"/>
      <c r="AD23" s="15"/>
      <c r="AE23" s="15"/>
      <c r="AF23" s="43"/>
      <c r="AG23" s="131"/>
      <c r="AH23" s="136"/>
      <c r="AI23" s="136"/>
      <c r="AJ23" s="136"/>
      <c r="AK23" s="136"/>
      <c r="AL23" s="136"/>
      <c r="AM23" s="136"/>
      <c r="AN23" s="46"/>
      <c r="AO23" s="134"/>
      <c r="AP23" s="46"/>
      <c r="AQ23" s="46"/>
      <c r="AR23" s="46"/>
    </row>
    <row r="24" spans="1:336" s="14" customFormat="1" x14ac:dyDescent="0.2">
      <c r="A24" s="18" t="s">
        <v>775</v>
      </c>
      <c r="B24" s="125"/>
      <c r="C24" s="18" t="s">
        <v>857</v>
      </c>
      <c r="D24" s="33"/>
      <c r="E24" s="59" t="s">
        <v>3143</v>
      </c>
      <c r="F24" s="18" t="s">
        <v>2690</v>
      </c>
      <c r="G24" s="18" t="s">
        <v>2557</v>
      </c>
      <c r="H24" s="60" t="s">
        <v>858</v>
      </c>
      <c r="I24" s="36" t="s">
        <v>259</v>
      </c>
      <c r="J24" s="36" t="s">
        <v>259</v>
      </c>
      <c r="K24" s="61" t="s">
        <v>793</v>
      </c>
      <c r="L24" s="36" t="s">
        <v>975</v>
      </c>
      <c r="M24" s="514"/>
      <c r="N24" s="514">
        <f>IF($C24="","",VLOOKUP($C24,'2017 Pricelist'!$C:$I,7,FALSE))</f>
        <v>69.990000000000009</v>
      </c>
      <c r="O24" s="35">
        <v>1</v>
      </c>
      <c r="P24" s="187">
        <v>36</v>
      </c>
      <c r="Q24" s="33">
        <f>4/16</f>
        <v>0.25</v>
      </c>
      <c r="R24" s="33">
        <v>5</v>
      </c>
      <c r="S24" s="33">
        <v>3.75</v>
      </c>
      <c r="T24" s="70">
        <v>4.375</v>
      </c>
      <c r="U24" s="33">
        <f>CONVERT(170,"g","lbm")</f>
        <v>0.37478584571429185</v>
      </c>
      <c r="V24" s="33">
        <v>4.1875</v>
      </c>
      <c r="W24" s="33">
        <v>4.1875</v>
      </c>
      <c r="X24" s="70">
        <v>5.125</v>
      </c>
      <c r="Y24" s="89" t="s">
        <v>259</v>
      </c>
      <c r="Z24" s="89" t="s">
        <v>259</v>
      </c>
      <c r="AA24" s="89" t="s">
        <v>259</v>
      </c>
      <c r="AB24" s="249" t="s">
        <v>259</v>
      </c>
      <c r="AC24" s="33">
        <v>11.46</v>
      </c>
      <c r="AD24" s="33">
        <v>18.5</v>
      </c>
      <c r="AE24" s="33">
        <v>16.25</v>
      </c>
      <c r="AF24" s="70">
        <v>14.75</v>
      </c>
      <c r="AG24" s="15">
        <f t="shared" ref="AG24:AG32" si="2">AD24*AE24*AF24/(12^3)</f>
        <v>2.5660988136574074</v>
      </c>
      <c r="AH24" s="78" t="s">
        <v>988</v>
      </c>
      <c r="AI24" s="78" t="s">
        <v>3230</v>
      </c>
      <c r="AJ24" s="78" t="s">
        <v>3231</v>
      </c>
      <c r="AK24" s="78" t="s">
        <v>3232</v>
      </c>
      <c r="AL24" s="78"/>
      <c r="AM24" s="78" t="s">
        <v>3233</v>
      </c>
      <c r="AN24" s="78"/>
      <c r="AO24" s="78"/>
      <c r="AP24" s="78" t="s">
        <v>990</v>
      </c>
      <c r="AQ24" s="9" t="s">
        <v>3162</v>
      </c>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row>
    <row r="25" spans="1:336" x14ac:dyDescent="0.2">
      <c r="A25" s="18" t="s">
        <v>775</v>
      </c>
      <c r="B25" s="125"/>
      <c r="C25" s="18" t="s">
        <v>1023</v>
      </c>
      <c r="D25" s="33"/>
      <c r="E25" s="59" t="s">
        <v>3144</v>
      </c>
      <c r="F25" s="18" t="s">
        <v>2690</v>
      </c>
      <c r="G25" s="18" t="s">
        <v>2557</v>
      </c>
      <c r="H25" s="60" t="s">
        <v>1024</v>
      </c>
      <c r="I25" s="36" t="s">
        <v>259</v>
      </c>
      <c r="J25" s="36" t="s">
        <v>259</v>
      </c>
      <c r="K25" s="61" t="s">
        <v>795</v>
      </c>
      <c r="L25" s="36" t="s">
        <v>975</v>
      </c>
      <c r="M25" s="514"/>
      <c r="N25" s="514">
        <f>IF($C25="","",VLOOKUP($C25,'2017 Pricelist'!$C:$I,7,FALSE))</f>
        <v>29.990000000000002</v>
      </c>
      <c r="O25" s="35">
        <v>1</v>
      </c>
      <c r="P25" s="187">
        <v>12</v>
      </c>
      <c r="Q25" s="33">
        <f>CONVERT(174,"g","lbm")</f>
        <v>0.38360433620168699</v>
      </c>
      <c r="R25" s="33">
        <v>5.9</v>
      </c>
      <c r="S25" s="33">
        <v>5.9</v>
      </c>
      <c r="T25" s="70">
        <v>3.9</v>
      </c>
      <c r="U25" s="33">
        <f>CONVERT(285,"g","lbm")</f>
        <v>0.62831744722690108</v>
      </c>
      <c r="V25" s="33">
        <v>6.375</v>
      </c>
      <c r="W25" s="33">
        <v>6.375</v>
      </c>
      <c r="X25" s="70">
        <v>4.3875000000000002</v>
      </c>
      <c r="Y25" s="89" t="s">
        <v>259</v>
      </c>
      <c r="Z25" s="89" t="s">
        <v>259</v>
      </c>
      <c r="AA25" s="89" t="s">
        <v>259</v>
      </c>
      <c r="AB25" s="249" t="s">
        <v>259</v>
      </c>
      <c r="AC25" s="33">
        <v>9.3000000000000007</v>
      </c>
      <c r="AD25" s="33">
        <v>9.5</v>
      </c>
      <c r="AE25" s="33">
        <v>13</v>
      </c>
      <c r="AF25" s="70">
        <v>20</v>
      </c>
      <c r="AG25" s="15">
        <f t="shared" si="2"/>
        <v>1.4293981481481481</v>
      </c>
      <c r="AH25" s="78" t="s">
        <v>3234</v>
      </c>
      <c r="AI25" s="78"/>
      <c r="AJ25" s="78" t="s">
        <v>3235</v>
      </c>
      <c r="AK25" s="78" t="s">
        <v>3238</v>
      </c>
      <c r="AL25" s="78"/>
      <c r="AM25" s="78"/>
      <c r="AN25" s="78"/>
      <c r="AO25" s="78"/>
      <c r="AP25" s="78" t="s">
        <v>3236</v>
      </c>
      <c r="AQ25" s="9" t="s">
        <v>3162</v>
      </c>
      <c r="AR25" s="18"/>
    </row>
    <row r="26" spans="1:336" s="14" customFormat="1" x14ac:dyDescent="0.2">
      <c r="A26" s="18" t="s">
        <v>775</v>
      </c>
      <c r="B26" s="125"/>
      <c r="C26" s="18" t="s">
        <v>859</v>
      </c>
      <c r="D26" s="33"/>
      <c r="E26" s="59" t="s">
        <v>3145</v>
      </c>
      <c r="F26" s="18" t="s">
        <v>2690</v>
      </c>
      <c r="G26" s="18" t="s">
        <v>2557</v>
      </c>
      <c r="H26" s="60" t="s">
        <v>860</v>
      </c>
      <c r="I26" s="36" t="s">
        <v>259</v>
      </c>
      <c r="J26" s="36" t="s">
        <v>259</v>
      </c>
      <c r="K26" s="61" t="s">
        <v>795</v>
      </c>
      <c r="L26" s="36" t="s">
        <v>975</v>
      </c>
      <c r="M26" s="514"/>
      <c r="N26" s="514">
        <f>IF($C26="","",VLOOKUP($C26,'2017 Pricelist'!$C:$I,7,FALSE))</f>
        <v>29.990000000000002</v>
      </c>
      <c r="O26" s="35">
        <v>1</v>
      </c>
      <c r="P26" s="187">
        <v>12</v>
      </c>
      <c r="Q26" s="33">
        <f>CONVERT(140,"g","lbm")</f>
        <v>0.30864716705882861</v>
      </c>
      <c r="R26" s="33">
        <v>5.9</v>
      </c>
      <c r="S26" s="33">
        <v>5.9</v>
      </c>
      <c r="T26" s="70">
        <v>3</v>
      </c>
      <c r="U26" s="33">
        <f>CONVERT(200,"g","lbm")</f>
        <v>0.44092452436975516</v>
      </c>
      <c r="V26" s="33">
        <v>5.25</v>
      </c>
      <c r="W26" s="33">
        <v>5.25</v>
      </c>
      <c r="X26" s="70">
        <v>3.125</v>
      </c>
      <c r="Y26" s="89" t="s">
        <v>259</v>
      </c>
      <c r="Z26" s="89" t="s">
        <v>259</v>
      </c>
      <c r="AA26" s="89" t="s">
        <v>259</v>
      </c>
      <c r="AB26" s="249" t="s">
        <v>259</v>
      </c>
      <c r="AC26" s="33">
        <v>6.62</v>
      </c>
      <c r="AD26" s="33">
        <v>16.55</v>
      </c>
      <c r="AE26" s="33">
        <v>11.25</v>
      </c>
      <c r="AF26" s="70">
        <v>7.15</v>
      </c>
      <c r="AG26" s="15">
        <f t="shared" si="2"/>
        <v>0.77039388020833344</v>
      </c>
      <c r="AH26" s="78" t="s">
        <v>3234</v>
      </c>
      <c r="AI26" s="78"/>
      <c r="AJ26" s="78" t="s">
        <v>3235</v>
      </c>
      <c r="AK26" s="78" t="s">
        <v>3240</v>
      </c>
      <c r="AL26" s="78" t="s">
        <v>3239</v>
      </c>
      <c r="AM26" s="78"/>
      <c r="AN26" s="78"/>
      <c r="AO26" s="78"/>
      <c r="AP26" s="78" t="s">
        <v>3237</v>
      </c>
      <c r="AQ26" s="9" t="s">
        <v>3162</v>
      </c>
      <c r="AR26" s="18"/>
      <c r="AS26" s="20"/>
      <c r="AT26" s="20"/>
      <c r="AU26" s="20"/>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row>
    <row r="27" spans="1:336" s="258" customFormat="1" x14ac:dyDescent="0.2">
      <c r="A27" s="18" t="s">
        <v>775</v>
      </c>
      <c r="B27" s="125"/>
      <c r="C27" s="37" t="s">
        <v>1586</v>
      </c>
      <c r="D27" s="33"/>
      <c r="E27" s="37" t="s">
        <v>3146</v>
      </c>
      <c r="F27" s="18" t="s">
        <v>2690</v>
      </c>
      <c r="G27" s="18" t="s">
        <v>2557</v>
      </c>
      <c r="H27" s="36" t="s">
        <v>1587</v>
      </c>
      <c r="I27" s="36" t="s">
        <v>259</v>
      </c>
      <c r="J27" s="36" t="s">
        <v>259</v>
      </c>
      <c r="K27" s="61" t="s">
        <v>795</v>
      </c>
      <c r="L27" s="36" t="s">
        <v>975</v>
      </c>
      <c r="M27" s="514"/>
      <c r="N27" s="514">
        <f>IF($C27="","",VLOOKUP($C27,'2017 Pricelist'!$C:$I,7,FALSE))</f>
        <v>59.99</v>
      </c>
      <c r="O27" s="35">
        <v>1</v>
      </c>
      <c r="P27" s="187">
        <v>12</v>
      </c>
      <c r="Q27" s="33">
        <f>16.1/16</f>
        <v>1.0062500000000001</v>
      </c>
      <c r="R27" s="33" t="s">
        <v>259</v>
      </c>
      <c r="S27" s="33" t="s">
        <v>259</v>
      </c>
      <c r="T27" s="70" t="s">
        <v>259</v>
      </c>
      <c r="U27" s="33">
        <f>CONVERT(650,"g","lbm")</f>
        <v>1.4330047042017042</v>
      </c>
      <c r="V27" s="33">
        <v>8.375</v>
      </c>
      <c r="W27" s="33">
        <v>5.375</v>
      </c>
      <c r="X27" s="70">
        <v>8.375</v>
      </c>
      <c r="Y27" s="89" t="s">
        <v>259</v>
      </c>
      <c r="Z27" s="89" t="s">
        <v>259</v>
      </c>
      <c r="AA27" s="89" t="s">
        <v>259</v>
      </c>
      <c r="AB27" s="249" t="s">
        <v>259</v>
      </c>
      <c r="AC27" s="33">
        <v>18.850000000000001</v>
      </c>
      <c r="AD27" s="33">
        <v>26</v>
      </c>
      <c r="AE27" s="33">
        <v>11.5</v>
      </c>
      <c r="AF27" s="70">
        <v>17.75</v>
      </c>
      <c r="AG27" s="15">
        <f t="shared" si="2"/>
        <v>3.0713252314814814</v>
      </c>
      <c r="AH27" s="59" t="s">
        <v>3241</v>
      </c>
      <c r="AI27" s="18" t="s">
        <v>3242</v>
      </c>
      <c r="AJ27" s="59" t="s">
        <v>991</v>
      </c>
      <c r="AK27" s="18" t="s">
        <v>3243</v>
      </c>
      <c r="AL27" s="18" t="s">
        <v>989</v>
      </c>
      <c r="AM27" s="18" t="s">
        <v>3244</v>
      </c>
      <c r="AN27" s="18"/>
      <c r="AO27" s="18"/>
      <c r="AP27" s="37" t="s">
        <v>3245</v>
      </c>
      <c r="AQ27" s="9" t="s">
        <v>3162</v>
      </c>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row>
    <row r="28" spans="1:336" s="14" customFormat="1" x14ac:dyDescent="0.2">
      <c r="A28" s="18" t="s">
        <v>775</v>
      </c>
      <c r="B28" s="125"/>
      <c r="C28" s="18" t="s">
        <v>972</v>
      </c>
      <c r="D28" s="33"/>
      <c r="E28" s="59" t="s">
        <v>3147</v>
      </c>
      <c r="F28" s="18" t="s">
        <v>1550</v>
      </c>
      <c r="G28" s="18" t="s">
        <v>2557</v>
      </c>
      <c r="H28" s="60" t="s">
        <v>861</v>
      </c>
      <c r="I28" s="36" t="s">
        <v>259</v>
      </c>
      <c r="J28" s="36" t="s">
        <v>259</v>
      </c>
      <c r="K28" s="61" t="s">
        <v>795</v>
      </c>
      <c r="L28" s="36" t="s">
        <v>975</v>
      </c>
      <c r="M28" s="514"/>
      <c r="N28" s="514">
        <v>49.99</v>
      </c>
      <c r="O28" s="35">
        <v>1</v>
      </c>
      <c r="P28" s="187">
        <v>24</v>
      </c>
      <c r="Q28" s="33">
        <f>10.8/16</f>
        <v>0.67500000000000004</v>
      </c>
      <c r="R28" s="33">
        <v>4.25</v>
      </c>
      <c r="S28" s="33">
        <v>2.25</v>
      </c>
      <c r="T28" s="70">
        <v>4.625</v>
      </c>
      <c r="U28" s="33">
        <f>CONVERT(380,"g","lbm")</f>
        <v>0.83775659630253474</v>
      </c>
      <c r="V28" s="33">
        <v>4</v>
      </c>
      <c r="W28" s="33">
        <v>4</v>
      </c>
      <c r="X28" s="70">
        <v>6.75</v>
      </c>
      <c r="Y28" s="89" t="s">
        <v>259</v>
      </c>
      <c r="Z28" s="89" t="s">
        <v>259</v>
      </c>
      <c r="AA28" s="89" t="s">
        <v>259</v>
      </c>
      <c r="AB28" s="249" t="s">
        <v>259</v>
      </c>
      <c r="AC28" s="33">
        <v>22</v>
      </c>
      <c r="AD28" s="33">
        <v>16.5</v>
      </c>
      <c r="AE28" s="33">
        <v>12.5</v>
      </c>
      <c r="AF28" s="70">
        <v>10.5</v>
      </c>
      <c r="AG28" s="15">
        <f t="shared" si="2"/>
        <v>1.2532552083333333</v>
      </c>
      <c r="AH28" s="78" t="s">
        <v>3247</v>
      </c>
      <c r="AI28" s="78" t="s">
        <v>992</v>
      </c>
      <c r="AJ28" s="78" t="s">
        <v>993</v>
      </c>
      <c r="AK28" s="78" t="s">
        <v>989</v>
      </c>
      <c r="AL28" s="78" t="s">
        <v>3248</v>
      </c>
      <c r="AM28" s="78" t="s">
        <v>3249</v>
      </c>
      <c r="AN28" s="78"/>
      <c r="AO28" s="78"/>
      <c r="AP28" s="418" t="s">
        <v>3246</v>
      </c>
      <c r="AQ28" s="9" t="s">
        <v>3162</v>
      </c>
      <c r="AR28" s="18"/>
    </row>
    <row r="29" spans="1:336" s="14" customFormat="1" x14ac:dyDescent="0.2">
      <c r="A29" s="18" t="s">
        <v>775</v>
      </c>
      <c r="B29" s="125"/>
      <c r="C29" s="18" t="s">
        <v>3070</v>
      </c>
      <c r="D29" s="33"/>
      <c r="E29" s="59" t="s">
        <v>3148</v>
      </c>
      <c r="F29" s="18" t="s">
        <v>1114</v>
      </c>
      <c r="G29" s="18" t="s">
        <v>2547</v>
      </c>
      <c r="H29" s="60" t="s">
        <v>3138</v>
      </c>
      <c r="I29" s="407"/>
      <c r="J29" s="407"/>
      <c r="K29" s="61" t="s">
        <v>2789</v>
      </c>
      <c r="L29" s="36" t="s">
        <v>975</v>
      </c>
      <c r="M29" s="514"/>
      <c r="N29" s="514">
        <f>IF($C29="","",VLOOKUP($C29,'2017 Pricelist'!$C:$I,7,FALSE))</f>
        <v>14.99</v>
      </c>
      <c r="O29" s="35">
        <v>1</v>
      </c>
      <c r="P29" s="187">
        <v>50</v>
      </c>
      <c r="Q29" s="121">
        <f>CONVERT(20,"g","lbm")</f>
        <v>4.4092452436975516E-2</v>
      </c>
      <c r="R29" s="121"/>
      <c r="S29" s="121"/>
      <c r="T29" s="122"/>
      <c r="U29" s="121"/>
      <c r="V29" s="121"/>
      <c r="W29" s="121"/>
      <c r="X29" s="122"/>
      <c r="Y29" s="221"/>
      <c r="Z29" s="221"/>
      <c r="AA29" s="221"/>
      <c r="AB29" s="222"/>
      <c r="AC29" s="121"/>
      <c r="AD29" s="121"/>
      <c r="AE29" s="121"/>
      <c r="AF29" s="122"/>
      <c r="AG29" s="121">
        <f t="shared" si="2"/>
        <v>0</v>
      </c>
      <c r="AH29" s="59" t="s">
        <v>988</v>
      </c>
      <c r="AI29" s="59" t="s">
        <v>3252</v>
      </c>
      <c r="AJ29" s="59" t="s">
        <v>3251</v>
      </c>
      <c r="AK29" s="59" t="s">
        <v>3253</v>
      </c>
      <c r="AL29" s="59"/>
      <c r="AM29" s="59"/>
      <c r="AN29" s="59"/>
      <c r="AO29" s="59"/>
      <c r="AP29" s="59" t="s">
        <v>3257</v>
      </c>
      <c r="AQ29" s="9" t="s">
        <v>3162</v>
      </c>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18"/>
      <c r="JH29" s="18"/>
      <c r="JI29" s="18"/>
      <c r="JJ29" s="18"/>
      <c r="JK29" s="18"/>
      <c r="JL29" s="18"/>
      <c r="JM29" s="18"/>
      <c r="JN29" s="18"/>
      <c r="JO29" s="18"/>
      <c r="JP29" s="18"/>
      <c r="JQ29" s="18"/>
      <c r="JR29" s="18"/>
      <c r="JS29" s="18"/>
      <c r="JT29" s="18"/>
      <c r="JU29" s="18"/>
      <c r="JV29" s="18"/>
      <c r="JW29" s="18"/>
      <c r="JX29" s="18"/>
      <c r="JY29" s="18"/>
      <c r="JZ29" s="18"/>
      <c r="KA29" s="18"/>
      <c r="KB29" s="18"/>
      <c r="KC29" s="18"/>
      <c r="KD29" s="18"/>
      <c r="KE29" s="18"/>
      <c r="KF29" s="18"/>
      <c r="KG29" s="18"/>
      <c r="KH29" s="18"/>
      <c r="KI29" s="18"/>
      <c r="KJ29" s="18"/>
      <c r="KK29" s="18"/>
      <c r="KL29" s="18"/>
      <c r="KM29" s="18"/>
      <c r="KN29" s="18"/>
      <c r="KO29" s="18"/>
      <c r="KP29" s="18"/>
      <c r="KQ29" s="18"/>
      <c r="KR29" s="18"/>
      <c r="KS29" s="18"/>
      <c r="KT29" s="18"/>
      <c r="KU29" s="18"/>
      <c r="KV29" s="18"/>
      <c r="KW29" s="18"/>
      <c r="KX29" s="18"/>
      <c r="KY29" s="18"/>
      <c r="KZ29" s="18"/>
      <c r="LA29" s="18"/>
      <c r="LB29" s="18"/>
      <c r="LC29" s="18"/>
      <c r="LD29" s="18"/>
      <c r="LE29" s="18"/>
      <c r="LF29" s="18"/>
      <c r="LG29" s="18"/>
      <c r="LH29" s="18"/>
      <c r="LI29" s="18"/>
      <c r="LJ29" s="18"/>
      <c r="LK29" s="18"/>
      <c r="LL29" s="18"/>
      <c r="LM29" s="18"/>
      <c r="LN29" s="18"/>
      <c r="LO29" s="18"/>
      <c r="LP29" s="18"/>
      <c r="LQ29" s="18"/>
      <c r="LR29" s="18"/>
      <c r="LS29" s="18"/>
      <c r="LT29" s="18"/>
      <c r="LU29" s="18"/>
      <c r="LV29" s="18"/>
      <c r="LW29" s="18"/>
      <c r="LX29" s="18"/>
    </row>
    <row r="30" spans="1:336" s="14" customFormat="1" x14ac:dyDescent="0.2">
      <c r="A30" s="18" t="s">
        <v>775</v>
      </c>
      <c r="B30" s="125"/>
      <c r="C30" s="18" t="s">
        <v>3071</v>
      </c>
      <c r="D30" s="33"/>
      <c r="E30" s="59" t="s">
        <v>3149</v>
      </c>
      <c r="F30" s="18" t="s">
        <v>1114</v>
      </c>
      <c r="G30" s="18" t="s">
        <v>2547</v>
      </c>
      <c r="H30" s="60" t="s">
        <v>3139</v>
      </c>
      <c r="I30" s="407"/>
      <c r="J30" s="407"/>
      <c r="K30" s="61" t="s">
        <v>2789</v>
      </c>
      <c r="L30" s="36" t="s">
        <v>975</v>
      </c>
      <c r="M30" s="514"/>
      <c r="N30" s="514">
        <v>14.99</v>
      </c>
      <c r="O30" s="35">
        <v>1</v>
      </c>
      <c r="P30" s="187">
        <v>50</v>
      </c>
      <c r="Q30" s="33">
        <f>CONVERT(15,"g","lbm")</f>
        <v>3.3069339327731637E-2</v>
      </c>
      <c r="R30" s="33">
        <v>0.75</v>
      </c>
      <c r="S30" s="33">
        <v>0.375</v>
      </c>
      <c r="T30" s="70">
        <v>7</v>
      </c>
      <c r="U30" s="121"/>
      <c r="V30" s="121"/>
      <c r="W30" s="121"/>
      <c r="X30" s="122"/>
      <c r="Y30" s="221"/>
      <c r="Z30" s="221"/>
      <c r="AA30" s="221"/>
      <c r="AB30" s="222"/>
      <c r="AC30" s="121"/>
      <c r="AD30" s="121"/>
      <c r="AE30" s="121"/>
      <c r="AF30" s="122"/>
      <c r="AG30" s="121">
        <f t="shared" si="2"/>
        <v>0</v>
      </c>
      <c r="AH30" s="59" t="s">
        <v>988</v>
      </c>
      <c r="AI30" s="59" t="s">
        <v>3252</v>
      </c>
      <c r="AJ30" s="59" t="s">
        <v>3250</v>
      </c>
      <c r="AK30" s="59" t="s">
        <v>3254</v>
      </c>
      <c r="AL30" s="59"/>
      <c r="AM30" s="59"/>
      <c r="AN30" s="59"/>
      <c r="AO30" s="59"/>
      <c r="AP30" s="59" t="s">
        <v>3258</v>
      </c>
      <c r="AQ30" s="9" t="s">
        <v>3162</v>
      </c>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row>
    <row r="31" spans="1:336" s="14" customFormat="1" x14ac:dyDescent="0.2">
      <c r="A31" s="18" t="s">
        <v>775</v>
      </c>
      <c r="B31" s="125"/>
      <c r="C31" s="18" t="s">
        <v>3072</v>
      </c>
      <c r="D31" s="33"/>
      <c r="E31" s="59" t="s">
        <v>3150</v>
      </c>
      <c r="F31" s="18" t="s">
        <v>1114</v>
      </c>
      <c r="G31" s="18" t="s">
        <v>2547</v>
      </c>
      <c r="H31" s="60" t="s">
        <v>3140</v>
      </c>
      <c r="I31" s="407"/>
      <c r="J31" s="407"/>
      <c r="K31" s="61" t="s">
        <v>2789</v>
      </c>
      <c r="L31" s="36" t="s">
        <v>975</v>
      </c>
      <c r="M31" s="514"/>
      <c r="N31" s="514">
        <v>14.99</v>
      </c>
      <c r="O31" s="35">
        <v>1</v>
      </c>
      <c r="P31" s="187">
        <v>50</v>
      </c>
      <c r="Q31" s="33">
        <f>CONVERT(20,"g","lbm")</f>
        <v>4.4092452436975516E-2</v>
      </c>
      <c r="R31" s="33">
        <v>1.625</v>
      </c>
      <c r="S31" s="33">
        <v>0.5</v>
      </c>
      <c r="T31" s="70">
        <v>7.125</v>
      </c>
      <c r="U31" s="121"/>
      <c r="V31" s="121"/>
      <c r="W31" s="121"/>
      <c r="X31" s="122"/>
      <c r="Y31" s="221"/>
      <c r="Z31" s="221"/>
      <c r="AA31" s="221"/>
      <c r="AB31" s="222"/>
      <c r="AC31" s="121"/>
      <c r="AD31" s="121"/>
      <c r="AE31" s="121"/>
      <c r="AF31" s="122"/>
      <c r="AG31" s="121">
        <f t="shared" si="2"/>
        <v>0</v>
      </c>
      <c r="AH31" s="59" t="s">
        <v>988</v>
      </c>
      <c r="AI31" s="59" t="s">
        <v>3252</v>
      </c>
      <c r="AJ31" s="59" t="s">
        <v>3251</v>
      </c>
      <c r="AK31" s="59" t="s">
        <v>3255</v>
      </c>
      <c r="AL31" s="59"/>
      <c r="AM31" s="59"/>
      <c r="AN31" s="59"/>
      <c r="AO31" s="59"/>
      <c r="AP31" s="59" t="s">
        <v>3256</v>
      </c>
      <c r="AQ31" s="9" t="s">
        <v>3162</v>
      </c>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18"/>
      <c r="LL31" s="18"/>
      <c r="LM31" s="18"/>
      <c r="LN31" s="18"/>
      <c r="LO31" s="18"/>
      <c r="LP31" s="18"/>
      <c r="LQ31" s="18"/>
      <c r="LR31" s="18"/>
      <c r="LS31" s="18"/>
      <c r="LT31" s="18"/>
      <c r="LU31" s="18"/>
      <c r="LV31" s="18"/>
      <c r="LW31" s="18"/>
      <c r="LX31" s="18"/>
    </row>
    <row r="32" spans="1:336" x14ac:dyDescent="0.2">
      <c r="A32" s="18" t="s">
        <v>775</v>
      </c>
      <c r="B32" s="125"/>
      <c r="C32" s="18" t="s">
        <v>3073</v>
      </c>
      <c r="D32" s="33"/>
      <c r="E32" s="59" t="s">
        <v>3074</v>
      </c>
      <c r="F32" s="18" t="s">
        <v>1114</v>
      </c>
      <c r="G32" s="18" t="s">
        <v>2547</v>
      </c>
      <c r="H32" s="60" t="s">
        <v>3141</v>
      </c>
      <c r="I32" s="407"/>
      <c r="J32" s="407"/>
      <c r="K32" s="61" t="s">
        <v>2789</v>
      </c>
      <c r="L32" s="36" t="s">
        <v>975</v>
      </c>
      <c r="M32" s="514"/>
      <c r="N32" s="514">
        <f>IF($C32="","",VLOOKUP($C32,'2017 Pricelist'!$C:$I,7,FALSE))</f>
        <v>29.990000000000002</v>
      </c>
      <c r="O32" s="35">
        <v>1</v>
      </c>
      <c r="P32" s="187">
        <v>50</v>
      </c>
      <c r="Q32" s="33">
        <f>CONVERT(45,"g","lbm")</f>
        <v>9.920801798319491E-2</v>
      </c>
      <c r="R32" s="33">
        <v>1.625</v>
      </c>
      <c r="S32" s="33">
        <v>0.5</v>
      </c>
      <c r="T32" s="70">
        <v>7.125</v>
      </c>
      <c r="U32" s="121"/>
      <c r="V32" s="121"/>
      <c r="W32" s="121"/>
      <c r="X32" s="122"/>
      <c r="Y32" s="221"/>
      <c r="Z32" s="221"/>
      <c r="AA32" s="221"/>
      <c r="AB32" s="222"/>
      <c r="AC32" s="121"/>
      <c r="AD32" s="121"/>
      <c r="AE32" s="121"/>
      <c r="AF32" s="122"/>
      <c r="AG32" s="121">
        <f t="shared" si="2"/>
        <v>0</v>
      </c>
      <c r="AH32" s="59" t="s">
        <v>988</v>
      </c>
      <c r="AI32" s="59" t="s">
        <v>3260</v>
      </c>
      <c r="AJ32" s="59" t="s">
        <v>3261</v>
      </c>
      <c r="AK32" s="59" t="s">
        <v>3262</v>
      </c>
      <c r="AL32" s="59" t="s">
        <v>3263</v>
      </c>
      <c r="AM32" s="59"/>
      <c r="AN32" s="59"/>
      <c r="AO32" s="59"/>
      <c r="AP32" s="59" t="s">
        <v>3259</v>
      </c>
      <c r="AQ32" s="9" t="s">
        <v>3162</v>
      </c>
      <c r="AR32" s="18"/>
      <c r="AS32" s="18"/>
      <c r="AT32" s="18"/>
      <c r="AU32" s="18"/>
    </row>
    <row r="33" spans="1:336" s="14" customFormat="1" ht="15.75" x14ac:dyDescent="0.25">
      <c r="A33" s="403" t="s">
        <v>3125</v>
      </c>
      <c r="B33" s="403"/>
      <c r="C33" s="403"/>
      <c r="D33" s="22"/>
      <c r="E33" s="20"/>
      <c r="H33" s="29"/>
      <c r="I33" s="29"/>
      <c r="J33" s="29"/>
      <c r="K33" s="29"/>
      <c r="L33" s="256"/>
      <c r="M33" s="4"/>
      <c r="N33" s="4"/>
      <c r="O33" s="35"/>
      <c r="P33" s="187"/>
      <c r="Q33" s="33"/>
      <c r="R33" s="33"/>
      <c r="S33" s="33"/>
      <c r="T33" s="43"/>
      <c r="U33" s="15"/>
      <c r="V33" s="15"/>
      <c r="W33" s="15"/>
      <c r="X33" s="43"/>
      <c r="Y33" s="15"/>
      <c r="Z33" s="15"/>
      <c r="AA33" s="15"/>
      <c r="AB33" s="43"/>
      <c r="AC33" s="42"/>
      <c r="AD33" s="15"/>
      <c r="AE33" s="15"/>
      <c r="AF33" s="43"/>
      <c r="AG33" s="131"/>
      <c r="AH33" s="136"/>
      <c r="AI33" s="136"/>
      <c r="AJ33" s="136"/>
      <c r="AK33" s="136"/>
      <c r="AL33" s="136"/>
      <c r="AM33" s="136"/>
      <c r="AN33" s="46"/>
      <c r="AO33" s="134"/>
      <c r="AP33" s="46"/>
      <c r="AQ33" s="46"/>
      <c r="AR33" s="46"/>
    </row>
    <row r="34" spans="1:336" s="258" customFormat="1" x14ac:dyDescent="0.2">
      <c r="A34" s="18" t="s">
        <v>775</v>
      </c>
      <c r="B34" s="312"/>
      <c r="C34" s="37" t="s">
        <v>3133</v>
      </c>
      <c r="D34" s="37"/>
      <c r="E34" s="59" t="s">
        <v>3266</v>
      </c>
      <c r="F34" s="37" t="s">
        <v>3152</v>
      </c>
      <c r="G34" s="18" t="s">
        <v>2557</v>
      </c>
      <c r="H34" s="47">
        <v>4260149870926</v>
      </c>
      <c r="I34" s="36" t="s">
        <v>259</v>
      </c>
      <c r="J34" s="36" t="s">
        <v>259</v>
      </c>
      <c r="K34" s="61" t="s">
        <v>796</v>
      </c>
      <c r="L34" s="36" t="s">
        <v>975</v>
      </c>
      <c r="M34" s="514"/>
      <c r="N34" s="514">
        <f>IF($C34="","",VLOOKUP($C34,'2017 Pricelist'!$C:$I,7,FALSE))</f>
        <v>49.99</v>
      </c>
      <c r="O34" s="35">
        <v>1</v>
      </c>
      <c r="P34" s="237">
        <v>12</v>
      </c>
      <c r="Q34" s="33">
        <f>20.1/16</f>
        <v>1.2562500000000001</v>
      </c>
      <c r="R34" s="33">
        <v>6.5</v>
      </c>
      <c r="S34" s="33">
        <v>4.25</v>
      </c>
      <c r="T34" s="70">
        <v>4.25</v>
      </c>
      <c r="U34" s="33">
        <f>CONVERT(650,"g","lbm")</f>
        <v>1.4330047042017042</v>
      </c>
      <c r="V34" s="139">
        <v>4.5</v>
      </c>
      <c r="W34" s="139">
        <v>4.5</v>
      </c>
      <c r="X34" s="186">
        <v>7</v>
      </c>
      <c r="Y34" s="89" t="s">
        <v>259</v>
      </c>
      <c r="Z34" s="89" t="s">
        <v>259</v>
      </c>
      <c r="AA34" s="89" t="s">
        <v>259</v>
      </c>
      <c r="AB34" s="249" t="s">
        <v>259</v>
      </c>
      <c r="AC34" s="33">
        <f t="shared" ref="AC34:AC39" si="3">CONVERT(0,"g","lbm")</f>
        <v>0</v>
      </c>
      <c r="AD34" s="139">
        <v>18.5</v>
      </c>
      <c r="AE34" s="139">
        <v>14</v>
      </c>
      <c r="AF34" s="186">
        <v>7.75</v>
      </c>
      <c r="AG34" s="33">
        <f>AD34*AE34*AF34/(12^3)</f>
        <v>1.1616030092592593</v>
      </c>
      <c r="AH34" s="37" t="s">
        <v>3272</v>
      </c>
      <c r="AI34" s="59" t="s">
        <v>3273</v>
      </c>
      <c r="AJ34" s="59" t="s">
        <v>3274</v>
      </c>
      <c r="AK34" s="59" t="s">
        <v>3275</v>
      </c>
      <c r="AL34" s="37" t="s">
        <v>3276</v>
      </c>
      <c r="AM34" s="37" t="s">
        <v>3277</v>
      </c>
      <c r="AN34" s="37"/>
      <c r="AO34" s="37"/>
      <c r="AP34" s="59" t="s">
        <v>3278</v>
      </c>
      <c r="AQ34" s="9" t="s">
        <v>3162</v>
      </c>
      <c r="AR34" s="37"/>
      <c r="AS34" s="14"/>
      <c r="AT34" s="14"/>
      <c r="AU34" s="14"/>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row>
    <row r="35" spans="1:336" s="18" customFormat="1" x14ac:dyDescent="0.2">
      <c r="A35" s="18" t="s">
        <v>775</v>
      </c>
      <c r="B35" s="312"/>
      <c r="C35" s="37" t="s">
        <v>2090</v>
      </c>
      <c r="D35" s="37"/>
      <c r="E35" s="59" t="s">
        <v>3266</v>
      </c>
      <c r="F35" s="37" t="s">
        <v>1431</v>
      </c>
      <c r="G35" s="18" t="s">
        <v>2557</v>
      </c>
      <c r="H35" s="47">
        <v>4260149870919</v>
      </c>
      <c r="I35" s="36" t="s">
        <v>259</v>
      </c>
      <c r="J35" s="36" t="s">
        <v>259</v>
      </c>
      <c r="K35" s="61" t="s">
        <v>796</v>
      </c>
      <c r="L35" s="36" t="s">
        <v>975</v>
      </c>
      <c r="M35" s="514"/>
      <c r="N35" s="514">
        <f>IF($C35="","",VLOOKUP($C35,'2017 Pricelist'!$C:$I,7,FALSE))</f>
        <v>49.99</v>
      </c>
      <c r="O35" s="35">
        <v>1</v>
      </c>
      <c r="P35" s="237">
        <v>12</v>
      </c>
      <c r="Q35" s="33">
        <f>20.1/16</f>
        <v>1.2562500000000001</v>
      </c>
      <c r="R35" s="33">
        <v>6.5</v>
      </c>
      <c r="S35" s="33">
        <v>4.25</v>
      </c>
      <c r="T35" s="70">
        <v>4.25</v>
      </c>
      <c r="U35" s="33">
        <f>CONVERT(650,"g","lbm")</f>
        <v>1.4330047042017042</v>
      </c>
      <c r="V35" s="139">
        <v>4.5</v>
      </c>
      <c r="W35" s="139">
        <v>4.5</v>
      </c>
      <c r="X35" s="186">
        <v>7</v>
      </c>
      <c r="Y35" s="89" t="s">
        <v>259</v>
      </c>
      <c r="Z35" s="89" t="s">
        <v>259</v>
      </c>
      <c r="AA35" s="89" t="s">
        <v>259</v>
      </c>
      <c r="AB35" s="249" t="s">
        <v>259</v>
      </c>
      <c r="AC35" s="33">
        <f t="shared" si="3"/>
        <v>0</v>
      </c>
      <c r="AD35" s="139">
        <v>18.5</v>
      </c>
      <c r="AE35" s="139">
        <v>14</v>
      </c>
      <c r="AF35" s="186">
        <v>7.75</v>
      </c>
      <c r="AG35" s="33">
        <f>AD35*AE35*AF35/(12^3)</f>
        <v>1.1616030092592593</v>
      </c>
      <c r="AH35" s="37" t="s">
        <v>3272</v>
      </c>
      <c r="AI35" s="59" t="s">
        <v>3273</v>
      </c>
      <c r="AJ35" s="59" t="s">
        <v>3274</v>
      </c>
      <c r="AK35" s="59" t="s">
        <v>3275</v>
      </c>
      <c r="AL35" s="37" t="s">
        <v>3276</v>
      </c>
      <c r="AM35" s="37" t="s">
        <v>3277</v>
      </c>
      <c r="AN35" s="37"/>
      <c r="AO35" s="37"/>
      <c r="AP35" s="59" t="s">
        <v>3278</v>
      </c>
      <c r="AQ35" s="9" t="s">
        <v>3162</v>
      </c>
      <c r="AR35" s="37"/>
    </row>
    <row r="36" spans="1:336" s="258" customFormat="1" x14ac:dyDescent="0.2">
      <c r="A36" s="18" t="s">
        <v>775</v>
      </c>
      <c r="B36" s="312"/>
      <c r="C36" s="37" t="s">
        <v>2091</v>
      </c>
      <c r="D36" s="37"/>
      <c r="E36" s="59" t="s">
        <v>3266</v>
      </c>
      <c r="F36" s="37" t="s">
        <v>2532</v>
      </c>
      <c r="G36" s="18" t="s">
        <v>2557</v>
      </c>
      <c r="H36" s="47">
        <v>4260149870896</v>
      </c>
      <c r="I36" s="36" t="s">
        <v>259</v>
      </c>
      <c r="J36" s="36" t="s">
        <v>259</v>
      </c>
      <c r="K36" s="61" t="s">
        <v>796</v>
      </c>
      <c r="L36" s="36" t="s">
        <v>975</v>
      </c>
      <c r="M36" s="514"/>
      <c r="N36" s="514">
        <f>IF($C36="","",VLOOKUP($C36,'2017 Pricelist'!$C:$I,7,FALSE))</f>
        <v>49.99</v>
      </c>
      <c r="O36" s="35">
        <v>1</v>
      </c>
      <c r="P36" s="237">
        <v>12</v>
      </c>
      <c r="Q36" s="33">
        <f>20.1/16</f>
        <v>1.2562500000000001</v>
      </c>
      <c r="R36" s="33">
        <v>6.5</v>
      </c>
      <c r="S36" s="33">
        <v>4.25</v>
      </c>
      <c r="T36" s="70">
        <v>4.25</v>
      </c>
      <c r="U36" s="33">
        <f>CONVERT(650,"g","lbm")</f>
        <v>1.4330047042017042</v>
      </c>
      <c r="V36" s="139">
        <v>4.5</v>
      </c>
      <c r="W36" s="139">
        <v>4.5</v>
      </c>
      <c r="X36" s="186">
        <v>7</v>
      </c>
      <c r="Y36" s="89" t="s">
        <v>259</v>
      </c>
      <c r="Z36" s="89" t="s">
        <v>259</v>
      </c>
      <c r="AA36" s="89" t="s">
        <v>259</v>
      </c>
      <c r="AB36" s="249" t="s">
        <v>259</v>
      </c>
      <c r="AC36" s="33">
        <f t="shared" si="3"/>
        <v>0</v>
      </c>
      <c r="AD36" s="139">
        <v>18.5</v>
      </c>
      <c r="AE36" s="139">
        <v>14</v>
      </c>
      <c r="AF36" s="186">
        <v>7.75</v>
      </c>
      <c r="AG36" s="33">
        <f>AD36*AE36*AF36/(12^3)</f>
        <v>1.1616030092592593</v>
      </c>
      <c r="AH36" s="37" t="s">
        <v>3272</v>
      </c>
      <c r="AI36" s="59" t="s">
        <v>3273</v>
      </c>
      <c r="AJ36" s="59" t="s">
        <v>3274</v>
      </c>
      <c r="AK36" s="59" t="s">
        <v>3275</v>
      </c>
      <c r="AL36" s="37" t="s">
        <v>3276</v>
      </c>
      <c r="AM36" s="37" t="s">
        <v>3277</v>
      </c>
      <c r="AN36" s="37"/>
      <c r="AO36" s="37"/>
      <c r="AP36" s="59" t="s">
        <v>3278</v>
      </c>
      <c r="AQ36" s="9" t="s">
        <v>3162</v>
      </c>
      <c r="AR36" s="37"/>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c r="KX36" s="18"/>
      <c r="KY36" s="18"/>
      <c r="KZ36" s="18"/>
      <c r="LA36" s="18"/>
      <c r="LB36" s="18"/>
      <c r="LC36" s="18"/>
      <c r="LD36" s="18"/>
      <c r="LE36" s="18"/>
      <c r="LF36" s="18"/>
      <c r="LG36" s="18"/>
      <c r="LH36" s="18"/>
      <c r="LI36" s="18"/>
      <c r="LJ36" s="18"/>
      <c r="LK36" s="18"/>
      <c r="LL36" s="18"/>
      <c r="LM36" s="18"/>
      <c r="LN36" s="18"/>
      <c r="LO36" s="18"/>
      <c r="LP36" s="18"/>
      <c r="LQ36" s="18"/>
      <c r="LR36" s="18"/>
      <c r="LS36" s="18"/>
      <c r="LT36" s="18"/>
      <c r="LU36" s="18"/>
      <c r="LV36" s="18"/>
      <c r="LW36" s="18"/>
      <c r="LX36" s="18"/>
    </row>
    <row r="37" spans="1:336" s="14" customFormat="1" x14ac:dyDescent="0.2">
      <c r="A37" s="18" t="s">
        <v>775</v>
      </c>
      <c r="B37" s="312"/>
      <c r="C37" s="37" t="s">
        <v>2092</v>
      </c>
      <c r="D37" s="37"/>
      <c r="E37" s="59" t="s">
        <v>3265</v>
      </c>
      <c r="F37" s="37" t="s">
        <v>3152</v>
      </c>
      <c r="G37" s="37" t="s">
        <v>2557</v>
      </c>
      <c r="H37" s="47">
        <v>4260149870889</v>
      </c>
      <c r="I37" s="36" t="s">
        <v>259</v>
      </c>
      <c r="J37" s="36" t="s">
        <v>259</v>
      </c>
      <c r="K37" s="61" t="s">
        <v>796</v>
      </c>
      <c r="L37" s="36" t="s">
        <v>975</v>
      </c>
      <c r="M37" s="514"/>
      <c r="N37" s="514">
        <f>IF($C37="","",VLOOKUP($C37,'2017 Pricelist'!$C:$I,7,FALSE))</f>
        <v>49.99</v>
      </c>
      <c r="O37" s="35">
        <v>1</v>
      </c>
      <c r="P37" s="237">
        <v>24</v>
      </c>
      <c r="Q37" s="33">
        <f>21/16</f>
        <v>1.3125</v>
      </c>
      <c r="R37" s="33">
        <v>11.6</v>
      </c>
      <c r="S37" s="33">
        <v>3.5</v>
      </c>
      <c r="T37" s="70">
        <v>3.5</v>
      </c>
      <c r="U37" s="33">
        <f>CONVERT(700,"g","lbm")</f>
        <v>1.5432358352941431</v>
      </c>
      <c r="V37" s="139">
        <v>3.75</v>
      </c>
      <c r="W37" s="139">
        <v>3.75</v>
      </c>
      <c r="X37" s="186">
        <v>12</v>
      </c>
      <c r="Y37" s="89" t="s">
        <v>259</v>
      </c>
      <c r="Z37" s="89" t="s">
        <v>259</v>
      </c>
      <c r="AA37" s="89" t="s">
        <v>259</v>
      </c>
      <c r="AB37" s="249" t="s">
        <v>259</v>
      </c>
      <c r="AC37" s="33">
        <f t="shared" si="3"/>
        <v>0</v>
      </c>
      <c r="AD37" s="139">
        <v>25.75</v>
      </c>
      <c r="AE37" s="139">
        <v>16.25</v>
      </c>
      <c r="AF37" s="186">
        <v>13</v>
      </c>
      <c r="AG37" s="15">
        <f t="shared" ref="AG37:AG39" si="4">AD37*AE37*AF37/(12^3)</f>
        <v>3.1479673032407409</v>
      </c>
      <c r="AH37" s="37" t="s">
        <v>3264</v>
      </c>
      <c r="AI37" s="37" t="s">
        <v>3267</v>
      </c>
      <c r="AJ37" s="37" t="s">
        <v>3268</v>
      </c>
      <c r="AK37" s="37" t="s">
        <v>3269</v>
      </c>
      <c r="AL37" s="37" t="s">
        <v>3270</v>
      </c>
      <c r="AM37" s="37"/>
      <c r="AN37" s="37"/>
      <c r="AO37" s="37"/>
      <c r="AP37" s="37" t="s">
        <v>3271</v>
      </c>
      <c r="AQ37" s="9" t="s">
        <v>3162</v>
      </c>
      <c r="AR37" s="37"/>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c r="KX37" s="18"/>
      <c r="KY37" s="18"/>
      <c r="KZ37" s="18"/>
      <c r="LA37" s="18"/>
      <c r="LB37" s="18"/>
      <c r="LC37" s="18"/>
      <c r="LD37" s="18"/>
      <c r="LE37" s="18"/>
      <c r="LF37" s="18"/>
      <c r="LG37" s="18"/>
      <c r="LH37" s="18"/>
      <c r="LI37" s="18"/>
      <c r="LJ37" s="18"/>
      <c r="LK37" s="18"/>
      <c r="LL37" s="18"/>
      <c r="LM37" s="18"/>
      <c r="LN37" s="18"/>
      <c r="LO37" s="18"/>
      <c r="LP37" s="18"/>
      <c r="LQ37" s="18"/>
      <c r="LR37" s="18"/>
      <c r="LS37" s="18"/>
      <c r="LT37" s="18"/>
      <c r="LU37" s="18"/>
      <c r="LV37" s="18"/>
      <c r="LW37" s="18"/>
      <c r="LX37" s="18"/>
    </row>
    <row r="38" spans="1:336" x14ac:dyDescent="0.2">
      <c r="A38" s="18" t="s">
        <v>775</v>
      </c>
      <c r="B38" s="312"/>
      <c r="C38" s="37" t="s">
        <v>2093</v>
      </c>
      <c r="D38" s="37"/>
      <c r="E38" s="59" t="s">
        <v>3265</v>
      </c>
      <c r="F38" s="37" t="s">
        <v>1431</v>
      </c>
      <c r="G38" s="37" t="s">
        <v>2557</v>
      </c>
      <c r="H38" s="47">
        <v>4260149870872</v>
      </c>
      <c r="I38" s="36" t="s">
        <v>259</v>
      </c>
      <c r="J38" s="36" t="s">
        <v>259</v>
      </c>
      <c r="K38" s="61" t="s">
        <v>796</v>
      </c>
      <c r="L38" s="36" t="s">
        <v>975</v>
      </c>
      <c r="M38" s="514"/>
      <c r="N38" s="514">
        <f>IF($C38="","",VLOOKUP($C38,'2017 Pricelist'!$C:$I,7,FALSE))</f>
        <v>49.99</v>
      </c>
      <c r="O38" s="35">
        <v>1</v>
      </c>
      <c r="P38" s="237">
        <v>24</v>
      </c>
      <c r="Q38" s="33">
        <f>21/16</f>
        <v>1.3125</v>
      </c>
      <c r="R38" s="33">
        <v>11.6</v>
      </c>
      <c r="S38" s="33">
        <v>3.5</v>
      </c>
      <c r="T38" s="70">
        <v>3.5</v>
      </c>
      <c r="U38" s="33">
        <f>CONVERT(700,"g","lbm")</f>
        <v>1.5432358352941431</v>
      </c>
      <c r="V38" s="139">
        <v>3.75</v>
      </c>
      <c r="W38" s="139">
        <v>3.75</v>
      </c>
      <c r="X38" s="186">
        <v>12</v>
      </c>
      <c r="Y38" s="89" t="s">
        <v>259</v>
      </c>
      <c r="Z38" s="89" t="s">
        <v>259</v>
      </c>
      <c r="AA38" s="89" t="s">
        <v>259</v>
      </c>
      <c r="AB38" s="249" t="s">
        <v>259</v>
      </c>
      <c r="AC38" s="33">
        <f t="shared" si="3"/>
        <v>0</v>
      </c>
      <c r="AD38" s="139">
        <v>25.75</v>
      </c>
      <c r="AE38" s="139">
        <v>16.25</v>
      </c>
      <c r="AF38" s="186">
        <v>13</v>
      </c>
      <c r="AG38" s="15">
        <f t="shared" si="4"/>
        <v>3.1479673032407409</v>
      </c>
      <c r="AH38" s="37" t="s">
        <v>3264</v>
      </c>
      <c r="AI38" s="37" t="s">
        <v>3267</v>
      </c>
      <c r="AJ38" s="37" t="s">
        <v>3268</v>
      </c>
      <c r="AK38" s="37" t="s">
        <v>3269</v>
      </c>
      <c r="AL38" s="37" t="s">
        <v>3270</v>
      </c>
      <c r="AM38" s="37"/>
      <c r="AN38" s="37"/>
      <c r="AO38" s="37"/>
      <c r="AP38" s="37" t="s">
        <v>3271</v>
      </c>
      <c r="AQ38" s="9" t="s">
        <v>3162</v>
      </c>
      <c r="AR38" s="37"/>
      <c r="AS38" s="18"/>
      <c r="AT38" s="18"/>
      <c r="AU38" s="18"/>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row>
    <row r="39" spans="1:336" s="37" customFormat="1" x14ac:dyDescent="0.2">
      <c r="A39" s="18" t="s">
        <v>775</v>
      </c>
      <c r="B39" s="312"/>
      <c r="C39" s="37" t="s">
        <v>2094</v>
      </c>
      <c r="E39" s="59" t="s">
        <v>3265</v>
      </c>
      <c r="F39" s="37" t="s">
        <v>2532</v>
      </c>
      <c r="G39" s="37" t="s">
        <v>2557</v>
      </c>
      <c r="H39" s="47">
        <v>4260149870858</v>
      </c>
      <c r="I39" s="36" t="s">
        <v>259</v>
      </c>
      <c r="J39" s="36" t="s">
        <v>259</v>
      </c>
      <c r="K39" s="61" t="s">
        <v>796</v>
      </c>
      <c r="L39" s="36" t="s">
        <v>975</v>
      </c>
      <c r="M39" s="514"/>
      <c r="N39" s="514">
        <f>IF($C39="","",VLOOKUP($C39,'2017 Pricelist'!$C:$I,7,FALSE))</f>
        <v>49.99</v>
      </c>
      <c r="O39" s="35">
        <v>1</v>
      </c>
      <c r="P39" s="237">
        <v>24</v>
      </c>
      <c r="Q39" s="33">
        <f>21/16</f>
        <v>1.3125</v>
      </c>
      <c r="R39" s="33">
        <v>11.6</v>
      </c>
      <c r="S39" s="33">
        <v>3.5</v>
      </c>
      <c r="T39" s="70">
        <v>3.5</v>
      </c>
      <c r="U39" s="33">
        <f>CONVERT(700,"g","lbm")</f>
        <v>1.5432358352941431</v>
      </c>
      <c r="V39" s="139">
        <v>3.75</v>
      </c>
      <c r="W39" s="139">
        <v>3.75</v>
      </c>
      <c r="X39" s="186">
        <v>12</v>
      </c>
      <c r="Y39" s="89" t="s">
        <v>259</v>
      </c>
      <c r="Z39" s="89" t="s">
        <v>259</v>
      </c>
      <c r="AA39" s="89" t="s">
        <v>259</v>
      </c>
      <c r="AB39" s="249" t="s">
        <v>259</v>
      </c>
      <c r="AC39" s="33">
        <f t="shared" si="3"/>
        <v>0</v>
      </c>
      <c r="AD39" s="139">
        <v>25.75</v>
      </c>
      <c r="AE39" s="139">
        <v>16.25</v>
      </c>
      <c r="AF39" s="186">
        <v>13</v>
      </c>
      <c r="AG39" s="15">
        <f t="shared" si="4"/>
        <v>3.1479673032407409</v>
      </c>
      <c r="AH39" s="37" t="s">
        <v>3264</v>
      </c>
      <c r="AI39" s="37" t="s">
        <v>3267</v>
      </c>
      <c r="AJ39" s="37" t="s">
        <v>3268</v>
      </c>
      <c r="AK39" s="37" t="s">
        <v>3269</v>
      </c>
      <c r="AL39" s="37" t="s">
        <v>3270</v>
      </c>
      <c r="AP39" s="37" t="s">
        <v>3271</v>
      </c>
      <c r="AQ39" s="9" t="s">
        <v>3162</v>
      </c>
    </row>
  </sheetData>
  <dataValidations xWindow="367" yWindow="483" count="1">
    <dataValidation allowBlank="1" showErrorMessage="1" sqref="AI1:AI4 AR14:XFD14 AN27 AQ1:XFD13 AK10:AK23 AJ20:AJ23 AO17:XFD36 AL28:AN36 AH8:AI16 AO1:AO16 A1:L39 O37:XFD39 O17:AI23 O24:AK36 AQ15:XFD16 AP8:AP15 AP1:AP6 O1:AG16 AH1:AH6 AJ8:AJ17 AK8 AM1:AN26 AJ1:AL6 AL8:AL27 M7:N8 M23:N23 M15:N16 M33:N33 M1:N2 A42:XFD1048576" xr:uid="{00000000-0002-0000-0300-000000000000}"/>
  </dataValidations>
  <pageMargins left="0.5" right="0.5" top="0.5" bottom="0.5" header="0.3" footer="0.3"/>
  <pageSetup orientation="landscape" r:id="rId1"/>
  <ignoredErrors>
    <ignoredError sqref="H6 H19:H22 H9:H11 H13 H24:H34 H17 H36:H39 H4:H5" numberStoredAsText="1"/>
    <ignoredError sqref="Q5:U5 Q6:AG6 Q17 Q9:T9 Q10 Q11:T11 V11:X11 Z11:AF11 Q12:Q13 Q34:Q39 AG17 AG19:AG32 AG10:AG15 U9:U10 U19:X22 U12:U13 U24:U28 U34:U39 Y5 U4 Q4 Q19:Q29 Q31:Q32 U17:X17 AG34:AG39 AC34:AC39 AG4:AG5" unlockedFormula="1"/>
    <ignoredError sqref="Q30 U11" formula="1" unlockedFormula="1"/>
    <ignoredError sqref="Y1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E144"/>
  <sheetViews>
    <sheetView zoomScaleNormal="100" workbookViewId="0">
      <pane xSplit="6" ySplit="2" topLeftCell="I61" activePane="bottomRight" state="frozen"/>
      <selection pane="topRight" activeCell="G1" sqref="G1"/>
      <selection pane="bottomLeft" activeCell="A4" sqref="A4"/>
      <selection pane="bottomRight" activeCell="M1" sqref="M1:M1048576"/>
    </sheetView>
  </sheetViews>
  <sheetFormatPr defaultColWidth="9.28515625" defaultRowHeight="12.75" x14ac:dyDescent="0.2"/>
  <cols>
    <col min="1" max="1" width="10.42578125" style="20" customWidth="1"/>
    <col min="2" max="2" width="10.28515625" style="20" customWidth="1"/>
    <col min="3" max="3" width="18.5703125" style="20" bestFit="1" customWidth="1"/>
    <col min="4" max="4" width="13.7109375" style="20" customWidth="1"/>
    <col min="5" max="5" width="35.28515625" style="20" customWidth="1"/>
    <col min="6" max="6" width="14.42578125" style="20" customWidth="1"/>
    <col min="7" max="7" width="30.85546875" style="20" bestFit="1" customWidth="1"/>
    <col min="8" max="8" width="20.42578125" style="20" bestFit="1" customWidth="1"/>
    <col min="9" max="9" width="15.28515625" style="20" customWidth="1"/>
    <col min="10" max="10" width="16.42578125" style="20" customWidth="1"/>
    <col min="11" max="11" width="13.28515625" style="20" customWidth="1"/>
    <col min="12" max="12" width="8.28515625" style="45" customWidth="1"/>
    <col min="13" max="13" width="10.42578125" style="20" customWidth="1"/>
    <col min="14" max="14" width="9.5703125" style="503" customWidth="1"/>
    <col min="15" max="15" width="6.28515625" style="20" bestFit="1" customWidth="1"/>
    <col min="16" max="16" width="9.85546875" style="26" customWidth="1"/>
    <col min="17" max="17" width="12.5703125" style="88" bestFit="1" customWidth="1"/>
    <col min="18" max="18" width="14" style="243" bestFit="1" customWidth="1"/>
    <col min="19" max="19" width="14.28515625" style="243" bestFit="1" customWidth="1"/>
    <col min="20" max="20" width="12.5703125" style="88" bestFit="1" customWidth="1"/>
    <col min="21" max="21" width="9.7109375" style="26" bestFit="1" customWidth="1"/>
    <col min="22" max="22" width="10.28515625" style="20" bestFit="1" customWidth="1"/>
    <col min="23" max="23" width="9.7109375" style="20" bestFit="1" customWidth="1"/>
    <col min="24" max="24" width="9.7109375" style="26" bestFit="1" customWidth="1"/>
    <col min="25" max="25" width="8.7109375" style="26" customWidth="1"/>
    <col min="26" max="27" width="8.7109375" style="20" customWidth="1"/>
    <col min="28" max="29" width="8.7109375" style="26" customWidth="1"/>
    <col min="30" max="31" width="8.7109375" style="20" customWidth="1"/>
    <col min="32" max="32" width="8.7109375" style="26" customWidth="1"/>
    <col min="33" max="33" width="9.28515625" style="26" customWidth="1"/>
    <col min="34" max="34" width="22.42578125" style="20" customWidth="1"/>
    <col min="35" max="35" width="28.5703125" style="20" customWidth="1"/>
    <col min="36" max="36" width="19.28515625" style="20" customWidth="1"/>
    <col min="37" max="37" width="31" style="20" customWidth="1"/>
    <col min="38" max="38" width="16.7109375" style="20" customWidth="1"/>
    <col min="39" max="39" width="18" style="20" customWidth="1"/>
    <col min="40" max="40" width="27" style="20" customWidth="1"/>
    <col min="41" max="44" width="15.7109375" style="20" customWidth="1"/>
    <col min="45" max="16384" width="9.28515625" style="20"/>
  </cols>
  <sheetData>
    <row r="1" spans="1:265" ht="57" customHeight="1" thickBot="1" x14ac:dyDescent="0.25">
      <c r="P1" s="238"/>
      <c r="Q1" s="342"/>
      <c r="R1" s="342"/>
      <c r="S1" s="342"/>
      <c r="T1" s="342"/>
      <c r="U1" s="238"/>
      <c r="V1" s="238"/>
      <c r="W1" s="238"/>
      <c r="X1" s="238"/>
      <c r="Y1" s="238"/>
      <c r="Z1" s="238"/>
      <c r="AA1" s="238"/>
      <c r="AB1" s="238"/>
      <c r="AC1" s="238"/>
      <c r="AD1" s="238"/>
      <c r="AE1" s="238"/>
      <c r="AF1" s="238"/>
      <c r="AG1" s="238"/>
    </row>
    <row r="2" spans="1:265" s="586" customFormat="1" ht="51" customHeight="1" thickBot="1" x14ac:dyDescent="0.25">
      <c r="A2" s="322" t="s">
        <v>131</v>
      </c>
      <c r="B2" s="323" t="s">
        <v>2475</v>
      </c>
      <c r="C2" s="324" t="s">
        <v>138</v>
      </c>
      <c r="D2" s="324" t="s">
        <v>98</v>
      </c>
      <c r="E2" s="325" t="s">
        <v>99</v>
      </c>
      <c r="F2" s="325" t="s">
        <v>100</v>
      </c>
      <c r="G2" s="325" t="s">
        <v>2519</v>
      </c>
      <c r="H2" s="427" t="s">
        <v>501</v>
      </c>
      <c r="I2" s="427" t="s">
        <v>2544</v>
      </c>
      <c r="J2" s="427" t="s">
        <v>2543</v>
      </c>
      <c r="K2" s="427" t="s">
        <v>260</v>
      </c>
      <c r="L2" s="327" t="s">
        <v>974</v>
      </c>
      <c r="M2" s="584" t="s">
        <v>5442</v>
      </c>
      <c r="N2" s="508" t="s">
        <v>132</v>
      </c>
      <c r="O2" s="328" t="s">
        <v>77</v>
      </c>
      <c r="P2" s="419" t="s">
        <v>78</v>
      </c>
      <c r="Q2" s="330" t="s">
        <v>2515</v>
      </c>
      <c r="R2" s="324" t="s">
        <v>2794</v>
      </c>
      <c r="S2" s="324" t="s">
        <v>2516</v>
      </c>
      <c r="T2" s="329" t="s">
        <v>2518</v>
      </c>
      <c r="U2" s="330" t="s">
        <v>2463</v>
      </c>
      <c r="V2" s="324" t="s">
        <v>2795</v>
      </c>
      <c r="W2" s="324" t="s">
        <v>2464</v>
      </c>
      <c r="X2" s="585" t="s">
        <v>2466</v>
      </c>
      <c r="Y2" s="324" t="s">
        <v>2467</v>
      </c>
      <c r="Z2" s="324" t="s">
        <v>2796</v>
      </c>
      <c r="AA2" s="324" t="s">
        <v>2468</v>
      </c>
      <c r="AB2" s="329" t="s">
        <v>2470</v>
      </c>
      <c r="AC2" s="330" t="s">
        <v>2471</v>
      </c>
      <c r="AD2" s="324" t="s">
        <v>2797</v>
      </c>
      <c r="AE2" s="324" t="s">
        <v>2472</v>
      </c>
      <c r="AF2" s="329" t="s">
        <v>2474</v>
      </c>
      <c r="AG2" s="330" t="s">
        <v>2484</v>
      </c>
      <c r="AH2" s="331" t="s">
        <v>133</v>
      </c>
      <c r="AI2" s="331" t="s">
        <v>134</v>
      </c>
      <c r="AJ2" s="331" t="s">
        <v>135</v>
      </c>
      <c r="AK2" s="331" t="s">
        <v>136</v>
      </c>
      <c r="AL2" s="331" t="s">
        <v>137</v>
      </c>
      <c r="AM2" s="331" t="s">
        <v>2104</v>
      </c>
      <c r="AN2" s="331" t="s">
        <v>2105</v>
      </c>
      <c r="AO2" s="331" t="s">
        <v>2106</v>
      </c>
      <c r="AP2" s="332" t="s">
        <v>144</v>
      </c>
      <c r="AQ2" s="332" t="s">
        <v>145</v>
      </c>
      <c r="AR2" s="333" t="s">
        <v>146</v>
      </c>
    </row>
    <row r="3" spans="1:265" s="14" customFormat="1" ht="15.75" x14ac:dyDescent="0.25">
      <c r="A3" s="902" t="s">
        <v>3898</v>
      </c>
      <c r="B3" s="902"/>
      <c r="C3" s="902"/>
      <c r="D3" s="22"/>
      <c r="E3" s="19"/>
      <c r="H3" s="30"/>
      <c r="I3" s="30"/>
      <c r="J3" s="30"/>
      <c r="K3" s="30"/>
      <c r="L3" s="255"/>
      <c r="M3" s="514"/>
      <c r="N3" s="514" t="str">
        <f>IF($C3="","",VLOOKUP($C3,'2017 Pricelist'!$C:$I,7,FALSE))</f>
        <v/>
      </c>
      <c r="O3" s="35"/>
      <c r="P3" s="187"/>
      <c r="Q3" s="42"/>
      <c r="R3" s="15"/>
      <c r="S3" s="15"/>
      <c r="T3" s="43"/>
      <c r="U3" s="42"/>
      <c r="V3" s="15"/>
      <c r="W3" s="15"/>
      <c r="X3" s="15"/>
      <c r="Y3" s="540"/>
      <c r="Z3" s="15"/>
      <c r="AA3" s="15"/>
      <c r="AB3" s="546"/>
      <c r="AC3" s="15"/>
      <c r="AD3" s="15"/>
      <c r="AE3" s="15"/>
      <c r="AF3" s="546"/>
      <c r="AG3" s="33"/>
      <c r="AH3" s="20"/>
      <c r="AI3" s="20"/>
      <c r="AJ3" s="20"/>
      <c r="AK3" s="20"/>
      <c r="AL3" s="20"/>
      <c r="AM3" s="20"/>
      <c r="AO3" s="21"/>
    </row>
    <row r="4" spans="1:265" s="14" customFormat="1" x14ac:dyDescent="0.2">
      <c r="A4" s="14" t="s">
        <v>3732</v>
      </c>
      <c r="B4" s="254"/>
      <c r="C4" s="254" t="s">
        <v>4014</v>
      </c>
      <c r="E4" s="19" t="s">
        <v>4015</v>
      </c>
      <c r="F4" s="22" t="s">
        <v>483</v>
      </c>
      <c r="G4" s="14" t="s">
        <v>3873</v>
      </c>
      <c r="H4" s="526">
        <v>54269002176</v>
      </c>
      <c r="I4" s="226"/>
      <c r="J4" s="226"/>
      <c r="K4" s="28" t="s">
        <v>3739</v>
      </c>
      <c r="L4" s="255" t="s">
        <v>975</v>
      </c>
      <c r="M4" s="514">
        <v>79.989999999999995</v>
      </c>
      <c r="N4" s="514">
        <f>IF($C4="","",VLOOKUP($C4,'2017 Pricelist'!$C:$I,7,FALSE))</f>
        <v>99.990000000000009</v>
      </c>
      <c r="O4" s="35">
        <v>6</v>
      </c>
      <c r="P4" s="187">
        <v>12</v>
      </c>
      <c r="Q4" s="42">
        <v>0.36</v>
      </c>
      <c r="R4" s="15">
        <v>3.6</v>
      </c>
      <c r="S4" s="15">
        <v>2.4</v>
      </c>
      <c r="T4" s="15">
        <v>2.1</v>
      </c>
      <c r="U4" s="42">
        <v>0.56000000000000005</v>
      </c>
      <c r="V4" s="15">
        <v>5</v>
      </c>
      <c r="W4" s="15">
        <v>3.25</v>
      </c>
      <c r="X4" s="15">
        <v>6.75</v>
      </c>
      <c r="Y4" s="540">
        <v>2.2000000000000002</v>
      </c>
      <c r="Z4" s="15">
        <v>10.5</v>
      </c>
      <c r="AA4" s="15">
        <v>7.25</v>
      </c>
      <c r="AB4" s="547">
        <v>5.5</v>
      </c>
      <c r="AC4" s="15">
        <v>10.35</v>
      </c>
      <c r="AD4" s="15">
        <v>15.25</v>
      </c>
      <c r="AE4" s="15">
        <v>11.5</v>
      </c>
      <c r="AF4" s="547">
        <v>12.38</v>
      </c>
      <c r="AG4" s="33">
        <f t="shared" ref="AG4:AG11" si="0">AD4*AE4*AF4/(12^3)</f>
        <v>1.2564482060185185</v>
      </c>
      <c r="AH4" s="20" t="s">
        <v>4185</v>
      </c>
      <c r="AI4" s="20" t="s">
        <v>3844</v>
      </c>
      <c r="AJ4" s="20" t="s">
        <v>4186</v>
      </c>
      <c r="AK4" s="40" t="s">
        <v>4187</v>
      </c>
      <c r="AL4" s="40" t="s">
        <v>3847</v>
      </c>
      <c r="AM4" s="20"/>
      <c r="AO4" s="21"/>
      <c r="AP4" s="14" t="s">
        <v>4188</v>
      </c>
    </row>
    <row r="5" spans="1:265" s="14" customFormat="1" x14ac:dyDescent="0.2">
      <c r="A5" s="14" t="s">
        <v>3732</v>
      </c>
      <c r="B5" s="254"/>
      <c r="C5" s="254" t="s">
        <v>4014</v>
      </c>
      <c r="E5" s="19" t="s">
        <v>4015</v>
      </c>
      <c r="F5" s="22" t="s">
        <v>218</v>
      </c>
      <c r="G5" s="14" t="s">
        <v>3873</v>
      </c>
      <c r="H5" s="526">
        <v>54269002282</v>
      </c>
      <c r="I5" s="226"/>
      <c r="J5" s="226"/>
      <c r="K5" s="28" t="s">
        <v>3739</v>
      </c>
      <c r="L5" s="255" t="s">
        <v>975</v>
      </c>
      <c r="M5" s="514">
        <v>79.989999999999995</v>
      </c>
      <c r="N5" s="514">
        <f>IF($C5="","",VLOOKUP($C5,'2017 Pricelist'!$C:$I,7,FALSE))</f>
        <v>99.990000000000009</v>
      </c>
      <c r="O5" s="35">
        <v>6</v>
      </c>
      <c r="P5" s="187">
        <v>12</v>
      </c>
      <c r="Q5" s="42">
        <v>0.36</v>
      </c>
      <c r="R5" s="15">
        <v>3.6</v>
      </c>
      <c r="S5" s="15">
        <v>2.4</v>
      </c>
      <c r="T5" s="15">
        <v>2.1</v>
      </c>
      <c r="U5" s="42">
        <v>0.56000000000000005</v>
      </c>
      <c r="V5" s="15">
        <v>5</v>
      </c>
      <c r="W5" s="15">
        <v>3.25</v>
      </c>
      <c r="X5" s="15">
        <v>6.75</v>
      </c>
      <c r="Y5" s="540">
        <v>2.2000000000000002</v>
      </c>
      <c r="Z5" s="15">
        <v>10.5</v>
      </c>
      <c r="AA5" s="15">
        <v>7.25</v>
      </c>
      <c r="AB5" s="547">
        <v>5.5</v>
      </c>
      <c r="AC5" s="15">
        <v>10.35</v>
      </c>
      <c r="AD5" s="15">
        <v>15.25</v>
      </c>
      <c r="AE5" s="15">
        <v>11.5</v>
      </c>
      <c r="AF5" s="547">
        <v>12.38</v>
      </c>
      <c r="AG5" s="33">
        <f t="shared" si="0"/>
        <v>1.2564482060185185</v>
      </c>
      <c r="AH5" s="20" t="s">
        <v>4185</v>
      </c>
      <c r="AI5" s="20" t="s">
        <v>3844</v>
      </c>
      <c r="AJ5" s="20"/>
      <c r="AK5" s="40" t="s">
        <v>4187</v>
      </c>
      <c r="AL5" s="40" t="s">
        <v>3847</v>
      </c>
      <c r="AM5" s="20"/>
      <c r="AO5" s="21"/>
      <c r="AP5" s="14" t="s">
        <v>4188</v>
      </c>
    </row>
    <row r="6" spans="1:265" s="14" customFormat="1" x14ac:dyDescent="0.2">
      <c r="A6" s="14" t="s">
        <v>3732</v>
      </c>
      <c r="B6" s="254"/>
      <c r="C6" s="254" t="s">
        <v>4014</v>
      </c>
      <c r="E6" s="19" t="s">
        <v>4015</v>
      </c>
      <c r="F6" s="22" t="s">
        <v>1332</v>
      </c>
      <c r="G6" s="14" t="s">
        <v>3873</v>
      </c>
      <c r="H6" s="526">
        <v>54269002381</v>
      </c>
      <c r="I6" s="226"/>
      <c r="J6" s="226"/>
      <c r="K6" s="28" t="s">
        <v>3739</v>
      </c>
      <c r="L6" s="255" t="s">
        <v>975</v>
      </c>
      <c r="M6" s="514">
        <v>79.989999999999995</v>
      </c>
      <c r="N6" s="514">
        <f>IF($C6="","",VLOOKUP($C6,'2017 Pricelist'!$C:$I,7,FALSE))</f>
        <v>99.990000000000009</v>
      </c>
      <c r="O6" s="35">
        <v>6</v>
      </c>
      <c r="P6" s="187">
        <v>12</v>
      </c>
      <c r="Q6" s="42">
        <v>0.36</v>
      </c>
      <c r="R6" s="15">
        <v>3.6</v>
      </c>
      <c r="S6" s="15">
        <v>2.4</v>
      </c>
      <c r="T6" s="15">
        <v>2.1</v>
      </c>
      <c r="U6" s="42">
        <v>0.56000000000000005</v>
      </c>
      <c r="V6" s="15">
        <v>5</v>
      </c>
      <c r="W6" s="15">
        <v>3.25</v>
      </c>
      <c r="X6" s="15">
        <v>6.75</v>
      </c>
      <c r="Y6" s="540">
        <v>2.2000000000000002</v>
      </c>
      <c r="Z6" s="15">
        <v>10.5</v>
      </c>
      <c r="AA6" s="15">
        <v>7.25</v>
      </c>
      <c r="AB6" s="547">
        <v>5.5</v>
      </c>
      <c r="AC6" s="15">
        <v>10.35</v>
      </c>
      <c r="AD6" s="15">
        <v>15.25</v>
      </c>
      <c r="AE6" s="15">
        <v>11.5</v>
      </c>
      <c r="AF6" s="547">
        <v>12.38</v>
      </c>
      <c r="AG6" s="33">
        <f t="shared" si="0"/>
        <v>1.2564482060185185</v>
      </c>
      <c r="AH6" s="20" t="s">
        <v>4185</v>
      </c>
      <c r="AI6" s="20" t="s">
        <v>3844</v>
      </c>
      <c r="AJ6" s="20"/>
      <c r="AK6" s="40" t="s">
        <v>4187</v>
      </c>
      <c r="AL6" s="40" t="s">
        <v>3847</v>
      </c>
      <c r="AM6" s="20"/>
      <c r="AO6" s="21"/>
      <c r="AP6" s="14" t="s">
        <v>4188</v>
      </c>
    </row>
    <row r="7" spans="1:265" s="14" customFormat="1" x14ac:dyDescent="0.2">
      <c r="A7" s="14" t="s">
        <v>3732</v>
      </c>
      <c r="B7" s="125"/>
      <c r="C7" s="22" t="s">
        <v>3733</v>
      </c>
      <c r="D7" s="14" t="s">
        <v>3735</v>
      </c>
      <c r="E7" s="57" t="s">
        <v>3738</v>
      </c>
      <c r="F7" s="18" t="s">
        <v>3736</v>
      </c>
      <c r="G7" s="18" t="s">
        <v>3619</v>
      </c>
      <c r="H7" s="497">
        <v>54269001827</v>
      </c>
      <c r="I7" s="124"/>
      <c r="J7" s="124"/>
      <c r="K7" s="28" t="s">
        <v>3739</v>
      </c>
      <c r="L7" s="219" t="s">
        <v>975</v>
      </c>
      <c r="M7" s="514">
        <v>29.99</v>
      </c>
      <c r="N7" s="514">
        <f>IF($C7="","",VLOOKUP($C7,'2017 Pricelist'!$C:$I,7,FALSE))</f>
        <v>39.99</v>
      </c>
      <c r="O7" s="35">
        <v>6</v>
      </c>
      <c r="P7" s="187">
        <v>24</v>
      </c>
      <c r="Q7" s="44">
        <v>0.23799999999999999</v>
      </c>
      <c r="R7" s="33">
        <v>3.5</v>
      </c>
      <c r="S7" s="130">
        <v>1.25</v>
      </c>
      <c r="T7" s="33">
        <v>2.35</v>
      </c>
      <c r="U7" s="44">
        <v>0.34</v>
      </c>
      <c r="V7" s="33">
        <v>8.125</v>
      </c>
      <c r="W7" s="33">
        <v>5.88</v>
      </c>
      <c r="X7" s="33">
        <v>1.5</v>
      </c>
      <c r="Y7" s="542">
        <v>2.2999999999999998</v>
      </c>
      <c r="Z7" s="33">
        <v>8.5</v>
      </c>
      <c r="AA7" s="33">
        <v>5.5</v>
      </c>
      <c r="AB7" s="549">
        <v>6.5</v>
      </c>
      <c r="AC7" s="33">
        <v>10</v>
      </c>
      <c r="AD7" s="33">
        <v>11.75</v>
      </c>
      <c r="AE7" s="33">
        <v>9.5</v>
      </c>
      <c r="AF7" s="549">
        <v>14.25</v>
      </c>
      <c r="AG7" s="33">
        <f t="shared" si="0"/>
        <v>0.92051866319444442</v>
      </c>
      <c r="AH7" s="524" t="s">
        <v>3843</v>
      </c>
      <c r="AI7" s="524" t="s">
        <v>3844</v>
      </c>
      <c r="AJ7" s="524" t="s">
        <v>3845</v>
      </c>
      <c r="AK7" s="524" t="s">
        <v>3846</v>
      </c>
      <c r="AL7" s="524" t="s">
        <v>3847</v>
      </c>
      <c r="AM7" s="138"/>
      <c r="AN7" s="138"/>
      <c r="AO7" s="138"/>
      <c r="AP7" s="524" t="s">
        <v>3842</v>
      </c>
      <c r="AQ7" s="138"/>
      <c r="AR7" s="135"/>
    </row>
    <row r="8" spans="1:265" s="14" customFormat="1" x14ac:dyDescent="0.2">
      <c r="A8" s="14" t="s">
        <v>3732</v>
      </c>
      <c r="B8" s="125"/>
      <c r="C8" s="22" t="s">
        <v>3733</v>
      </c>
      <c r="D8" s="14" t="s">
        <v>383</v>
      </c>
      <c r="E8" s="57" t="s">
        <v>3738</v>
      </c>
      <c r="F8" s="18" t="s">
        <v>484</v>
      </c>
      <c r="G8" s="18" t="s">
        <v>3619</v>
      </c>
      <c r="H8" s="497">
        <v>54269001926</v>
      </c>
      <c r="I8" s="124"/>
      <c r="J8" s="124"/>
      <c r="K8" s="28" t="s">
        <v>3739</v>
      </c>
      <c r="L8" s="219" t="s">
        <v>975</v>
      </c>
      <c r="M8" s="514">
        <v>29.99</v>
      </c>
      <c r="N8" s="514">
        <f>IF($C8="","",VLOOKUP($C8,'2017 Pricelist'!$C:$I,7,FALSE))</f>
        <v>39.99</v>
      </c>
      <c r="O8" s="35">
        <v>6</v>
      </c>
      <c r="P8" s="187">
        <v>24</v>
      </c>
      <c r="Q8" s="44">
        <v>0.23799999999999999</v>
      </c>
      <c r="R8" s="33">
        <v>3.5</v>
      </c>
      <c r="S8" s="130">
        <v>1.25</v>
      </c>
      <c r="T8" s="33">
        <v>2.35</v>
      </c>
      <c r="U8" s="44">
        <v>0.34</v>
      </c>
      <c r="V8" s="33">
        <v>8.125</v>
      </c>
      <c r="W8" s="33">
        <v>5.88</v>
      </c>
      <c r="X8" s="33">
        <v>1.5</v>
      </c>
      <c r="Y8" s="542">
        <v>2.2999999999999998</v>
      </c>
      <c r="Z8" s="33">
        <v>8.5</v>
      </c>
      <c r="AA8" s="33">
        <v>5.5</v>
      </c>
      <c r="AB8" s="549">
        <v>6.5</v>
      </c>
      <c r="AC8" s="33">
        <v>10</v>
      </c>
      <c r="AD8" s="33">
        <v>11.75</v>
      </c>
      <c r="AE8" s="33">
        <v>9.5</v>
      </c>
      <c r="AF8" s="549">
        <v>14.25</v>
      </c>
      <c r="AG8" s="33">
        <f t="shared" si="0"/>
        <v>0.92051866319444442</v>
      </c>
      <c r="AH8" s="524" t="s">
        <v>3843</v>
      </c>
      <c r="AI8" s="524" t="s">
        <v>3844</v>
      </c>
      <c r="AJ8" s="524" t="s">
        <v>3845</v>
      </c>
      <c r="AK8" s="524" t="s">
        <v>3846</v>
      </c>
      <c r="AL8" s="524" t="s">
        <v>3847</v>
      </c>
      <c r="AM8" s="138"/>
      <c r="AN8" s="138"/>
      <c r="AO8" s="138"/>
      <c r="AP8" s="524" t="s">
        <v>3842</v>
      </c>
      <c r="AQ8" s="138"/>
      <c r="AR8" s="135"/>
    </row>
    <row r="9" spans="1:265" s="14" customFormat="1" x14ac:dyDescent="0.2">
      <c r="A9" s="14" t="s">
        <v>3732</v>
      </c>
      <c r="B9" s="125"/>
      <c r="C9" s="22" t="s">
        <v>3733</v>
      </c>
      <c r="D9" s="14" t="s">
        <v>374</v>
      </c>
      <c r="E9" s="57" t="s">
        <v>3738</v>
      </c>
      <c r="F9" s="18" t="s">
        <v>219</v>
      </c>
      <c r="G9" s="18" t="s">
        <v>3619</v>
      </c>
      <c r="H9" s="497">
        <v>54269001810</v>
      </c>
      <c r="I9" s="124"/>
      <c r="J9" s="124"/>
      <c r="K9" s="28" t="s">
        <v>3739</v>
      </c>
      <c r="L9" s="219" t="s">
        <v>975</v>
      </c>
      <c r="M9" s="514">
        <v>29.99</v>
      </c>
      <c r="N9" s="514">
        <f>IF($C9="","",VLOOKUP($C9,'2017 Pricelist'!$C:$I,7,FALSE))</f>
        <v>39.99</v>
      </c>
      <c r="O9" s="35">
        <v>6</v>
      </c>
      <c r="P9" s="187">
        <v>24</v>
      </c>
      <c r="Q9" s="44">
        <v>0.23799999999999999</v>
      </c>
      <c r="R9" s="33">
        <v>3.5</v>
      </c>
      <c r="S9" s="130">
        <v>1.25</v>
      </c>
      <c r="T9" s="33">
        <v>2.35</v>
      </c>
      <c r="U9" s="44">
        <v>0.34</v>
      </c>
      <c r="V9" s="33">
        <v>8.125</v>
      </c>
      <c r="W9" s="33">
        <v>5.88</v>
      </c>
      <c r="X9" s="33">
        <v>1.5</v>
      </c>
      <c r="Y9" s="542">
        <v>2.2999999999999998</v>
      </c>
      <c r="Z9" s="33">
        <v>8.5</v>
      </c>
      <c r="AA9" s="33">
        <v>5.5</v>
      </c>
      <c r="AB9" s="549">
        <v>6.5</v>
      </c>
      <c r="AC9" s="33">
        <v>10</v>
      </c>
      <c r="AD9" s="33">
        <v>11.75</v>
      </c>
      <c r="AE9" s="33">
        <v>9.5</v>
      </c>
      <c r="AF9" s="549">
        <v>14.25</v>
      </c>
      <c r="AG9" s="33">
        <f t="shared" si="0"/>
        <v>0.92051866319444442</v>
      </c>
      <c r="AH9" s="524" t="s">
        <v>3843</v>
      </c>
      <c r="AI9" s="524" t="s">
        <v>3844</v>
      </c>
      <c r="AJ9" s="524" t="s">
        <v>3845</v>
      </c>
      <c r="AK9" s="524" t="s">
        <v>3846</v>
      </c>
      <c r="AL9" s="524" t="s">
        <v>3847</v>
      </c>
      <c r="AM9" s="138"/>
      <c r="AN9" s="138"/>
      <c r="AO9" s="138"/>
      <c r="AP9" s="524" t="s">
        <v>3842</v>
      </c>
      <c r="AQ9" s="138"/>
      <c r="AR9" s="135"/>
    </row>
    <row r="10" spans="1:265" s="14" customFormat="1" x14ac:dyDescent="0.2">
      <c r="A10" s="14" t="s">
        <v>3732</v>
      </c>
      <c r="B10" s="125"/>
      <c r="C10" s="22" t="s">
        <v>3733</v>
      </c>
      <c r="D10" s="14" t="s">
        <v>306</v>
      </c>
      <c r="E10" s="57" t="s">
        <v>3738</v>
      </c>
      <c r="F10" s="18" t="s">
        <v>345</v>
      </c>
      <c r="G10" s="18" t="s">
        <v>3619</v>
      </c>
      <c r="H10" s="497">
        <v>54269001834</v>
      </c>
      <c r="I10" s="124"/>
      <c r="J10" s="124"/>
      <c r="K10" s="28" t="s">
        <v>3739</v>
      </c>
      <c r="L10" s="219" t="s">
        <v>975</v>
      </c>
      <c r="M10" s="514">
        <v>29.99</v>
      </c>
      <c r="N10" s="514">
        <f>IF($C10="","",VLOOKUP($C10,'2017 Pricelist'!$C:$I,7,FALSE))</f>
        <v>39.99</v>
      </c>
      <c r="O10" s="35">
        <v>6</v>
      </c>
      <c r="P10" s="187">
        <v>24</v>
      </c>
      <c r="Q10" s="44">
        <v>0.23799999999999999</v>
      </c>
      <c r="R10" s="33">
        <v>3.5</v>
      </c>
      <c r="S10" s="130">
        <v>1.25</v>
      </c>
      <c r="T10" s="33">
        <v>2.35</v>
      </c>
      <c r="U10" s="44">
        <v>0.34</v>
      </c>
      <c r="V10" s="33">
        <v>8.125</v>
      </c>
      <c r="W10" s="33">
        <v>5.88</v>
      </c>
      <c r="X10" s="33">
        <v>1.5</v>
      </c>
      <c r="Y10" s="542">
        <v>2.2999999999999998</v>
      </c>
      <c r="Z10" s="33">
        <v>8.5</v>
      </c>
      <c r="AA10" s="33">
        <v>5.5</v>
      </c>
      <c r="AB10" s="549">
        <v>6.5</v>
      </c>
      <c r="AC10" s="33">
        <v>10</v>
      </c>
      <c r="AD10" s="33">
        <v>11.75</v>
      </c>
      <c r="AE10" s="33">
        <v>9.5</v>
      </c>
      <c r="AF10" s="549">
        <v>14.25</v>
      </c>
      <c r="AG10" s="33">
        <f t="shared" si="0"/>
        <v>0.92051866319444442</v>
      </c>
      <c r="AH10" s="524" t="s">
        <v>3843</v>
      </c>
      <c r="AI10" s="524" t="s">
        <v>3844</v>
      </c>
      <c r="AJ10" s="524" t="s">
        <v>3845</v>
      </c>
      <c r="AK10" s="524" t="s">
        <v>3846</v>
      </c>
      <c r="AL10" s="524" t="s">
        <v>3847</v>
      </c>
      <c r="AM10" s="138"/>
      <c r="AN10" s="138"/>
      <c r="AO10" s="138"/>
      <c r="AP10" s="524" t="s">
        <v>3842</v>
      </c>
      <c r="AQ10" s="138"/>
      <c r="AR10" s="135"/>
    </row>
    <row r="11" spans="1:265" s="14" customFormat="1" x14ac:dyDescent="0.2">
      <c r="A11" s="14" t="s">
        <v>3732</v>
      </c>
      <c r="B11" s="125"/>
      <c r="C11" s="22" t="s">
        <v>3901</v>
      </c>
      <c r="E11" s="57" t="s">
        <v>3902</v>
      </c>
      <c r="F11" s="18"/>
      <c r="G11" s="18" t="s">
        <v>3903</v>
      </c>
      <c r="H11" s="497">
        <v>54269002060</v>
      </c>
      <c r="I11" s="124"/>
      <c r="J11" s="124"/>
      <c r="K11" s="28" t="s">
        <v>3739</v>
      </c>
      <c r="L11" s="219" t="s">
        <v>975</v>
      </c>
      <c r="M11" s="514">
        <v>39.99</v>
      </c>
      <c r="N11" s="514">
        <f>IF($C11="","",VLOOKUP($C11,'2017 Pricelist'!$C:$I,7,FALSE))</f>
        <v>49.99</v>
      </c>
      <c r="O11" s="35">
        <v>6</v>
      </c>
      <c r="P11" s="187">
        <v>24</v>
      </c>
      <c r="Q11" s="44">
        <v>0.23799999999999999</v>
      </c>
      <c r="R11" s="33">
        <v>3.5</v>
      </c>
      <c r="S11" s="130">
        <v>1.25</v>
      </c>
      <c r="T11" s="33">
        <v>2.35</v>
      </c>
      <c r="U11" s="44">
        <v>3</v>
      </c>
      <c r="V11" s="33">
        <v>9.25</v>
      </c>
      <c r="W11" s="33">
        <v>6</v>
      </c>
      <c r="X11" s="33">
        <v>8.33</v>
      </c>
      <c r="Y11" s="542">
        <v>2.4</v>
      </c>
      <c r="Z11" s="33">
        <v>9.5</v>
      </c>
      <c r="AA11" s="33">
        <v>6</v>
      </c>
      <c r="AB11" s="549">
        <v>8.5</v>
      </c>
      <c r="AC11" s="33">
        <v>10.9</v>
      </c>
      <c r="AD11" s="33">
        <v>13</v>
      </c>
      <c r="AE11" s="33">
        <v>10.5</v>
      </c>
      <c r="AF11" s="549">
        <v>18.25</v>
      </c>
      <c r="AG11" s="33">
        <f t="shared" si="0"/>
        <v>1.4416232638888888</v>
      </c>
      <c r="AH11" s="524" t="s">
        <v>3843</v>
      </c>
      <c r="AI11" s="524" t="s">
        <v>3844</v>
      </c>
      <c r="AJ11" s="524" t="s">
        <v>3845</v>
      </c>
      <c r="AK11" s="524" t="s">
        <v>3846</v>
      </c>
      <c r="AL11" s="524" t="s">
        <v>3847</v>
      </c>
      <c r="AM11" s="138" t="s">
        <v>3907</v>
      </c>
      <c r="AN11" s="138"/>
      <c r="AO11" s="138"/>
      <c r="AP11" s="524" t="s">
        <v>3842</v>
      </c>
      <c r="AQ11" s="138"/>
      <c r="AR11" s="135"/>
    </row>
    <row r="12" spans="1:265" x14ac:dyDescent="0.2">
      <c r="N12" s="514" t="str">
        <f>IF($C12="","",VLOOKUP($C12,'2017 Pricelist'!$C:$I,7,FALSE))</f>
        <v/>
      </c>
    </row>
    <row r="13" spans="1:265" s="14" customFormat="1" x14ac:dyDescent="0.2">
      <c r="A13" s="14" t="s">
        <v>3732</v>
      </c>
      <c r="B13" s="125"/>
      <c r="C13" s="22" t="s">
        <v>3905</v>
      </c>
      <c r="E13" s="57" t="s">
        <v>3909</v>
      </c>
      <c r="F13" s="18" t="s">
        <v>484</v>
      </c>
      <c r="G13" s="18" t="s">
        <v>3911</v>
      </c>
      <c r="H13" s="497">
        <v>724937050012</v>
      </c>
      <c r="I13" s="124"/>
      <c r="J13" s="124"/>
      <c r="K13" s="28" t="s">
        <v>3739</v>
      </c>
      <c r="L13" s="219" t="s">
        <v>975</v>
      </c>
      <c r="M13" s="5"/>
      <c r="N13" s="514">
        <f>IF($C13="","",VLOOKUP($C13,'2017 Pricelist'!$C:$I,7,FALSE))</f>
        <v>22.99</v>
      </c>
      <c r="O13" s="35"/>
      <c r="P13" s="187">
        <v>30</v>
      </c>
      <c r="Q13" s="44">
        <v>0.65</v>
      </c>
      <c r="R13" s="33">
        <v>5.7</v>
      </c>
      <c r="S13" s="129">
        <v>2.2000000000000002</v>
      </c>
      <c r="T13" s="33">
        <v>3.5</v>
      </c>
      <c r="U13" s="44">
        <v>0.88</v>
      </c>
      <c r="V13" s="33">
        <v>7</v>
      </c>
      <c r="W13" s="33">
        <v>3.3</v>
      </c>
      <c r="X13" s="33">
        <v>7.5</v>
      </c>
      <c r="Y13" s="541"/>
      <c r="Z13" s="121"/>
      <c r="AA13" s="121"/>
      <c r="AB13" s="548"/>
      <c r="AC13" s="121"/>
      <c r="AD13" s="121"/>
      <c r="AE13" s="121"/>
      <c r="AF13" s="548"/>
      <c r="AG13" s="121"/>
      <c r="AH13" s="524"/>
      <c r="AI13" s="524"/>
      <c r="AJ13" s="524"/>
      <c r="AK13" s="524"/>
      <c r="AL13" s="524"/>
      <c r="AM13" s="384"/>
      <c r="AN13" s="384"/>
      <c r="AO13" s="384"/>
      <c r="AP13" s="524"/>
      <c r="AQ13" s="138"/>
      <c r="AR13" s="135"/>
    </row>
    <row r="14" spans="1:265" s="14" customFormat="1" x14ac:dyDescent="0.2">
      <c r="A14" s="14" t="s">
        <v>3732</v>
      </c>
      <c r="B14" s="125"/>
      <c r="C14" s="22" t="s">
        <v>3906</v>
      </c>
      <c r="E14" s="57" t="s">
        <v>3910</v>
      </c>
      <c r="F14" s="18" t="s">
        <v>217</v>
      </c>
      <c r="G14" s="18" t="s">
        <v>2557</v>
      </c>
      <c r="H14" s="497">
        <v>855712000127</v>
      </c>
      <c r="I14" s="124"/>
      <c r="J14" s="124"/>
      <c r="K14" s="28" t="s">
        <v>3739</v>
      </c>
      <c r="L14" s="219" t="s">
        <v>975</v>
      </c>
      <c r="M14" s="5"/>
      <c r="N14" s="514">
        <v>14.99</v>
      </c>
      <c r="O14" s="35"/>
      <c r="P14" s="187">
        <v>60</v>
      </c>
      <c r="Q14" s="44">
        <v>0.4</v>
      </c>
      <c r="R14" s="33">
        <v>4.7</v>
      </c>
      <c r="S14" s="129">
        <v>1.5</v>
      </c>
      <c r="T14" s="33">
        <v>3.5</v>
      </c>
      <c r="U14" s="44">
        <v>0.46</v>
      </c>
      <c r="V14" s="33">
        <v>5.0999999999999996</v>
      </c>
      <c r="W14" s="33">
        <v>2</v>
      </c>
      <c r="X14" s="33">
        <v>6.5</v>
      </c>
      <c r="Y14" s="541"/>
      <c r="Z14" s="121"/>
      <c r="AA14" s="121"/>
      <c r="AB14" s="548"/>
      <c r="AC14" s="121"/>
      <c r="AD14" s="121"/>
      <c r="AE14" s="121"/>
      <c r="AF14" s="548"/>
      <c r="AG14" s="121"/>
      <c r="AH14" s="524"/>
      <c r="AI14" s="524"/>
      <c r="AJ14" s="524"/>
      <c r="AK14" s="524"/>
      <c r="AL14" s="524"/>
      <c r="AM14" s="384"/>
      <c r="AN14" s="384"/>
      <c r="AO14" s="384"/>
      <c r="AP14" s="524"/>
      <c r="AQ14" s="138"/>
      <c r="AR14" s="135"/>
    </row>
    <row r="15" spans="1:265" s="18" customFormat="1" ht="15.75" x14ac:dyDescent="0.25">
      <c r="A15" s="105" t="s">
        <v>3899</v>
      </c>
      <c r="B15" s="102"/>
      <c r="C15" s="19"/>
      <c r="E15" s="57"/>
      <c r="H15" s="497"/>
      <c r="I15" s="28"/>
      <c r="J15" s="28"/>
      <c r="K15" s="28"/>
      <c r="L15" s="219"/>
      <c r="M15" s="5"/>
      <c r="N15" s="514" t="str">
        <f>IF($C15="","",VLOOKUP($C15,'2017 Pricelist'!$C:$I,7,FALSE))</f>
        <v/>
      </c>
      <c r="O15" s="35"/>
      <c r="P15" s="187"/>
      <c r="Q15" s="44"/>
      <c r="R15" s="33"/>
      <c r="S15" s="33"/>
      <c r="T15" s="130"/>
      <c r="U15" s="44"/>
      <c r="V15" s="33"/>
      <c r="W15" s="33"/>
      <c r="X15" s="33"/>
      <c r="Y15" s="542"/>
      <c r="Z15" s="33"/>
      <c r="AA15" s="33"/>
      <c r="AB15" s="549"/>
      <c r="AC15" s="33"/>
      <c r="AD15" s="33"/>
      <c r="AE15" s="33"/>
      <c r="AF15" s="549"/>
      <c r="AG15" s="33"/>
      <c r="AH15" s="138"/>
      <c r="AI15" s="138"/>
      <c r="AJ15" s="138"/>
      <c r="AK15" s="138"/>
      <c r="AL15" s="138"/>
      <c r="AM15" s="138"/>
      <c r="AN15" s="138"/>
      <c r="AO15" s="138"/>
      <c r="AP15" s="138"/>
      <c r="AQ15" s="138"/>
      <c r="AR15" s="135"/>
    </row>
    <row r="16" spans="1:265" s="88" customFormat="1" x14ac:dyDescent="0.2">
      <c r="A16" s="18" t="s">
        <v>3732</v>
      </c>
      <c r="B16" s="320"/>
      <c r="C16" s="22" t="s">
        <v>3734</v>
      </c>
      <c r="D16" s="37"/>
      <c r="E16" s="57" t="s">
        <v>3740</v>
      </c>
      <c r="F16" s="18" t="s">
        <v>484</v>
      </c>
      <c r="G16" s="18" t="s">
        <v>3878</v>
      </c>
      <c r="H16" s="497">
        <v>54269001919</v>
      </c>
      <c r="I16" s="124"/>
      <c r="J16" s="124"/>
      <c r="K16" s="28" t="s">
        <v>3739</v>
      </c>
      <c r="L16" s="219" t="s">
        <v>975</v>
      </c>
      <c r="M16" s="5">
        <v>199</v>
      </c>
      <c r="N16" s="514">
        <f>IF($C16="","",VLOOKUP($C16,'2017 Pricelist'!$C:$I,7,FALSE))</f>
        <v>249.99</v>
      </c>
      <c r="O16" s="35">
        <v>3</v>
      </c>
      <c r="P16" s="187">
        <v>12</v>
      </c>
      <c r="Q16" s="44">
        <v>0.4375</v>
      </c>
      <c r="R16" s="33">
        <v>3.15</v>
      </c>
      <c r="S16" s="130">
        <v>1.97</v>
      </c>
      <c r="T16" s="33">
        <v>2.76</v>
      </c>
      <c r="U16" s="44">
        <v>0.86850000000000005</v>
      </c>
      <c r="V16" s="33">
        <v>4.25</v>
      </c>
      <c r="W16" s="33">
        <v>4.25</v>
      </c>
      <c r="X16" s="33">
        <v>7.25</v>
      </c>
      <c r="Y16" s="542">
        <v>3.7</v>
      </c>
      <c r="Z16" s="33">
        <v>13.5</v>
      </c>
      <c r="AA16" s="33">
        <v>5</v>
      </c>
      <c r="AB16" s="549">
        <v>8.25</v>
      </c>
      <c r="AC16" s="33">
        <v>16.3</v>
      </c>
      <c r="AD16" s="33">
        <v>14</v>
      </c>
      <c r="AE16" s="33">
        <v>20.5</v>
      </c>
      <c r="AF16" s="549">
        <v>9.25</v>
      </c>
      <c r="AG16" s="33">
        <f>AD16*AE16*AF16/(12^3)</f>
        <v>1.5363136574074074</v>
      </c>
      <c r="AH16" s="490" t="s">
        <v>3848</v>
      </c>
      <c r="AI16" s="553" t="s">
        <v>3849</v>
      </c>
      <c r="AJ16" s="491" t="s">
        <v>3852</v>
      </c>
      <c r="AK16" s="80" t="s">
        <v>3850</v>
      </c>
      <c r="AL16" s="80" t="s">
        <v>3851</v>
      </c>
      <c r="AM16" s="37"/>
      <c r="AN16" s="37"/>
      <c r="AO16" s="37"/>
      <c r="AP16" s="524" t="s">
        <v>3853</v>
      </c>
      <c r="AQ16" s="37"/>
      <c r="AR16" s="37"/>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row>
    <row r="17" spans="1:265" s="88" customFormat="1" x14ac:dyDescent="0.2">
      <c r="A17" s="18" t="s">
        <v>3732</v>
      </c>
      <c r="B17" s="125"/>
      <c r="C17" s="22" t="s">
        <v>3737</v>
      </c>
      <c r="D17" s="37"/>
      <c r="E17" s="57" t="s">
        <v>3741</v>
      </c>
      <c r="F17" s="18" t="s">
        <v>667</v>
      </c>
      <c r="G17" s="18" t="s">
        <v>3878</v>
      </c>
      <c r="H17" s="497">
        <v>54269001902</v>
      </c>
      <c r="I17" s="124"/>
      <c r="J17" s="124"/>
      <c r="K17" s="28" t="s">
        <v>3739</v>
      </c>
      <c r="L17" s="219" t="s">
        <v>975</v>
      </c>
      <c r="M17" s="5">
        <v>149</v>
      </c>
      <c r="N17" s="514">
        <f>IF($C17="","",VLOOKUP($C17,'2017 Pricelist'!$C:$I,7,FALSE))</f>
        <v>199.98999999999998</v>
      </c>
      <c r="O17" s="35">
        <v>3</v>
      </c>
      <c r="P17" s="187">
        <v>12</v>
      </c>
      <c r="Q17" s="44">
        <v>0.42499999999999999</v>
      </c>
      <c r="R17" s="33">
        <v>3.15</v>
      </c>
      <c r="S17" s="33">
        <v>1.97</v>
      </c>
      <c r="T17" s="130">
        <v>2.76</v>
      </c>
      <c r="U17" s="44">
        <v>0.86</v>
      </c>
      <c r="V17" s="33">
        <v>4.25</v>
      </c>
      <c r="W17" s="33">
        <v>4.25</v>
      </c>
      <c r="X17" s="33">
        <v>7.25</v>
      </c>
      <c r="Y17" s="542">
        <v>3.8</v>
      </c>
      <c r="Z17" s="33">
        <v>14</v>
      </c>
      <c r="AA17" s="33">
        <v>5.25</v>
      </c>
      <c r="AB17" s="549">
        <v>8.25</v>
      </c>
      <c r="AC17" s="121"/>
      <c r="AD17" s="121"/>
      <c r="AE17" s="121"/>
      <c r="AF17" s="548"/>
      <c r="AG17" s="121">
        <f>AD17*AE17*AF17/(12^3)</f>
        <v>0</v>
      </c>
      <c r="AH17" s="80" t="s">
        <v>3848</v>
      </c>
      <c r="AI17" s="553" t="s">
        <v>3849</v>
      </c>
      <c r="AJ17" s="80" t="s">
        <v>3855</v>
      </c>
      <c r="AK17" s="80" t="s">
        <v>3856</v>
      </c>
      <c r="AL17" s="80" t="s">
        <v>3851</v>
      </c>
      <c r="AM17" s="37"/>
      <c r="AN17" s="37"/>
      <c r="AO17" s="37"/>
      <c r="AP17" s="52" t="s">
        <v>3854</v>
      </c>
      <c r="AQ17" s="37"/>
      <c r="AR17" s="37"/>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row>
    <row r="18" spans="1:265" s="588" customFormat="1" x14ac:dyDescent="0.2">
      <c r="A18" s="364" t="s">
        <v>3732</v>
      </c>
      <c r="B18" s="369"/>
      <c r="C18" s="370" t="s">
        <v>3872</v>
      </c>
      <c r="D18" s="369"/>
      <c r="E18" s="372" t="s">
        <v>3871</v>
      </c>
      <c r="F18" s="369" t="s">
        <v>484</v>
      </c>
      <c r="G18" s="369" t="s">
        <v>3873</v>
      </c>
      <c r="H18" s="587">
        <v>814002011793</v>
      </c>
      <c r="I18" s="369"/>
      <c r="J18" s="369"/>
      <c r="K18" s="371" t="s">
        <v>3739</v>
      </c>
      <c r="L18" s="372" t="s">
        <v>975</v>
      </c>
      <c r="M18" s="661"/>
      <c r="N18" s="514">
        <v>299</v>
      </c>
      <c r="O18" s="369"/>
      <c r="P18" s="373">
        <v>18</v>
      </c>
      <c r="Q18" s="366">
        <v>0.45600000000000002</v>
      </c>
      <c r="R18" s="366">
        <v>3.3</v>
      </c>
      <c r="S18" s="366">
        <v>2.4</v>
      </c>
      <c r="T18" s="588">
        <v>2.8</v>
      </c>
      <c r="U18" s="366">
        <v>1.4</v>
      </c>
      <c r="V18" s="366">
        <v>5.0999999999999996</v>
      </c>
      <c r="W18" s="366">
        <v>5.0999999999999996</v>
      </c>
      <c r="X18" s="373">
        <v>7.4</v>
      </c>
      <c r="Y18" s="589"/>
      <c r="Z18" s="369"/>
      <c r="AA18" s="369"/>
      <c r="AB18" s="590"/>
      <c r="AC18" s="373"/>
      <c r="AD18" s="369"/>
      <c r="AE18" s="369"/>
      <c r="AF18" s="590"/>
      <c r="AG18" s="373"/>
      <c r="AH18" s="369"/>
      <c r="AI18" s="369"/>
      <c r="AJ18" s="369"/>
      <c r="AK18" s="369"/>
      <c r="AL18" s="369"/>
      <c r="AM18" s="369"/>
      <c r="AN18" s="369"/>
      <c r="AO18" s="369"/>
      <c r="AP18" s="369"/>
      <c r="AQ18" s="369"/>
      <c r="AR18" s="369"/>
      <c r="AS18" s="369"/>
      <c r="AT18" s="369"/>
      <c r="AU18" s="369"/>
      <c r="AV18" s="369"/>
      <c r="AW18" s="369"/>
      <c r="AX18" s="369"/>
      <c r="AY18" s="369"/>
      <c r="AZ18" s="369"/>
      <c r="BA18" s="369"/>
      <c r="BB18" s="369"/>
      <c r="BC18" s="369"/>
      <c r="BD18" s="369"/>
      <c r="BE18" s="369"/>
      <c r="BF18" s="369"/>
      <c r="BG18" s="369"/>
      <c r="BH18" s="369"/>
      <c r="BI18" s="369"/>
      <c r="BJ18" s="369"/>
      <c r="BK18" s="369"/>
      <c r="BL18" s="369"/>
      <c r="BM18" s="369"/>
      <c r="BN18" s="369"/>
      <c r="BO18" s="369"/>
      <c r="BP18" s="369"/>
      <c r="BQ18" s="369"/>
      <c r="BR18" s="369"/>
      <c r="BS18" s="369"/>
      <c r="BT18" s="369"/>
      <c r="BU18" s="369"/>
      <c r="BV18" s="369"/>
      <c r="BW18" s="369"/>
      <c r="BX18" s="369"/>
      <c r="BY18" s="369"/>
      <c r="BZ18" s="369"/>
      <c r="CA18" s="369"/>
      <c r="CB18" s="369"/>
      <c r="CC18" s="369"/>
      <c r="CD18" s="369"/>
      <c r="CE18" s="369"/>
      <c r="CF18" s="369"/>
      <c r="CG18" s="369"/>
      <c r="CH18" s="369"/>
      <c r="CI18" s="369"/>
      <c r="CJ18" s="369"/>
      <c r="CK18" s="369"/>
      <c r="CL18" s="369"/>
      <c r="CM18" s="369"/>
      <c r="CN18" s="369"/>
      <c r="CO18" s="369"/>
      <c r="CP18" s="369"/>
      <c r="CQ18" s="369"/>
      <c r="CR18" s="369"/>
      <c r="CS18" s="369"/>
      <c r="CT18" s="369"/>
      <c r="CU18" s="369"/>
      <c r="CV18" s="369"/>
      <c r="CW18" s="369"/>
      <c r="CX18" s="369"/>
      <c r="CY18" s="369"/>
      <c r="CZ18" s="369"/>
      <c r="DA18" s="369"/>
      <c r="DB18" s="369"/>
      <c r="DC18" s="369"/>
      <c r="DD18" s="369"/>
      <c r="DE18" s="369"/>
      <c r="DF18" s="369"/>
      <c r="DG18" s="369"/>
      <c r="DH18" s="369"/>
      <c r="DI18" s="369"/>
      <c r="DJ18" s="369"/>
      <c r="DK18" s="369"/>
      <c r="DL18" s="369"/>
      <c r="DM18" s="369"/>
      <c r="DN18" s="369"/>
      <c r="DO18" s="369"/>
      <c r="DP18" s="369"/>
      <c r="DQ18" s="369"/>
      <c r="DR18" s="369"/>
      <c r="DS18" s="369"/>
      <c r="DT18" s="369"/>
      <c r="DU18" s="369"/>
      <c r="DV18" s="369"/>
      <c r="DW18" s="369"/>
      <c r="DX18" s="369"/>
      <c r="DY18" s="369"/>
      <c r="DZ18" s="369"/>
      <c r="EA18" s="369"/>
      <c r="EB18" s="369"/>
      <c r="EC18" s="369"/>
      <c r="ED18" s="369"/>
      <c r="EE18" s="369"/>
      <c r="EF18" s="369"/>
      <c r="EG18" s="369"/>
      <c r="EH18" s="369"/>
      <c r="EI18" s="369"/>
      <c r="EJ18" s="369"/>
      <c r="EK18" s="369"/>
      <c r="EL18" s="369"/>
      <c r="EM18" s="369"/>
      <c r="EN18" s="369"/>
      <c r="EO18" s="369"/>
      <c r="EP18" s="369"/>
      <c r="EQ18" s="369"/>
      <c r="ER18" s="369"/>
      <c r="ES18" s="369"/>
      <c r="ET18" s="369"/>
      <c r="EU18" s="369"/>
      <c r="EV18" s="369"/>
      <c r="EW18" s="369"/>
      <c r="EX18" s="369"/>
      <c r="EY18" s="369"/>
      <c r="EZ18" s="369"/>
      <c r="FA18" s="369"/>
      <c r="FB18" s="369"/>
      <c r="FC18" s="369"/>
      <c r="FD18" s="369"/>
      <c r="FE18" s="369"/>
      <c r="FF18" s="369"/>
      <c r="FG18" s="369"/>
      <c r="FH18" s="369"/>
      <c r="FI18" s="369"/>
      <c r="FJ18" s="369"/>
      <c r="FK18" s="369"/>
      <c r="FL18" s="369"/>
      <c r="FM18" s="369"/>
      <c r="FN18" s="369"/>
      <c r="FO18" s="369"/>
      <c r="FP18" s="369"/>
      <c r="FQ18" s="369"/>
      <c r="FR18" s="369"/>
      <c r="FS18" s="369"/>
      <c r="FT18" s="369"/>
      <c r="FU18" s="369"/>
      <c r="FV18" s="369"/>
      <c r="FW18" s="369"/>
      <c r="FX18" s="369"/>
      <c r="FY18" s="369"/>
      <c r="FZ18" s="369"/>
      <c r="GA18" s="369"/>
      <c r="GB18" s="369"/>
      <c r="GC18" s="369"/>
      <c r="GD18" s="369"/>
      <c r="GE18" s="369"/>
      <c r="GF18" s="369"/>
      <c r="GG18" s="369"/>
      <c r="GH18" s="369"/>
      <c r="GI18" s="369"/>
      <c r="GJ18" s="369"/>
      <c r="GK18" s="369"/>
      <c r="GL18" s="369"/>
      <c r="GM18" s="369"/>
      <c r="GN18" s="369"/>
      <c r="GO18" s="369"/>
      <c r="GP18" s="369"/>
      <c r="GQ18" s="369"/>
      <c r="GR18" s="369"/>
      <c r="GS18" s="369"/>
      <c r="GT18" s="369"/>
      <c r="GU18" s="369"/>
      <c r="GV18" s="369"/>
      <c r="GW18" s="369"/>
      <c r="GX18" s="369"/>
      <c r="GY18" s="369"/>
      <c r="GZ18" s="369"/>
      <c r="HA18" s="369"/>
      <c r="HB18" s="369"/>
      <c r="HC18" s="369"/>
      <c r="HD18" s="369"/>
      <c r="HE18" s="369"/>
      <c r="HF18" s="369"/>
      <c r="HG18" s="369"/>
      <c r="HH18" s="369"/>
      <c r="HI18" s="369"/>
      <c r="HJ18" s="369"/>
      <c r="HK18" s="369"/>
      <c r="HL18" s="369"/>
      <c r="HM18" s="369"/>
      <c r="HN18" s="369"/>
      <c r="HO18" s="369"/>
      <c r="HP18" s="369"/>
      <c r="HQ18" s="369"/>
      <c r="HR18" s="369"/>
      <c r="HS18" s="369"/>
      <c r="HT18" s="369"/>
      <c r="HU18" s="369"/>
      <c r="HV18" s="369"/>
      <c r="HW18" s="369"/>
      <c r="HX18" s="369"/>
      <c r="HY18" s="369"/>
      <c r="HZ18" s="369"/>
      <c r="IA18" s="369"/>
      <c r="IB18" s="369"/>
      <c r="IC18" s="369"/>
      <c r="ID18" s="369"/>
      <c r="IE18" s="369"/>
      <c r="IF18" s="369"/>
      <c r="IG18" s="369"/>
      <c r="IH18" s="369"/>
      <c r="II18" s="369"/>
      <c r="IJ18" s="369"/>
      <c r="IK18" s="369"/>
      <c r="IL18" s="369"/>
      <c r="IM18" s="369"/>
      <c r="IN18" s="369"/>
      <c r="IO18" s="369"/>
      <c r="IP18" s="369"/>
      <c r="IQ18" s="369"/>
      <c r="IR18" s="369"/>
      <c r="IS18" s="369"/>
      <c r="IT18" s="369"/>
      <c r="IU18" s="369"/>
      <c r="IV18" s="369"/>
      <c r="IW18" s="369"/>
      <c r="IX18" s="369"/>
      <c r="IY18" s="369"/>
      <c r="IZ18" s="369"/>
      <c r="JA18" s="369"/>
      <c r="JB18" s="369"/>
      <c r="JC18" s="369"/>
      <c r="JD18" s="369"/>
      <c r="JE18" s="369"/>
    </row>
    <row r="19" spans="1:265" s="588" customFormat="1" x14ac:dyDescent="0.2">
      <c r="A19" s="364" t="s">
        <v>3732</v>
      </c>
      <c r="B19" s="369"/>
      <c r="C19" s="370" t="s">
        <v>3874</v>
      </c>
      <c r="D19" s="369"/>
      <c r="E19" s="372" t="s">
        <v>3875</v>
      </c>
      <c r="F19" s="369" t="s">
        <v>667</v>
      </c>
      <c r="G19" s="369" t="s">
        <v>3873</v>
      </c>
      <c r="H19" s="591">
        <v>814002011908</v>
      </c>
      <c r="I19" s="369"/>
      <c r="J19" s="369"/>
      <c r="K19" s="371" t="s">
        <v>3739</v>
      </c>
      <c r="L19" s="372" t="s">
        <v>975</v>
      </c>
      <c r="M19" s="369"/>
      <c r="N19" s="514">
        <v>219</v>
      </c>
      <c r="O19" s="369"/>
      <c r="P19" s="373">
        <v>20</v>
      </c>
      <c r="Q19" s="592">
        <v>0.39400000000000002</v>
      </c>
      <c r="R19" s="593">
        <v>2.8</v>
      </c>
      <c r="S19" s="593">
        <v>3.3</v>
      </c>
      <c r="T19" s="593">
        <v>2.4</v>
      </c>
      <c r="U19" s="593">
        <v>1.04</v>
      </c>
      <c r="V19" s="593">
        <v>6.8</v>
      </c>
      <c r="W19" s="593">
        <v>3.3</v>
      </c>
      <c r="X19" s="593">
        <v>5</v>
      </c>
      <c r="Y19" s="589"/>
      <c r="Z19" s="369"/>
      <c r="AA19" s="369"/>
      <c r="AB19" s="590"/>
      <c r="AC19" s="373"/>
      <c r="AD19" s="369"/>
      <c r="AE19" s="369"/>
      <c r="AF19" s="590"/>
      <c r="AG19" s="373"/>
      <c r="AH19" s="369"/>
      <c r="AI19" s="369"/>
      <c r="AJ19" s="369"/>
      <c r="AK19" s="369"/>
      <c r="AL19" s="369"/>
      <c r="AM19" s="36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369"/>
      <c r="BM19" s="369"/>
      <c r="BN19" s="369"/>
      <c r="BO19" s="369"/>
      <c r="BP19" s="369"/>
      <c r="BQ19" s="369"/>
      <c r="BR19" s="369"/>
      <c r="BS19" s="369"/>
      <c r="BT19" s="369"/>
      <c r="BU19" s="369"/>
      <c r="BV19" s="369"/>
      <c r="BW19" s="369"/>
      <c r="BX19" s="369"/>
      <c r="BY19" s="369"/>
      <c r="BZ19" s="369"/>
      <c r="CA19" s="369"/>
      <c r="CB19" s="369"/>
      <c r="CC19" s="369"/>
      <c r="CD19" s="369"/>
      <c r="CE19" s="369"/>
      <c r="CF19" s="369"/>
      <c r="CG19" s="369"/>
      <c r="CH19" s="369"/>
      <c r="CI19" s="369"/>
      <c r="CJ19" s="369"/>
      <c r="CK19" s="369"/>
      <c r="CL19" s="369"/>
      <c r="CM19" s="369"/>
      <c r="CN19" s="369"/>
      <c r="CO19" s="369"/>
      <c r="CP19" s="369"/>
      <c r="CQ19" s="369"/>
      <c r="CR19" s="369"/>
      <c r="CS19" s="369"/>
      <c r="CT19" s="369"/>
      <c r="CU19" s="369"/>
      <c r="CV19" s="369"/>
      <c r="CW19" s="369"/>
      <c r="CX19" s="369"/>
      <c r="CY19" s="369"/>
      <c r="CZ19" s="369"/>
      <c r="DA19" s="369"/>
      <c r="DB19" s="369"/>
      <c r="DC19" s="369"/>
      <c r="DD19" s="369"/>
      <c r="DE19" s="369"/>
      <c r="DF19" s="369"/>
      <c r="DG19" s="369"/>
      <c r="DH19" s="369"/>
      <c r="DI19" s="369"/>
      <c r="DJ19" s="369"/>
      <c r="DK19" s="369"/>
      <c r="DL19" s="369"/>
      <c r="DM19" s="369"/>
      <c r="DN19" s="369"/>
      <c r="DO19" s="369"/>
      <c r="DP19" s="369"/>
      <c r="DQ19" s="369"/>
      <c r="DR19" s="369"/>
      <c r="DS19" s="369"/>
      <c r="DT19" s="369"/>
      <c r="DU19" s="369"/>
      <c r="DV19" s="369"/>
      <c r="DW19" s="369"/>
      <c r="DX19" s="369"/>
      <c r="DY19" s="369"/>
      <c r="DZ19" s="369"/>
      <c r="EA19" s="369"/>
      <c r="EB19" s="369"/>
      <c r="EC19" s="369"/>
      <c r="ED19" s="369"/>
      <c r="EE19" s="369"/>
      <c r="EF19" s="369"/>
      <c r="EG19" s="369"/>
      <c r="EH19" s="369"/>
      <c r="EI19" s="369"/>
      <c r="EJ19" s="369"/>
      <c r="EK19" s="369"/>
      <c r="EL19" s="369"/>
      <c r="EM19" s="369"/>
      <c r="EN19" s="369"/>
      <c r="EO19" s="369"/>
      <c r="EP19" s="369"/>
      <c r="EQ19" s="369"/>
      <c r="ER19" s="369"/>
      <c r="ES19" s="369"/>
      <c r="ET19" s="369"/>
      <c r="EU19" s="369"/>
      <c r="EV19" s="369"/>
      <c r="EW19" s="369"/>
      <c r="EX19" s="369"/>
      <c r="EY19" s="369"/>
      <c r="EZ19" s="369"/>
      <c r="FA19" s="369"/>
      <c r="FB19" s="369"/>
      <c r="FC19" s="369"/>
      <c r="FD19" s="369"/>
      <c r="FE19" s="369"/>
      <c r="FF19" s="369"/>
      <c r="FG19" s="369"/>
      <c r="FH19" s="369"/>
      <c r="FI19" s="369"/>
      <c r="FJ19" s="369"/>
      <c r="FK19" s="369"/>
      <c r="FL19" s="369"/>
      <c r="FM19" s="369"/>
      <c r="FN19" s="369"/>
      <c r="FO19" s="369"/>
      <c r="FP19" s="369"/>
      <c r="FQ19" s="369"/>
      <c r="FR19" s="369"/>
      <c r="FS19" s="369"/>
      <c r="FT19" s="369"/>
      <c r="FU19" s="369"/>
      <c r="FV19" s="369"/>
      <c r="FW19" s="369"/>
      <c r="FX19" s="369"/>
      <c r="FY19" s="369"/>
      <c r="FZ19" s="369"/>
      <c r="GA19" s="369"/>
      <c r="GB19" s="369"/>
      <c r="GC19" s="369"/>
      <c r="GD19" s="369"/>
      <c r="GE19" s="369"/>
      <c r="GF19" s="369"/>
      <c r="GG19" s="369"/>
      <c r="GH19" s="369"/>
      <c r="GI19" s="369"/>
      <c r="GJ19" s="369"/>
      <c r="GK19" s="369"/>
      <c r="GL19" s="369"/>
      <c r="GM19" s="369"/>
      <c r="GN19" s="369"/>
      <c r="GO19" s="369"/>
      <c r="GP19" s="369"/>
      <c r="GQ19" s="369"/>
      <c r="GR19" s="369"/>
      <c r="GS19" s="369"/>
      <c r="GT19" s="369"/>
      <c r="GU19" s="369"/>
      <c r="GV19" s="369"/>
      <c r="GW19" s="369"/>
      <c r="GX19" s="369"/>
      <c r="GY19" s="369"/>
      <c r="GZ19" s="369"/>
      <c r="HA19" s="369"/>
      <c r="HB19" s="369"/>
      <c r="HC19" s="369"/>
      <c r="HD19" s="369"/>
      <c r="HE19" s="369"/>
      <c r="HF19" s="369"/>
      <c r="HG19" s="369"/>
      <c r="HH19" s="369"/>
      <c r="HI19" s="369"/>
      <c r="HJ19" s="369"/>
      <c r="HK19" s="369"/>
      <c r="HL19" s="369"/>
      <c r="HM19" s="369"/>
      <c r="HN19" s="369"/>
      <c r="HO19" s="369"/>
      <c r="HP19" s="369"/>
      <c r="HQ19" s="369"/>
      <c r="HR19" s="369"/>
      <c r="HS19" s="369"/>
      <c r="HT19" s="369"/>
      <c r="HU19" s="369"/>
      <c r="HV19" s="369"/>
      <c r="HW19" s="369"/>
      <c r="HX19" s="369"/>
      <c r="HY19" s="369"/>
      <c r="HZ19" s="369"/>
      <c r="IA19" s="369"/>
      <c r="IB19" s="369"/>
      <c r="IC19" s="369"/>
      <c r="ID19" s="369"/>
      <c r="IE19" s="369"/>
      <c r="IF19" s="369"/>
      <c r="IG19" s="369"/>
      <c r="IH19" s="369"/>
      <c r="II19" s="369"/>
      <c r="IJ19" s="369"/>
      <c r="IK19" s="369"/>
      <c r="IL19" s="369"/>
      <c r="IM19" s="369"/>
      <c r="IN19" s="369"/>
      <c r="IO19" s="369"/>
      <c r="IP19" s="369"/>
      <c r="IQ19" s="369"/>
      <c r="IR19" s="369"/>
      <c r="IS19" s="369"/>
      <c r="IT19" s="369"/>
      <c r="IU19" s="369"/>
      <c r="IV19" s="369"/>
      <c r="IW19" s="369"/>
      <c r="IX19" s="369"/>
      <c r="IY19" s="369"/>
      <c r="IZ19" s="369"/>
      <c r="JA19" s="369"/>
      <c r="JB19" s="369"/>
      <c r="JC19" s="369"/>
      <c r="JD19" s="369"/>
      <c r="JE19" s="369"/>
    </row>
    <row r="20" spans="1:265" s="88" customFormat="1" x14ac:dyDescent="0.2">
      <c r="A20" s="18" t="s">
        <v>3732</v>
      </c>
      <c r="B20" s="37"/>
      <c r="C20" s="22" t="s">
        <v>3810</v>
      </c>
      <c r="D20" s="37"/>
      <c r="E20" s="57" t="s">
        <v>3812</v>
      </c>
      <c r="F20" s="37"/>
      <c r="G20" s="18" t="s">
        <v>3919</v>
      </c>
      <c r="H20" s="63">
        <v>54269002145</v>
      </c>
      <c r="I20" s="140"/>
      <c r="J20" s="140"/>
      <c r="K20" s="253" t="s">
        <v>4016</v>
      </c>
      <c r="L20" s="219" t="s">
        <v>975</v>
      </c>
      <c r="M20" s="5"/>
      <c r="N20" s="514">
        <f>IF($C20="","",VLOOKUP($C20,'2017 Pricelist'!$C:$I,7,FALSE))</f>
        <v>14.99</v>
      </c>
      <c r="O20" s="37"/>
      <c r="P20" s="35">
        <v>10</v>
      </c>
      <c r="Q20" s="121"/>
      <c r="R20" s="33">
        <v>2.13</v>
      </c>
      <c r="S20" s="33">
        <v>1.48</v>
      </c>
      <c r="T20" s="87">
        <v>0.4</v>
      </c>
      <c r="U20" s="354"/>
      <c r="V20" s="140"/>
      <c r="W20" s="140"/>
      <c r="X20" s="354"/>
      <c r="Y20" s="543"/>
      <c r="Z20" s="140"/>
      <c r="AA20" s="140"/>
      <c r="AB20" s="550"/>
      <c r="AC20" s="354"/>
      <c r="AD20" s="140"/>
      <c r="AE20" s="140"/>
      <c r="AF20" s="550"/>
      <c r="AG20" s="354"/>
      <c r="AH20" s="140"/>
      <c r="AI20" s="140"/>
      <c r="AJ20" s="140"/>
      <c r="AK20" s="140"/>
      <c r="AL20" s="140"/>
      <c r="AM20" s="37"/>
      <c r="AN20" s="37"/>
      <c r="AO20" s="37"/>
      <c r="AP20" s="140"/>
      <c r="AQ20" s="140"/>
      <c r="AR20" s="14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row>
    <row r="21" spans="1:265" s="88" customFormat="1" ht="15.75" x14ac:dyDescent="0.25">
      <c r="A21" s="902" t="s">
        <v>3900</v>
      </c>
      <c r="B21" s="902"/>
      <c r="C21" s="22"/>
      <c r="D21" s="57"/>
      <c r="F21" s="20"/>
      <c r="G21" s="20"/>
      <c r="H21" s="496"/>
      <c r="I21" s="20"/>
      <c r="J21" s="20"/>
      <c r="K21" s="28"/>
      <c r="L21" s="45"/>
      <c r="M21" s="20"/>
      <c r="N21" s="503"/>
      <c r="O21" s="37"/>
      <c r="P21" s="40"/>
      <c r="Q21" s="493"/>
      <c r="R21" s="494"/>
      <c r="S21" s="494"/>
      <c r="T21" s="494"/>
      <c r="U21" s="495"/>
      <c r="V21" s="495"/>
      <c r="W21" s="495"/>
      <c r="X21" s="495"/>
      <c r="Y21" s="544"/>
      <c r="Z21" s="20"/>
      <c r="AA21" s="20"/>
      <c r="AB21" s="551"/>
      <c r="AC21" s="26"/>
      <c r="AD21" s="20"/>
      <c r="AE21" s="20"/>
      <c r="AF21" s="551"/>
      <c r="AG21" s="26"/>
      <c r="AH21" s="20"/>
      <c r="AI21" s="20"/>
      <c r="AJ21" s="20"/>
      <c r="AK21" s="20"/>
      <c r="AL21" s="20"/>
      <c r="AM21" s="37"/>
      <c r="AN21" s="37"/>
      <c r="AO21" s="37"/>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row>
    <row r="22" spans="1:265" s="588" customFormat="1" x14ac:dyDescent="0.2">
      <c r="A22" s="364" t="s">
        <v>3732</v>
      </c>
      <c r="B22" s="369"/>
      <c r="C22" s="370" t="s">
        <v>3876</v>
      </c>
      <c r="D22" s="369"/>
      <c r="E22" s="372" t="s">
        <v>3877</v>
      </c>
      <c r="F22" s="369" t="s">
        <v>667</v>
      </c>
      <c r="G22" s="369" t="s">
        <v>3873</v>
      </c>
      <c r="H22" s="591">
        <v>814002011809</v>
      </c>
      <c r="I22" s="369"/>
      <c r="J22" s="369"/>
      <c r="K22" s="371" t="s">
        <v>4017</v>
      </c>
      <c r="L22" s="372" t="s">
        <v>975</v>
      </c>
      <c r="M22" s="594"/>
      <c r="N22" s="611">
        <v>299</v>
      </c>
      <c r="O22" s="369"/>
      <c r="P22" s="373">
        <v>20</v>
      </c>
      <c r="Q22" s="595">
        <v>0.39400000000000002</v>
      </c>
      <c r="R22" s="593">
        <v>2.8</v>
      </c>
      <c r="S22" s="593">
        <v>3.3</v>
      </c>
      <c r="T22" s="593">
        <v>2.4</v>
      </c>
      <c r="U22" s="593">
        <v>1.04</v>
      </c>
      <c r="V22" s="593">
        <v>6.8</v>
      </c>
      <c r="W22" s="593">
        <v>3.3</v>
      </c>
      <c r="X22" s="593">
        <v>5</v>
      </c>
      <c r="Y22" s="589"/>
      <c r="Z22" s="369"/>
      <c r="AA22" s="369"/>
      <c r="AB22" s="590"/>
      <c r="AC22" s="373"/>
      <c r="AD22" s="369"/>
      <c r="AE22" s="369"/>
      <c r="AF22" s="590"/>
      <c r="AG22" s="373"/>
      <c r="AH22" s="369"/>
      <c r="AI22" s="369"/>
      <c r="AJ22" s="369"/>
      <c r="AK22" s="369"/>
      <c r="AL22" s="369"/>
      <c r="AM22" s="369"/>
      <c r="AN22" s="369"/>
      <c r="AO22" s="369"/>
      <c r="AP22" s="369"/>
      <c r="AQ22" s="369"/>
      <c r="AR22" s="369"/>
      <c r="AS22" s="369"/>
      <c r="AT22" s="369"/>
      <c r="AU22" s="369"/>
      <c r="AV22" s="369"/>
      <c r="AW22" s="369"/>
      <c r="AX22" s="369"/>
      <c r="AY22" s="369"/>
      <c r="AZ22" s="369"/>
      <c r="BA22" s="369"/>
      <c r="BB22" s="369"/>
      <c r="BC22" s="369"/>
      <c r="BD22" s="369"/>
      <c r="BE22" s="369"/>
      <c r="BF22" s="369"/>
      <c r="BG22" s="369"/>
      <c r="BH22" s="369"/>
      <c r="BI22" s="369"/>
      <c r="BJ22" s="369"/>
      <c r="BK22" s="369"/>
      <c r="BL22" s="369"/>
      <c r="BM22" s="369"/>
      <c r="BN22" s="369"/>
      <c r="BO22" s="369"/>
      <c r="BP22" s="369"/>
      <c r="BQ22" s="369"/>
      <c r="BR22" s="369"/>
      <c r="BS22" s="369"/>
      <c r="BT22" s="369"/>
      <c r="BU22" s="369"/>
      <c r="BV22" s="369"/>
      <c r="BW22" s="369"/>
      <c r="BX22" s="369"/>
      <c r="BY22" s="369"/>
      <c r="BZ22" s="369"/>
      <c r="CA22" s="369"/>
      <c r="CB22" s="369"/>
      <c r="CC22" s="369"/>
      <c r="CD22" s="369"/>
      <c r="CE22" s="369"/>
      <c r="CF22" s="369"/>
      <c r="CG22" s="369"/>
      <c r="CH22" s="369"/>
      <c r="CI22" s="369"/>
      <c r="CJ22" s="369"/>
      <c r="CK22" s="369"/>
      <c r="CL22" s="369"/>
      <c r="CM22" s="369"/>
      <c r="CN22" s="369"/>
      <c r="CO22" s="369"/>
      <c r="CP22" s="369"/>
      <c r="CQ22" s="369"/>
      <c r="CR22" s="369"/>
      <c r="CS22" s="369"/>
      <c r="CT22" s="369"/>
      <c r="CU22" s="369"/>
      <c r="CV22" s="369"/>
      <c r="CW22" s="369"/>
      <c r="CX22" s="369"/>
      <c r="CY22" s="369"/>
      <c r="CZ22" s="369"/>
      <c r="DA22" s="369"/>
      <c r="DB22" s="369"/>
      <c r="DC22" s="369"/>
      <c r="DD22" s="369"/>
      <c r="DE22" s="369"/>
      <c r="DF22" s="369"/>
      <c r="DG22" s="369"/>
      <c r="DH22" s="369"/>
      <c r="DI22" s="369"/>
      <c r="DJ22" s="369"/>
      <c r="DK22" s="369"/>
      <c r="DL22" s="369"/>
      <c r="DM22" s="369"/>
      <c r="DN22" s="369"/>
      <c r="DO22" s="369"/>
      <c r="DP22" s="369"/>
      <c r="DQ22" s="369"/>
      <c r="DR22" s="369"/>
      <c r="DS22" s="369"/>
      <c r="DT22" s="369"/>
      <c r="DU22" s="369"/>
      <c r="DV22" s="369"/>
      <c r="DW22" s="369"/>
      <c r="DX22" s="369"/>
      <c r="DY22" s="369"/>
      <c r="DZ22" s="369"/>
      <c r="EA22" s="369"/>
      <c r="EB22" s="369"/>
      <c r="EC22" s="369"/>
      <c r="ED22" s="369"/>
      <c r="EE22" s="369"/>
      <c r="EF22" s="369"/>
      <c r="EG22" s="369"/>
      <c r="EH22" s="369"/>
      <c r="EI22" s="369"/>
      <c r="EJ22" s="369"/>
      <c r="EK22" s="369"/>
      <c r="EL22" s="369"/>
      <c r="EM22" s="369"/>
      <c r="EN22" s="369"/>
      <c r="EO22" s="369"/>
      <c r="EP22" s="369"/>
      <c r="EQ22" s="369"/>
      <c r="ER22" s="369"/>
      <c r="ES22" s="369"/>
      <c r="ET22" s="369"/>
      <c r="EU22" s="369"/>
      <c r="EV22" s="369"/>
      <c r="EW22" s="369"/>
      <c r="EX22" s="369"/>
      <c r="EY22" s="369"/>
      <c r="EZ22" s="369"/>
      <c r="FA22" s="369"/>
      <c r="FB22" s="369"/>
      <c r="FC22" s="369"/>
      <c r="FD22" s="369"/>
      <c r="FE22" s="369"/>
      <c r="FF22" s="369"/>
      <c r="FG22" s="369"/>
      <c r="FH22" s="369"/>
      <c r="FI22" s="369"/>
      <c r="FJ22" s="369"/>
      <c r="FK22" s="369"/>
      <c r="FL22" s="369"/>
      <c r="FM22" s="369"/>
      <c r="FN22" s="369"/>
      <c r="FO22" s="369"/>
      <c r="FP22" s="369"/>
      <c r="FQ22" s="369"/>
      <c r="FR22" s="369"/>
      <c r="FS22" s="369"/>
      <c r="FT22" s="369"/>
      <c r="FU22" s="369"/>
      <c r="FV22" s="369"/>
      <c r="FW22" s="369"/>
      <c r="FX22" s="369"/>
      <c r="FY22" s="369"/>
      <c r="FZ22" s="369"/>
      <c r="GA22" s="369"/>
      <c r="GB22" s="369"/>
      <c r="GC22" s="369"/>
      <c r="GD22" s="369"/>
      <c r="GE22" s="369"/>
      <c r="GF22" s="369"/>
      <c r="GG22" s="369"/>
      <c r="GH22" s="369"/>
      <c r="GI22" s="369"/>
      <c r="GJ22" s="369"/>
      <c r="GK22" s="369"/>
      <c r="GL22" s="369"/>
      <c r="GM22" s="369"/>
      <c r="GN22" s="369"/>
      <c r="GO22" s="369"/>
      <c r="GP22" s="369"/>
      <c r="GQ22" s="369"/>
      <c r="GR22" s="369"/>
      <c r="GS22" s="369"/>
      <c r="GT22" s="369"/>
      <c r="GU22" s="369"/>
      <c r="GV22" s="369"/>
      <c r="GW22" s="369"/>
      <c r="GX22" s="369"/>
      <c r="GY22" s="369"/>
      <c r="GZ22" s="369"/>
      <c r="HA22" s="369"/>
      <c r="HB22" s="369"/>
      <c r="HC22" s="369"/>
      <c r="HD22" s="369"/>
      <c r="HE22" s="369"/>
      <c r="HF22" s="369"/>
      <c r="HG22" s="369"/>
      <c r="HH22" s="369"/>
      <c r="HI22" s="369"/>
      <c r="HJ22" s="369"/>
      <c r="HK22" s="369"/>
      <c r="HL22" s="369"/>
      <c r="HM22" s="369"/>
      <c r="HN22" s="369"/>
      <c r="HO22" s="369"/>
      <c r="HP22" s="369"/>
      <c r="HQ22" s="369"/>
      <c r="HR22" s="369"/>
      <c r="HS22" s="369"/>
      <c r="HT22" s="369"/>
      <c r="HU22" s="369"/>
      <c r="HV22" s="369"/>
      <c r="HW22" s="369"/>
      <c r="HX22" s="369"/>
      <c r="HY22" s="369"/>
      <c r="HZ22" s="369"/>
      <c r="IA22" s="369"/>
      <c r="IB22" s="369"/>
      <c r="IC22" s="369"/>
      <c r="ID22" s="369"/>
      <c r="IE22" s="369"/>
      <c r="IF22" s="369"/>
      <c r="IG22" s="369"/>
      <c r="IH22" s="369"/>
      <c r="II22" s="369"/>
      <c r="IJ22" s="369"/>
      <c r="IK22" s="369"/>
      <c r="IL22" s="369"/>
      <c r="IM22" s="369"/>
      <c r="IN22" s="369"/>
      <c r="IO22" s="369"/>
      <c r="IP22" s="369"/>
      <c r="IQ22" s="369"/>
      <c r="IR22" s="369"/>
      <c r="IS22" s="369"/>
      <c r="IT22" s="369"/>
      <c r="IU22" s="369"/>
      <c r="IV22" s="369"/>
      <c r="IW22" s="369"/>
      <c r="IX22" s="369"/>
      <c r="IY22" s="369"/>
      <c r="IZ22" s="369"/>
      <c r="JA22" s="369"/>
      <c r="JB22" s="369"/>
      <c r="JC22" s="369"/>
      <c r="JD22" s="369"/>
      <c r="JE22" s="369"/>
    </row>
    <row r="23" spans="1:265" s="588" customFormat="1" x14ac:dyDescent="0.2">
      <c r="A23" s="364" t="s">
        <v>3732</v>
      </c>
      <c r="B23" s="369"/>
      <c r="C23" s="596" t="s">
        <v>3879</v>
      </c>
      <c r="D23" s="373"/>
      <c r="E23" s="597" t="s">
        <v>3893</v>
      </c>
      <c r="F23" s="373"/>
      <c r="G23" s="373" t="s">
        <v>3896</v>
      </c>
      <c r="H23" s="591">
        <v>814002012028</v>
      </c>
      <c r="I23" s="369"/>
      <c r="J23" s="369"/>
      <c r="K23" s="371" t="s">
        <v>879</v>
      </c>
      <c r="L23" s="372" t="s">
        <v>975</v>
      </c>
      <c r="M23" s="594"/>
      <c r="N23" s="611">
        <v>89.99</v>
      </c>
      <c r="O23" s="369"/>
      <c r="P23" s="373">
        <v>4</v>
      </c>
      <c r="Q23" s="598">
        <v>3.2</v>
      </c>
      <c r="R23" s="598">
        <v>6.3</v>
      </c>
      <c r="S23" s="598">
        <v>6.3</v>
      </c>
      <c r="T23" s="598">
        <v>3.7</v>
      </c>
      <c r="U23" s="598">
        <v>3.2</v>
      </c>
      <c r="V23" s="598">
        <v>6.3</v>
      </c>
      <c r="W23" s="598">
        <v>6.3</v>
      </c>
      <c r="X23" s="599">
        <v>3.7</v>
      </c>
      <c r="Y23" s="589"/>
      <c r="Z23" s="369"/>
      <c r="AA23" s="369"/>
      <c r="AB23" s="590"/>
      <c r="AC23" s="373"/>
      <c r="AD23" s="369"/>
      <c r="AE23" s="369"/>
      <c r="AF23" s="590"/>
      <c r="AG23" s="373"/>
      <c r="AH23" s="369"/>
      <c r="AI23" s="369"/>
      <c r="AJ23" s="369"/>
      <c r="AK23" s="369"/>
      <c r="AL23" s="369"/>
      <c r="AM23" s="369"/>
      <c r="AN23" s="369"/>
      <c r="AO23" s="369"/>
      <c r="AP23" s="369"/>
      <c r="AQ23" s="369"/>
      <c r="AR23" s="369"/>
      <c r="AS23" s="369"/>
      <c r="AT23" s="369"/>
      <c r="AU23" s="369"/>
      <c r="AV23" s="369"/>
      <c r="AW23" s="369"/>
      <c r="AX23" s="369"/>
      <c r="AY23" s="369"/>
      <c r="AZ23" s="369"/>
      <c r="BA23" s="369"/>
      <c r="BB23" s="369"/>
      <c r="BC23" s="369"/>
      <c r="BD23" s="369"/>
      <c r="BE23" s="369"/>
      <c r="BF23" s="369"/>
      <c r="BG23" s="369"/>
      <c r="BH23" s="369"/>
      <c r="BI23" s="369"/>
      <c r="BJ23" s="369"/>
      <c r="BK23" s="369"/>
      <c r="BL23" s="369"/>
      <c r="BM23" s="369"/>
      <c r="BN23" s="369"/>
      <c r="BO23" s="369"/>
      <c r="BP23" s="369"/>
      <c r="BQ23" s="369"/>
      <c r="BR23" s="369"/>
      <c r="BS23" s="369"/>
      <c r="BT23" s="369"/>
      <c r="BU23" s="369"/>
      <c r="BV23" s="369"/>
      <c r="BW23" s="369"/>
      <c r="BX23" s="369"/>
      <c r="BY23" s="369"/>
      <c r="BZ23" s="369"/>
      <c r="CA23" s="369"/>
      <c r="CB23" s="369"/>
      <c r="CC23" s="369"/>
      <c r="CD23" s="369"/>
      <c r="CE23" s="369"/>
      <c r="CF23" s="369"/>
      <c r="CG23" s="369"/>
      <c r="CH23" s="369"/>
      <c r="CI23" s="369"/>
      <c r="CJ23" s="369"/>
      <c r="CK23" s="369"/>
      <c r="CL23" s="369"/>
      <c r="CM23" s="369"/>
      <c r="CN23" s="369"/>
      <c r="CO23" s="369"/>
      <c r="CP23" s="369"/>
      <c r="CQ23" s="369"/>
      <c r="CR23" s="369"/>
      <c r="CS23" s="369"/>
      <c r="CT23" s="369"/>
      <c r="CU23" s="369"/>
      <c r="CV23" s="369"/>
      <c r="CW23" s="369"/>
      <c r="CX23" s="369"/>
      <c r="CY23" s="369"/>
      <c r="CZ23" s="369"/>
      <c r="DA23" s="369"/>
      <c r="DB23" s="369"/>
      <c r="DC23" s="369"/>
      <c r="DD23" s="369"/>
      <c r="DE23" s="369"/>
      <c r="DF23" s="369"/>
      <c r="DG23" s="369"/>
      <c r="DH23" s="369"/>
      <c r="DI23" s="369"/>
      <c r="DJ23" s="369"/>
      <c r="DK23" s="369"/>
      <c r="DL23" s="369"/>
      <c r="DM23" s="369"/>
      <c r="DN23" s="369"/>
      <c r="DO23" s="369"/>
      <c r="DP23" s="369"/>
      <c r="DQ23" s="369"/>
      <c r="DR23" s="369"/>
      <c r="DS23" s="369"/>
      <c r="DT23" s="369"/>
      <c r="DU23" s="369"/>
      <c r="DV23" s="369"/>
      <c r="DW23" s="369"/>
      <c r="DX23" s="369"/>
      <c r="DY23" s="369"/>
      <c r="DZ23" s="369"/>
      <c r="EA23" s="369"/>
      <c r="EB23" s="369"/>
      <c r="EC23" s="369"/>
      <c r="ED23" s="369"/>
      <c r="EE23" s="369"/>
      <c r="EF23" s="369"/>
      <c r="EG23" s="369"/>
      <c r="EH23" s="369"/>
      <c r="EI23" s="369"/>
      <c r="EJ23" s="369"/>
      <c r="EK23" s="369"/>
      <c r="EL23" s="369"/>
      <c r="EM23" s="369"/>
      <c r="EN23" s="369"/>
      <c r="EO23" s="369"/>
      <c r="EP23" s="369"/>
      <c r="EQ23" s="369"/>
      <c r="ER23" s="369"/>
      <c r="ES23" s="369"/>
      <c r="ET23" s="369"/>
      <c r="EU23" s="369"/>
      <c r="EV23" s="369"/>
      <c r="EW23" s="369"/>
      <c r="EX23" s="369"/>
      <c r="EY23" s="369"/>
      <c r="EZ23" s="369"/>
      <c r="FA23" s="369"/>
      <c r="FB23" s="369"/>
      <c r="FC23" s="369"/>
      <c r="FD23" s="369"/>
      <c r="FE23" s="369"/>
      <c r="FF23" s="369"/>
      <c r="FG23" s="369"/>
      <c r="FH23" s="369"/>
      <c r="FI23" s="369"/>
      <c r="FJ23" s="369"/>
      <c r="FK23" s="369"/>
      <c r="FL23" s="369"/>
      <c r="FM23" s="369"/>
      <c r="FN23" s="369"/>
      <c r="FO23" s="369"/>
      <c r="FP23" s="369"/>
      <c r="FQ23" s="369"/>
      <c r="FR23" s="369"/>
      <c r="FS23" s="369"/>
      <c r="FT23" s="369"/>
      <c r="FU23" s="369"/>
      <c r="FV23" s="369"/>
      <c r="FW23" s="369"/>
      <c r="FX23" s="369"/>
      <c r="FY23" s="369"/>
      <c r="FZ23" s="369"/>
      <c r="GA23" s="369"/>
      <c r="GB23" s="369"/>
      <c r="GC23" s="369"/>
      <c r="GD23" s="369"/>
      <c r="GE23" s="369"/>
      <c r="GF23" s="369"/>
      <c r="GG23" s="369"/>
      <c r="GH23" s="369"/>
      <c r="GI23" s="369"/>
      <c r="GJ23" s="369"/>
      <c r="GK23" s="369"/>
      <c r="GL23" s="369"/>
      <c r="GM23" s="369"/>
      <c r="GN23" s="369"/>
      <c r="GO23" s="369"/>
      <c r="GP23" s="369"/>
      <c r="GQ23" s="369"/>
      <c r="GR23" s="369"/>
      <c r="GS23" s="369"/>
      <c r="GT23" s="369"/>
      <c r="GU23" s="369"/>
      <c r="GV23" s="369"/>
      <c r="GW23" s="369"/>
      <c r="GX23" s="369"/>
      <c r="GY23" s="369"/>
      <c r="GZ23" s="369"/>
      <c r="HA23" s="369"/>
      <c r="HB23" s="369"/>
      <c r="HC23" s="369"/>
      <c r="HD23" s="369"/>
      <c r="HE23" s="369"/>
      <c r="HF23" s="369"/>
      <c r="HG23" s="369"/>
      <c r="HH23" s="369"/>
      <c r="HI23" s="369"/>
      <c r="HJ23" s="369"/>
      <c r="HK23" s="369"/>
      <c r="HL23" s="369"/>
      <c r="HM23" s="369"/>
      <c r="HN23" s="369"/>
      <c r="HO23" s="369"/>
      <c r="HP23" s="369"/>
      <c r="HQ23" s="369"/>
      <c r="HR23" s="369"/>
      <c r="HS23" s="369"/>
      <c r="HT23" s="369"/>
      <c r="HU23" s="369"/>
      <c r="HV23" s="369"/>
      <c r="HW23" s="369"/>
      <c r="HX23" s="369"/>
      <c r="HY23" s="369"/>
      <c r="HZ23" s="369"/>
      <c r="IA23" s="369"/>
      <c r="IB23" s="369"/>
      <c r="IC23" s="369"/>
      <c r="ID23" s="369"/>
      <c r="IE23" s="369"/>
      <c r="IF23" s="369"/>
      <c r="IG23" s="369"/>
      <c r="IH23" s="369"/>
      <c r="II23" s="369"/>
      <c r="IJ23" s="369"/>
      <c r="IK23" s="369"/>
      <c r="IL23" s="369"/>
      <c r="IM23" s="369"/>
      <c r="IN23" s="369"/>
      <c r="IO23" s="369"/>
      <c r="IP23" s="369"/>
      <c r="IQ23" s="369"/>
      <c r="IR23" s="369"/>
      <c r="IS23" s="369"/>
      <c r="IT23" s="369"/>
      <c r="IU23" s="369"/>
      <c r="IV23" s="369"/>
      <c r="IW23" s="369"/>
      <c r="IX23" s="369"/>
      <c r="IY23" s="369"/>
      <c r="IZ23" s="369"/>
      <c r="JA23" s="369"/>
      <c r="JB23" s="369"/>
      <c r="JC23" s="369"/>
      <c r="JD23" s="369"/>
      <c r="JE23" s="369"/>
    </row>
    <row r="24" spans="1:265" s="588" customFormat="1" x14ac:dyDescent="0.2">
      <c r="A24" s="364" t="s">
        <v>3732</v>
      </c>
      <c r="B24" s="369"/>
      <c r="C24" s="596" t="s">
        <v>3880</v>
      </c>
      <c r="D24" s="373"/>
      <c r="E24" s="597" t="s">
        <v>3892</v>
      </c>
      <c r="F24" s="373"/>
      <c r="G24" s="373" t="s">
        <v>3896</v>
      </c>
      <c r="H24" s="591">
        <v>814002012035</v>
      </c>
      <c r="I24" s="369"/>
      <c r="J24" s="369"/>
      <c r="K24" s="371" t="s">
        <v>879</v>
      </c>
      <c r="L24" s="372" t="s">
        <v>975</v>
      </c>
      <c r="M24" s="594"/>
      <c r="N24" s="611">
        <v>119.99</v>
      </c>
      <c r="O24" s="369"/>
      <c r="P24" s="373">
        <v>2</v>
      </c>
      <c r="Q24" s="598">
        <v>5.7</v>
      </c>
      <c r="R24" s="598">
        <v>6.3</v>
      </c>
      <c r="S24" s="598">
        <v>6.3</v>
      </c>
      <c r="T24" s="598">
        <v>3.7</v>
      </c>
      <c r="U24" s="598">
        <v>5.7</v>
      </c>
      <c r="V24" s="598">
        <v>6.3</v>
      </c>
      <c r="W24" s="598">
        <v>6.3</v>
      </c>
      <c r="X24" s="599">
        <v>3.7</v>
      </c>
      <c r="Y24" s="589"/>
      <c r="Z24" s="369"/>
      <c r="AA24" s="369"/>
      <c r="AB24" s="590"/>
      <c r="AC24" s="373"/>
      <c r="AD24" s="369"/>
      <c r="AE24" s="369"/>
      <c r="AF24" s="590"/>
      <c r="AG24" s="373"/>
      <c r="AH24" s="369"/>
      <c r="AI24" s="369"/>
      <c r="AJ24" s="369"/>
      <c r="AK24" s="369"/>
      <c r="AL24" s="369"/>
      <c r="AM24" s="369"/>
      <c r="AN24" s="369"/>
      <c r="AO24" s="369"/>
      <c r="AP24" s="369"/>
      <c r="AQ24" s="369"/>
      <c r="AR24" s="369"/>
      <c r="AS24" s="369"/>
      <c r="AT24" s="369"/>
      <c r="AU24" s="369"/>
      <c r="AV24" s="369"/>
      <c r="AW24" s="369"/>
      <c r="AX24" s="369"/>
      <c r="AY24" s="369"/>
      <c r="AZ24" s="369"/>
      <c r="BA24" s="369"/>
      <c r="BB24" s="369"/>
      <c r="BC24" s="369"/>
      <c r="BD24" s="369"/>
      <c r="BE24" s="369"/>
      <c r="BF24" s="369"/>
      <c r="BG24" s="369"/>
      <c r="BH24" s="369"/>
      <c r="BI24" s="369"/>
      <c r="BJ24" s="369"/>
      <c r="BK24" s="369"/>
      <c r="BL24" s="369"/>
      <c r="BM24" s="369"/>
      <c r="BN24" s="369"/>
      <c r="BO24" s="369"/>
      <c r="BP24" s="369"/>
      <c r="BQ24" s="369"/>
      <c r="BR24" s="369"/>
      <c r="BS24" s="369"/>
      <c r="BT24" s="369"/>
      <c r="BU24" s="369"/>
      <c r="BV24" s="369"/>
      <c r="BW24" s="369"/>
      <c r="BX24" s="369"/>
      <c r="BY24" s="369"/>
      <c r="BZ24" s="369"/>
      <c r="CA24" s="369"/>
      <c r="CB24" s="369"/>
      <c r="CC24" s="369"/>
      <c r="CD24" s="369"/>
      <c r="CE24" s="369"/>
      <c r="CF24" s="369"/>
      <c r="CG24" s="369"/>
      <c r="CH24" s="369"/>
      <c r="CI24" s="369"/>
      <c r="CJ24" s="369"/>
      <c r="CK24" s="369"/>
      <c r="CL24" s="369"/>
      <c r="CM24" s="369"/>
      <c r="CN24" s="369"/>
      <c r="CO24" s="369"/>
      <c r="CP24" s="369"/>
      <c r="CQ24" s="369"/>
      <c r="CR24" s="369"/>
      <c r="CS24" s="369"/>
      <c r="CT24" s="369"/>
      <c r="CU24" s="369"/>
      <c r="CV24" s="369"/>
      <c r="CW24" s="369"/>
      <c r="CX24" s="369"/>
      <c r="CY24" s="369"/>
      <c r="CZ24" s="369"/>
      <c r="DA24" s="369"/>
      <c r="DB24" s="369"/>
      <c r="DC24" s="369"/>
      <c r="DD24" s="369"/>
      <c r="DE24" s="369"/>
      <c r="DF24" s="369"/>
      <c r="DG24" s="369"/>
      <c r="DH24" s="369"/>
      <c r="DI24" s="369"/>
      <c r="DJ24" s="369"/>
      <c r="DK24" s="369"/>
      <c r="DL24" s="369"/>
      <c r="DM24" s="369"/>
      <c r="DN24" s="369"/>
      <c r="DO24" s="369"/>
      <c r="DP24" s="369"/>
      <c r="DQ24" s="369"/>
      <c r="DR24" s="369"/>
      <c r="DS24" s="369"/>
      <c r="DT24" s="369"/>
      <c r="DU24" s="369"/>
      <c r="DV24" s="369"/>
      <c r="DW24" s="369"/>
      <c r="DX24" s="369"/>
      <c r="DY24" s="369"/>
      <c r="DZ24" s="369"/>
      <c r="EA24" s="369"/>
      <c r="EB24" s="369"/>
      <c r="EC24" s="369"/>
      <c r="ED24" s="369"/>
      <c r="EE24" s="369"/>
      <c r="EF24" s="369"/>
      <c r="EG24" s="369"/>
      <c r="EH24" s="369"/>
      <c r="EI24" s="369"/>
      <c r="EJ24" s="369"/>
      <c r="EK24" s="369"/>
      <c r="EL24" s="369"/>
      <c r="EM24" s="369"/>
      <c r="EN24" s="369"/>
      <c r="EO24" s="369"/>
      <c r="EP24" s="369"/>
      <c r="EQ24" s="369"/>
      <c r="ER24" s="369"/>
      <c r="ES24" s="369"/>
      <c r="ET24" s="369"/>
      <c r="EU24" s="369"/>
      <c r="EV24" s="369"/>
      <c r="EW24" s="369"/>
      <c r="EX24" s="369"/>
      <c r="EY24" s="369"/>
      <c r="EZ24" s="369"/>
      <c r="FA24" s="369"/>
      <c r="FB24" s="369"/>
      <c r="FC24" s="369"/>
      <c r="FD24" s="369"/>
      <c r="FE24" s="369"/>
      <c r="FF24" s="369"/>
      <c r="FG24" s="369"/>
      <c r="FH24" s="369"/>
      <c r="FI24" s="369"/>
      <c r="FJ24" s="369"/>
      <c r="FK24" s="369"/>
      <c r="FL24" s="369"/>
      <c r="FM24" s="369"/>
      <c r="FN24" s="369"/>
      <c r="FO24" s="369"/>
      <c r="FP24" s="369"/>
      <c r="FQ24" s="369"/>
      <c r="FR24" s="369"/>
      <c r="FS24" s="369"/>
      <c r="FT24" s="369"/>
      <c r="FU24" s="369"/>
      <c r="FV24" s="369"/>
      <c r="FW24" s="369"/>
      <c r="FX24" s="369"/>
      <c r="FY24" s="369"/>
      <c r="FZ24" s="369"/>
      <c r="GA24" s="369"/>
      <c r="GB24" s="369"/>
      <c r="GC24" s="369"/>
      <c r="GD24" s="369"/>
      <c r="GE24" s="369"/>
      <c r="GF24" s="369"/>
      <c r="GG24" s="369"/>
      <c r="GH24" s="369"/>
      <c r="GI24" s="369"/>
      <c r="GJ24" s="369"/>
      <c r="GK24" s="369"/>
      <c r="GL24" s="369"/>
      <c r="GM24" s="369"/>
      <c r="GN24" s="369"/>
      <c r="GO24" s="369"/>
      <c r="GP24" s="369"/>
      <c r="GQ24" s="369"/>
      <c r="GR24" s="369"/>
      <c r="GS24" s="369"/>
      <c r="GT24" s="369"/>
      <c r="GU24" s="369"/>
      <c r="GV24" s="369"/>
      <c r="GW24" s="369"/>
      <c r="GX24" s="369"/>
      <c r="GY24" s="369"/>
      <c r="GZ24" s="369"/>
      <c r="HA24" s="369"/>
      <c r="HB24" s="369"/>
      <c r="HC24" s="369"/>
      <c r="HD24" s="369"/>
      <c r="HE24" s="369"/>
      <c r="HF24" s="369"/>
      <c r="HG24" s="369"/>
      <c r="HH24" s="369"/>
      <c r="HI24" s="369"/>
      <c r="HJ24" s="369"/>
      <c r="HK24" s="369"/>
      <c r="HL24" s="369"/>
      <c r="HM24" s="369"/>
      <c r="HN24" s="369"/>
      <c r="HO24" s="369"/>
      <c r="HP24" s="369"/>
      <c r="HQ24" s="369"/>
      <c r="HR24" s="369"/>
      <c r="HS24" s="369"/>
      <c r="HT24" s="369"/>
      <c r="HU24" s="369"/>
      <c r="HV24" s="369"/>
      <c r="HW24" s="369"/>
      <c r="HX24" s="369"/>
      <c r="HY24" s="369"/>
      <c r="HZ24" s="369"/>
      <c r="IA24" s="369"/>
      <c r="IB24" s="369"/>
      <c r="IC24" s="369"/>
      <c r="ID24" s="369"/>
      <c r="IE24" s="369"/>
      <c r="IF24" s="369"/>
      <c r="IG24" s="369"/>
      <c r="IH24" s="369"/>
      <c r="II24" s="369"/>
      <c r="IJ24" s="369"/>
      <c r="IK24" s="369"/>
      <c r="IL24" s="369"/>
      <c r="IM24" s="369"/>
      <c r="IN24" s="369"/>
      <c r="IO24" s="369"/>
      <c r="IP24" s="369"/>
      <c r="IQ24" s="369"/>
      <c r="IR24" s="369"/>
      <c r="IS24" s="369"/>
      <c r="IT24" s="369"/>
      <c r="IU24" s="369"/>
      <c r="IV24" s="369"/>
      <c r="IW24" s="369"/>
      <c r="IX24" s="369"/>
      <c r="IY24" s="369"/>
      <c r="IZ24" s="369"/>
      <c r="JA24" s="369"/>
      <c r="JB24" s="369"/>
      <c r="JC24" s="369"/>
      <c r="JD24" s="369"/>
      <c r="JE24" s="369"/>
    </row>
    <row r="25" spans="1:265" s="588" customFormat="1" x14ac:dyDescent="0.2">
      <c r="A25" s="364" t="s">
        <v>3732</v>
      </c>
      <c r="B25" s="369"/>
      <c r="C25" s="596" t="s">
        <v>3881</v>
      </c>
      <c r="D25" s="373"/>
      <c r="E25" s="597" t="s">
        <v>3894</v>
      </c>
      <c r="F25" s="373"/>
      <c r="G25" s="373" t="s">
        <v>3896</v>
      </c>
      <c r="H25" s="591">
        <v>814002012202</v>
      </c>
      <c r="I25" s="369"/>
      <c r="J25" s="369"/>
      <c r="K25" s="371"/>
      <c r="L25" s="372" t="s">
        <v>975</v>
      </c>
      <c r="M25" s="594"/>
      <c r="N25" s="611"/>
      <c r="O25" s="369"/>
      <c r="P25" s="373"/>
      <c r="Q25" s="598">
        <v>17</v>
      </c>
      <c r="R25" s="598">
        <v>15</v>
      </c>
      <c r="S25" s="598">
        <v>13</v>
      </c>
      <c r="T25" s="598">
        <v>8.5</v>
      </c>
      <c r="U25" s="598"/>
      <c r="V25" s="598"/>
      <c r="W25" s="598"/>
      <c r="X25" s="599"/>
      <c r="Y25" s="589"/>
      <c r="Z25" s="369"/>
      <c r="AA25" s="369"/>
      <c r="AB25" s="590"/>
      <c r="AC25" s="373"/>
      <c r="AD25" s="369"/>
      <c r="AE25" s="369"/>
      <c r="AF25" s="590"/>
      <c r="AG25" s="373"/>
      <c r="AH25" s="369"/>
      <c r="AI25" s="369"/>
      <c r="AJ25" s="369"/>
      <c r="AK25" s="369"/>
      <c r="AL25" s="369"/>
      <c r="AM25" s="369"/>
      <c r="AN25" s="369"/>
      <c r="AO25" s="369"/>
      <c r="AP25" s="369"/>
      <c r="AQ25" s="369"/>
      <c r="AR25" s="369"/>
      <c r="AS25" s="369"/>
      <c r="AT25" s="369"/>
      <c r="AU25" s="369"/>
      <c r="AV25" s="369"/>
      <c r="AW25" s="369"/>
      <c r="AX25" s="369"/>
      <c r="AY25" s="369"/>
      <c r="AZ25" s="369"/>
      <c r="BA25" s="369"/>
      <c r="BB25" s="369"/>
      <c r="BC25" s="369"/>
      <c r="BD25" s="369"/>
      <c r="BE25" s="369"/>
      <c r="BF25" s="369"/>
      <c r="BG25" s="369"/>
      <c r="BH25" s="369"/>
      <c r="BI25" s="369"/>
      <c r="BJ25" s="369"/>
      <c r="BK25" s="369"/>
      <c r="BL25" s="369"/>
      <c r="BM25" s="369"/>
      <c r="BN25" s="369"/>
      <c r="BO25" s="369"/>
      <c r="BP25" s="369"/>
      <c r="BQ25" s="369"/>
      <c r="BR25" s="369"/>
      <c r="BS25" s="369"/>
      <c r="BT25" s="369"/>
      <c r="BU25" s="369"/>
      <c r="BV25" s="369"/>
      <c r="BW25" s="369"/>
      <c r="BX25" s="369"/>
      <c r="BY25" s="369"/>
      <c r="BZ25" s="369"/>
      <c r="CA25" s="369"/>
      <c r="CB25" s="369"/>
      <c r="CC25" s="369"/>
      <c r="CD25" s="369"/>
      <c r="CE25" s="369"/>
      <c r="CF25" s="369"/>
      <c r="CG25" s="369"/>
      <c r="CH25" s="369"/>
      <c r="CI25" s="369"/>
      <c r="CJ25" s="369"/>
      <c r="CK25" s="369"/>
      <c r="CL25" s="369"/>
      <c r="CM25" s="369"/>
      <c r="CN25" s="369"/>
      <c r="CO25" s="369"/>
      <c r="CP25" s="369"/>
      <c r="CQ25" s="369"/>
      <c r="CR25" s="369"/>
      <c r="CS25" s="369"/>
      <c r="CT25" s="369"/>
      <c r="CU25" s="369"/>
      <c r="CV25" s="369"/>
      <c r="CW25" s="369"/>
      <c r="CX25" s="369"/>
      <c r="CY25" s="369"/>
      <c r="CZ25" s="369"/>
      <c r="DA25" s="369"/>
      <c r="DB25" s="369"/>
      <c r="DC25" s="369"/>
      <c r="DD25" s="369"/>
      <c r="DE25" s="369"/>
      <c r="DF25" s="369"/>
      <c r="DG25" s="369"/>
      <c r="DH25" s="369"/>
      <c r="DI25" s="369"/>
      <c r="DJ25" s="369"/>
      <c r="DK25" s="369"/>
      <c r="DL25" s="369"/>
      <c r="DM25" s="369"/>
      <c r="DN25" s="369"/>
      <c r="DO25" s="369"/>
      <c r="DP25" s="369"/>
      <c r="DQ25" s="369"/>
      <c r="DR25" s="369"/>
      <c r="DS25" s="369"/>
      <c r="DT25" s="369"/>
      <c r="DU25" s="369"/>
      <c r="DV25" s="369"/>
      <c r="DW25" s="369"/>
      <c r="DX25" s="369"/>
      <c r="DY25" s="369"/>
      <c r="DZ25" s="369"/>
      <c r="EA25" s="369"/>
      <c r="EB25" s="369"/>
      <c r="EC25" s="369"/>
      <c r="ED25" s="369"/>
      <c r="EE25" s="369"/>
      <c r="EF25" s="369"/>
      <c r="EG25" s="369"/>
      <c r="EH25" s="369"/>
      <c r="EI25" s="369"/>
      <c r="EJ25" s="369"/>
      <c r="EK25" s="369"/>
      <c r="EL25" s="369"/>
      <c r="EM25" s="369"/>
      <c r="EN25" s="369"/>
      <c r="EO25" s="369"/>
      <c r="EP25" s="369"/>
      <c r="EQ25" s="369"/>
      <c r="ER25" s="369"/>
      <c r="ES25" s="369"/>
      <c r="ET25" s="369"/>
      <c r="EU25" s="369"/>
      <c r="EV25" s="369"/>
      <c r="EW25" s="369"/>
      <c r="EX25" s="369"/>
      <c r="EY25" s="369"/>
      <c r="EZ25" s="369"/>
      <c r="FA25" s="369"/>
      <c r="FB25" s="369"/>
      <c r="FC25" s="369"/>
      <c r="FD25" s="369"/>
      <c r="FE25" s="369"/>
      <c r="FF25" s="369"/>
      <c r="FG25" s="369"/>
      <c r="FH25" s="369"/>
      <c r="FI25" s="369"/>
      <c r="FJ25" s="369"/>
      <c r="FK25" s="369"/>
      <c r="FL25" s="369"/>
      <c r="FM25" s="369"/>
      <c r="FN25" s="369"/>
      <c r="FO25" s="369"/>
      <c r="FP25" s="369"/>
      <c r="FQ25" s="369"/>
      <c r="FR25" s="369"/>
      <c r="FS25" s="369"/>
      <c r="FT25" s="369"/>
      <c r="FU25" s="369"/>
      <c r="FV25" s="369"/>
      <c r="FW25" s="369"/>
      <c r="FX25" s="369"/>
      <c r="FY25" s="369"/>
      <c r="FZ25" s="369"/>
      <c r="GA25" s="369"/>
      <c r="GB25" s="369"/>
      <c r="GC25" s="369"/>
      <c r="GD25" s="369"/>
      <c r="GE25" s="369"/>
      <c r="GF25" s="369"/>
      <c r="GG25" s="369"/>
      <c r="GH25" s="369"/>
      <c r="GI25" s="369"/>
      <c r="GJ25" s="369"/>
      <c r="GK25" s="369"/>
      <c r="GL25" s="369"/>
      <c r="GM25" s="369"/>
      <c r="GN25" s="369"/>
      <c r="GO25" s="369"/>
      <c r="GP25" s="369"/>
      <c r="GQ25" s="369"/>
      <c r="GR25" s="369"/>
      <c r="GS25" s="369"/>
      <c r="GT25" s="369"/>
      <c r="GU25" s="369"/>
      <c r="GV25" s="369"/>
      <c r="GW25" s="369"/>
      <c r="GX25" s="369"/>
      <c r="GY25" s="369"/>
      <c r="GZ25" s="369"/>
      <c r="HA25" s="369"/>
      <c r="HB25" s="369"/>
      <c r="HC25" s="369"/>
      <c r="HD25" s="369"/>
      <c r="HE25" s="369"/>
      <c r="HF25" s="369"/>
      <c r="HG25" s="369"/>
      <c r="HH25" s="369"/>
      <c r="HI25" s="369"/>
      <c r="HJ25" s="369"/>
      <c r="HK25" s="369"/>
      <c r="HL25" s="369"/>
      <c r="HM25" s="369"/>
      <c r="HN25" s="369"/>
      <c r="HO25" s="369"/>
      <c r="HP25" s="369"/>
      <c r="HQ25" s="369"/>
      <c r="HR25" s="369"/>
      <c r="HS25" s="369"/>
      <c r="HT25" s="369"/>
      <c r="HU25" s="369"/>
      <c r="HV25" s="369"/>
      <c r="HW25" s="369"/>
      <c r="HX25" s="369"/>
      <c r="HY25" s="369"/>
      <c r="HZ25" s="369"/>
      <c r="IA25" s="369"/>
      <c r="IB25" s="369"/>
      <c r="IC25" s="369"/>
      <c r="ID25" s="369"/>
      <c r="IE25" s="369"/>
      <c r="IF25" s="369"/>
      <c r="IG25" s="369"/>
      <c r="IH25" s="369"/>
      <c r="II25" s="369"/>
      <c r="IJ25" s="369"/>
      <c r="IK25" s="369"/>
      <c r="IL25" s="369"/>
      <c r="IM25" s="369"/>
      <c r="IN25" s="369"/>
      <c r="IO25" s="369"/>
      <c r="IP25" s="369"/>
      <c r="IQ25" s="369"/>
      <c r="IR25" s="369"/>
      <c r="IS25" s="369"/>
      <c r="IT25" s="369"/>
      <c r="IU25" s="369"/>
      <c r="IV25" s="369"/>
      <c r="IW25" s="369"/>
      <c r="IX25" s="369"/>
      <c r="IY25" s="369"/>
      <c r="IZ25" s="369"/>
      <c r="JA25" s="369"/>
      <c r="JB25" s="369"/>
      <c r="JC25" s="369"/>
      <c r="JD25" s="369"/>
      <c r="JE25" s="369"/>
    </row>
    <row r="26" spans="1:265" s="588" customFormat="1" x14ac:dyDescent="0.2">
      <c r="A26" s="364" t="s">
        <v>3732</v>
      </c>
      <c r="B26" s="369"/>
      <c r="C26" s="596" t="s">
        <v>3882</v>
      </c>
      <c r="D26" s="373"/>
      <c r="E26" s="597" t="s">
        <v>3895</v>
      </c>
      <c r="F26" s="373"/>
      <c r="G26" s="373" t="s">
        <v>3896</v>
      </c>
      <c r="H26" s="591">
        <v>814002012127</v>
      </c>
      <c r="I26" s="369"/>
      <c r="J26" s="369"/>
      <c r="K26" s="371" t="s">
        <v>4018</v>
      </c>
      <c r="L26" s="372" t="s">
        <v>975</v>
      </c>
      <c r="M26" s="594"/>
      <c r="N26" s="611"/>
      <c r="O26" s="369"/>
      <c r="P26" s="373"/>
      <c r="Q26" s="598">
        <v>39</v>
      </c>
      <c r="R26" s="598">
        <v>17.3</v>
      </c>
      <c r="S26" s="598">
        <v>11</v>
      </c>
      <c r="T26" s="598">
        <v>10</v>
      </c>
      <c r="U26" s="598"/>
      <c r="V26" s="598"/>
      <c r="W26" s="598"/>
      <c r="X26" s="599"/>
      <c r="Y26" s="589"/>
      <c r="Z26" s="369"/>
      <c r="AA26" s="369"/>
      <c r="AB26" s="590"/>
      <c r="AC26" s="373"/>
      <c r="AD26" s="369"/>
      <c r="AE26" s="369"/>
      <c r="AF26" s="590"/>
      <c r="AG26" s="373"/>
      <c r="AH26" s="369"/>
      <c r="AI26" s="369"/>
      <c r="AJ26" s="369"/>
      <c r="AK26" s="369"/>
      <c r="AL26" s="369"/>
      <c r="AM26" s="369"/>
      <c r="AN26" s="369"/>
      <c r="AO26" s="369"/>
      <c r="AP26" s="369"/>
      <c r="AQ26" s="369"/>
      <c r="AR26" s="369"/>
      <c r="AS26" s="369"/>
      <c r="AT26" s="369"/>
      <c r="AU26" s="369"/>
      <c r="AV26" s="369"/>
      <c r="AW26" s="369"/>
      <c r="AX26" s="369"/>
      <c r="AY26" s="369"/>
      <c r="AZ26" s="369"/>
      <c r="BA26" s="369"/>
      <c r="BB26" s="369"/>
      <c r="BC26" s="369"/>
      <c r="BD26" s="369"/>
      <c r="BE26" s="369"/>
      <c r="BF26" s="369"/>
      <c r="BG26" s="369"/>
      <c r="BH26" s="369"/>
      <c r="BI26" s="369"/>
      <c r="BJ26" s="369"/>
      <c r="BK26" s="369"/>
      <c r="BL26" s="369"/>
      <c r="BM26" s="369"/>
      <c r="BN26" s="369"/>
      <c r="BO26" s="369"/>
      <c r="BP26" s="369"/>
      <c r="BQ26" s="369"/>
      <c r="BR26" s="369"/>
      <c r="BS26" s="369"/>
      <c r="BT26" s="369"/>
      <c r="BU26" s="369"/>
      <c r="BV26" s="369"/>
      <c r="BW26" s="369"/>
      <c r="BX26" s="369"/>
      <c r="BY26" s="369"/>
      <c r="BZ26" s="369"/>
      <c r="CA26" s="369"/>
      <c r="CB26" s="369"/>
      <c r="CC26" s="369"/>
      <c r="CD26" s="369"/>
      <c r="CE26" s="369"/>
      <c r="CF26" s="369"/>
      <c r="CG26" s="369"/>
      <c r="CH26" s="369"/>
      <c r="CI26" s="369"/>
      <c r="CJ26" s="369"/>
      <c r="CK26" s="369"/>
      <c r="CL26" s="369"/>
      <c r="CM26" s="369"/>
      <c r="CN26" s="369"/>
      <c r="CO26" s="369"/>
      <c r="CP26" s="369"/>
      <c r="CQ26" s="369"/>
      <c r="CR26" s="369"/>
      <c r="CS26" s="369"/>
      <c r="CT26" s="369"/>
      <c r="CU26" s="369"/>
      <c r="CV26" s="369"/>
      <c r="CW26" s="369"/>
      <c r="CX26" s="369"/>
      <c r="CY26" s="369"/>
      <c r="CZ26" s="369"/>
      <c r="DA26" s="369"/>
      <c r="DB26" s="369"/>
      <c r="DC26" s="369"/>
      <c r="DD26" s="369"/>
      <c r="DE26" s="369"/>
      <c r="DF26" s="369"/>
      <c r="DG26" s="369"/>
      <c r="DH26" s="369"/>
      <c r="DI26" s="369"/>
      <c r="DJ26" s="369"/>
      <c r="DK26" s="369"/>
      <c r="DL26" s="369"/>
      <c r="DM26" s="369"/>
      <c r="DN26" s="369"/>
      <c r="DO26" s="369"/>
      <c r="DP26" s="369"/>
      <c r="DQ26" s="369"/>
      <c r="DR26" s="369"/>
      <c r="DS26" s="369"/>
      <c r="DT26" s="369"/>
      <c r="DU26" s="369"/>
      <c r="DV26" s="369"/>
      <c r="DW26" s="369"/>
      <c r="DX26" s="369"/>
      <c r="DY26" s="369"/>
      <c r="DZ26" s="369"/>
      <c r="EA26" s="369"/>
      <c r="EB26" s="369"/>
      <c r="EC26" s="369"/>
      <c r="ED26" s="369"/>
      <c r="EE26" s="369"/>
      <c r="EF26" s="369"/>
      <c r="EG26" s="369"/>
      <c r="EH26" s="369"/>
      <c r="EI26" s="369"/>
      <c r="EJ26" s="369"/>
      <c r="EK26" s="369"/>
      <c r="EL26" s="369"/>
      <c r="EM26" s="369"/>
      <c r="EN26" s="369"/>
      <c r="EO26" s="369"/>
      <c r="EP26" s="369"/>
      <c r="EQ26" s="369"/>
      <c r="ER26" s="369"/>
      <c r="ES26" s="369"/>
      <c r="ET26" s="369"/>
      <c r="EU26" s="369"/>
      <c r="EV26" s="369"/>
      <c r="EW26" s="369"/>
      <c r="EX26" s="369"/>
      <c r="EY26" s="369"/>
      <c r="EZ26" s="369"/>
      <c r="FA26" s="369"/>
      <c r="FB26" s="369"/>
      <c r="FC26" s="369"/>
      <c r="FD26" s="369"/>
      <c r="FE26" s="369"/>
      <c r="FF26" s="369"/>
      <c r="FG26" s="369"/>
      <c r="FH26" s="369"/>
      <c r="FI26" s="369"/>
      <c r="FJ26" s="369"/>
      <c r="FK26" s="369"/>
      <c r="FL26" s="369"/>
      <c r="FM26" s="369"/>
      <c r="FN26" s="369"/>
      <c r="FO26" s="369"/>
      <c r="FP26" s="369"/>
      <c r="FQ26" s="369"/>
      <c r="FR26" s="369"/>
      <c r="FS26" s="369"/>
      <c r="FT26" s="369"/>
      <c r="FU26" s="369"/>
      <c r="FV26" s="369"/>
      <c r="FW26" s="369"/>
      <c r="FX26" s="369"/>
      <c r="FY26" s="369"/>
      <c r="FZ26" s="369"/>
      <c r="GA26" s="369"/>
      <c r="GB26" s="369"/>
      <c r="GC26" s="369"/>
      <c r="GD26" s="369"/>
      <c r="GE26" s="369"/>
      <c r="GF26" s="369"/>
      <c r="GG26" s="369"/>
      <c r="GH26" s="369"/>
      <c r="GI26" s="369"/>
      <c r="GJ26" s="369"/>
      <c r="GK26" s="369"/>
      <c r="GL26" s="369"/>
      <c r="GM26" s="369"/>
      <c r="GN26" s="369"/>
      <c r="GO26" s="369"/>
      <c r="GP26" s="369"/>
      <c r="GQ26" s="369"/>
      <c r="GR26" s="369"/>
      <c r="GS26" s="369"/>
      <c r="GT26" s="369"/>
      <c r="GU26" s="369"/>
      <c r="GV26" s="369"/>
      <c r="GW26" s="369"/>
      <c r="GX26" s="369"/>
      <c r="GY26" s="369"/>
      <c r="GZ26" s="369"/>
      <c r="HA26" s="369"/>
      <c r="HB26" s="369"/>
      <c r="HC26" s="369"/>
      <c r="HD26" s="369"/>
      <c r="HE26" s="369"/>
      <c r="HF26" s="369"/>
      <c r="HG26" s="369"/>
      <c r="HH26" s="369"/>
      <c r="HI26" s="369"/>
      <c r="HJ26" s="369"/>
      <c r="HK26" s="369"/>
      <c r="HL26" s="369"/>
      <c r="HM26" s="369"/>
      <c r="HN26" s="369"/>
      <c r="HO26" s="369"/>
      <c r="HP26" s="369"/>
      <c r="HQ26" s="369"/>
      <c r="HR26" s="369"/>
      <c r="HS26" s="369"/>
      <c r="HT26" s="369"/>
      <c r="HU26" s="369"/>
      <c r="HV26" s="369"/>
      <c r="HW26" s="369"/>
      <c r="HX26" s="369"/>
      <c r="HY26" s="369"/>
      <c r="HZ26" s="369"/>
      <c r="IA26" s="369"/>
      <c r="IB26" s="369"/>
      <c r="IC26" s="369"/>
      <c r="ID26" s="369"/>
      <c r="IE26" s="369"/>
      <c r="IF26" s="369"/>
      <c r="IG26" s="369"/>
      <c r="IH26" s="369"/>
      <c r="II26" s="369"/>
      <c r="IJ26" s="369"/>
      <c r="IK26" s="369"/>
      <c r="IL26" s="369"/>
      <c r="IM26" s="369"/>
      <c r="IN26" s="369"/>
      <c r="IO26" s="369"/>
      <c r="IP26" s="369"/>
      <c r="IQ26" s="369"/>
      <c r="IR26" s="369"/>
      <c r="IS26" s="369"/>
      <c r="IT26" s="369"/>
      <c r="IU26" s="369"/>
      <c r="IV26" s="369"/>
      <c r="IW26" s="369"/>
      <c r="IX26" s="369"/>
      <c r="IY26" s="369"/>
      <c r="IZ26" s="369"/>
      <c r="JA26" s="369"/>
      <c r="JB26" s="369"/>
      <c r="JC26" s="369"/>
      <c r="JD26" s="369"/>
      <c r="JE26" s="369"/>
    </row>
    <row r="27" spans="1:265" s="588" customFormat="1" x14ac:dyDescent="0.2">
      <c r="A27" s="364" t="s">
        <v>3732</v>
      </c>
      <c r="B27" s="369"/>
      <c r="C27" s="596" t="s">
        <v>3883</v>
      </c>
      <c r="D27" s="373"/>
      <c r="E27" s="597" t="s">
        <v>3891</v>
      </c>
      <c r="F27" s="373"/>
      <c r="G27" s="373" t="s">
        <v>3897</v>
      </c>
      <c r="H27" s="591">
        <v>814002012103</v>
      </c>
      <c r="I27" s="369"/>
      <c r="J27" s="369"/>
      <c r="K27" s="371" t="s">
        <v>879</v>
      </c>
      <c r="L27" s="372" t="s">
        <v>975</v>
      </c>
      <c r="M27" s="594"/>
      <c r="N27" s="611">
        <v>9.99</v>
      </c>
      <c r="O27" s="369"/>
      <c r="P27" s="373">
        <v>10</v>
      </c>
      <c r="Q27" s="598">
        <v>0.1</v>
      </c>
      <c r="R27" s="598">
        <v>39.700000000000003</v>
      </c>
      <c r="S27" s="598">
        <v>0.3</v>
      </c>
      <c r="T27" s="598">
        <v>0.3</v>
      </c>
      <c r="U27" s="598">
        <v>7.4999999999999997E-2</v>
      </c>
      <c r="V27" s="598">
        <v>6.3</v>
      </c>
      <c r="W27" s="598">
        <v>2.4</v>
      </c>
      <c r="X27" s="599">
        <v>0.4</v>
      </c>
      <c r="Y27" s="589"/>
      <c r="Z27" s="369"/>
      <c r="AA27" s="369"/>
      <c r="AB27" s="590"/>
      <c r="AC27" s="373"/>
      <c r="AD27" s="369"/>
      <c r="AE27" s="369"/>
      <c r="AF27" s="590"/>
      <c r="AG27" s="373"/>
      <c r="AH27" s="369"/>
      <c r="AI27" s="369"/>
      <c r="AJ27" s="369"/>
      <c r="AK27" s="369"/>
      <c r="AL27" s="369"/>
      <c r="AM27" s="369"/>
      <c r="AN27" s="369"/>
      <c r="AO27" s="369"/>
      <c r="AP27" s="369"/>
      <c r="AQ27" s="369"/>
      <c r="AR27" s="369"/>
      <c r="AS27" s="369"/>
      <c r="AT27" s="369"/>
      <c r="AU27" s="369"/>
      <c r="AV27" s="369"/>
      <c r="AW27" s="369"/>
      <c r="AX27" s="369"/>
      <c r="AY27" s="369"/>
      <c r="AZ27" s="369"/>
      <c r="BA27" s="369"/>
      <c r="BB27" s="369"/>
      <c r="BC27" s="369"/>
      <c r="BD27" s="369"/>
      <c r="BE27" s="369"/>
      <c r="BF27" s="369"/>
      <c r="BG27" s="369"/>
      <c r="BH27" s="369"/>
      <c r="BI27" s="369"/>
      <c r="BJ27" s="369"/>
      <c r="BK27" s="369"/>
      <c r="BL27" s="369"/>
      <c r="BM27" s="369"/>
      <c r="BN27" s="369"/>
      <c r="BO27" s="369"/>
      <c r="BP27" s="369"/>
      <c r="BQ27" s="369"/>
      <c r="BR27" s="369"/>
      <c r="BS27" s="369"/>
      <c r="BT27" s="369"/>
      <c r="BU27" s="369"/>
      <c r="BV27" s="369"/>
      <c r="BW27" s="369"/>
      <c r="BX27" s="369"/>
      <c r="BY27" s="369"/>
      <c r="BZ27" s="369"/>
      <c r="CA27" s="369"/>
      <c r="CB27" s="369"/>
      <c r="CC27" s="369"/>
      <c r="CD27" s="369"/>
      <c r="CE27" s="369"/>
      <c r="CF27" s="369"/>
      <c r="CG27" s="369"/>
      <c r="CH27" s="369"/>
      <c r="CI27" s="369"/>
      <c r="CJ27" s="369"/>
      <c r="CK27" s="369"/>
      <c r="CL27" s="369"/>
      <c r="CM27" s="369"/>
      <c r="CN27" s="369"/>
      <c r="CO27" s="369"/>
      <c r="CP27" s="369"/>
      <c r="CQ27" s="369"/>
      <c r="CR27" s="369"/>
      <c r="CS27" s="369"/>
      <c r="CT27" s="369"/>
      <c r="CU27" s="369"/>
      <c r="CV27" s="369"/>
      <c r="CW27" s="369"/>
      <c r="CX27" s="369"/>
      <c r="CY27" s="369"/>
      <c r="CZ27" s="369"/>
      <c r="DA27" s="369"/>
      <c r="DB27" s="369"/>
      <c r="DC27" s="369"/>
      <c r="DD27" s="369"/>
      <c r="DE27" s="369"/>
      <c r="DF27" s="369"/>
      <c r="DG27" s="369"/>
      <c r="DH27" s="369"/>
      <c r="DI27" s="369"/>
      <c r="DJ27" s="369"/>
      <c r="DK27" s="369"/>
      <c r="DL27" s="369"/>
      <c r="DM27" s="369"/>
      <c r="DN27" s="369"/>
      <c r="DO27" s="369"/>
      <c r="DP27" s="369"/>
      <c r="DQ27" s="369"/>
      <c r="DR27" s="369"/>
      <c r="DS27" s="369"/>
      <c r="DT27" s="369"/>
      <c r="DU27" s="369"/>
      <c r="DV27" s="369"/>
      <c r="DW27" s="369"/>
      <c r="DX27" s="369"/>
      <c r="DY27" s="369"/>
      <c r="DZ27" s="369"/>
      <c r="EA27" s="369"/>
      <c r="EB27" s="369"/>
      <c r="EC27" s="369"/>
      <c r="ED27" s="369"/>
      <c r="EE27" s="369"/>
      <c r="EF27" s="369"/>
      <c r="EG27" s="369"/>
      <c r="EH27" s="369"/>
      <c r="EI27" s="369"/>
      <c r="EJ27" s="369"/>
      <c r="EK27" s="369"/>
      <c r="EL27" s="369"/>
      <c r="EM27" s="369"/>
      <c r="EN27" s="369"/>
      <c r="EO27" s="369"/>
      <c r="EP27" s="369"/>
      <c r="EQ27" s="369"/>
      <c r="ER27" s="369"/>
      <c r="ES27" s="369"/>
      <c r="ET27" s="369"/>
      <c r="EU27" s="369"/>
      <c r="EV27" s="369"/>
      <c r="EW27" s="369"/>
      <c r="EX27" s="369"/>
      <c r="EY27" s="369"/>
      <c r="EZ27" s="369"/>
      <c r="FA27" s="369"/>
      <c r="FB27" s="369"/>
      <c r="FC27" s="369"/>
      <c r="FD27" s="369"/>
      <c r="FE27" s="369"/>
      <c r="FF27" s="369"/>
      <c r="FG27" s="369"/>
      <c r="FH27" s="369"/>
      <c r="FI27" s="369"/>
      <c r="FJ27" s="369"/>
      <c r="FK27" s="369"/>
      <c r="FL27" s="369"/>
      <c r="FM27" s="369"/>
      <c r="FN27" s="369"/>
      <c r="FO27" s="369"/>
      <c r="FP27" s="369"/>
      <c r="FQ27" s="369"/>
      <c r="FR27" s="369"/>
      <c r="FS27" s="369"/>
      <c r="FT27" s="369"/>
      <c r="FU27" s="369"/>
      <c r="FV27" s="369"/>
      <c r="FW27" s="369"/>
      <c r="FX27" s="369"/>
      <c r="FY27" s="369"/>
      <c r="FZ27" s="369"/>
      <c r="GA27" s="369"/>
      <c r="GB27" s="369"/>
      <c r="GC27" s="369"/>
      <c r="GD27" s="369"/>
      <c r="GE27" s="369"/>
      <c r="GF27" s="369"/>
      <c r="GG27" s="369"/>
      <c r="GH27" s="369"/>
      <c r="GI27" s="369"/>
      <c r="GJ27" s="369"/>
      <c r="GK27" s="369"/>
      <c r="GL27" s="369"/>
      <c r="GM27" s="369"/>
      <c r="GN27" s="369"/>
      <c r="GO27" s="369"/>
      <c r="GP27" s="369"/>
      <c r="GQ27" s="369"/>
      <c r="GR27" s="369"/>
      <c r="GS27" s="369"/>
      <c r="GT27" s="369"/>
      <c r="GU27" s="369"/>
      <c r="GV27" s="369"/>
      <c r="GW27" s="369"/>
      <c r="GX27" s="369"/>
      <c r="GY27" s="369"/>
      <c r="GZ27" s="369"/>
      <c r="HA27" s="369"/>
      <c r="HB27" s="369"/>
      <c r="HC27" s="369"/>
      <c r="HD27" s="369"/>
      <c r="HE27" s="369"/>
      <c r="HF27" s="369"/>
      <c r="HG27" s="369"/>
      <c r="HH27" s="369"/>
      <c r="HI27" s="369"/>
      <c r="HJ27" s="369"/>
      <c r="HK27" s="369"/>
      <c r="HL27" s="369"/>
      <c r="HM27" s="369"/>
      <c r="HN27" s="369"/>
      <c r="HO27" s="369"/>
      <c r="HP27" s="369"/>
      <c r="HQ27" s="369"/>
      <c r="HR27" s="369"/>
      <c r="HS27" s="369"/>
      <c r="HT27" s="369"/>
      <c r="HU27" s="369"/>
      <c r="HV27" s="369"/>
      <c r="HW27" s="369"/>
      <c r="HX27" s="369"/>
      <c r="HY27" s="369"/>
      <c r="HZ27" s="369"/>
      <c r="IA27" s="369"/>
      <c r="IB27" s="369"/>
      <c r="IC27" s="369"/>
      <c r="ID27" s="369"/>
      <c r="IE27" s="369"/>
      <c r="IF27" s="369"/>
      <c r="IG27" s="369"/>
      <c r="IH27" s="369"/>
      <c r="II27" s="369"/>
      <c r="IJ27" s="369"/>
      <c r="IK27" s="369"/>
      <c r="IL27" s="369"/>
      <c r="IM27" s="369"/>
      <c r="IN27" s="369"/>
      <c r="IO27" s="369"/>
      <c r="IP27" s="369"/>
      <c r="IQ27" s="369"/>
      <c r="IR27" s="369"/>
      <c r="IS27" s="369"/>
      <c r="IT27" s="369"/>
      <c r="IU27" s="369"/>
      <c r="IV27" s="369"/>
      <c r="IW27" s="369"/>
      <c r="IX27" s="369"/>
      <c r="IY27" s="369"/>
      <c r="IZ27" s="369"/>
      <c r="JA27" s="369"/>
      <c r="JB27" s="369"/>
      <c r="JC27" s="369"/>
      <c r="JD27" s="369"/>
      <c r="JE27" s="369"/>
    </row>
    <row r="28" spans="1:265" s="588" customFormat="1" x14ac:dyDescent="0.2">
      <c r="A28" s="364" t="s">
        <v>3732</v>
      </c>
      <c r="B28" s="369"/>
      <c r="C28" s="596" t="s">
        <v>3884</v>
      </c>
      <c r="D28" s="373"/>
      <c r="E28" s="597" t="s">
        <v>3890</v>
      </c>
      <c r="F28" s="373"/>
      <c r="G28" s="373" t="s">
        <v>3897</v>
      </c>
      <c r="H28" s="591">
        <v>814002012073</v>
      </c>
      <c r="I28" s="369"/>
      <c r="J28" s="369"/>
      <c r="K28" s="371" t="s">
        <v>879</v>
      </c>
      <c r="L28" s="372" t="s">
        <v>975</v>
      </c>
      <c r="M28" s="594"/>
      <c r="N28" s="611">
        <v>14.99</v>
      </c>
      <c r="O28" s="369"/>
      <c r="P28" s="373">
        <v>10</v>
      </c>
      <c r="Q28" s="598">
        <v>0.1</v>
      </c>
      <c r="R28" s="598">
        <v>42</v>
      </c>
      <c r="S28" s="598">
        <v>0.8</v>
      </c>
      <c r="T28" s="598">
        <v>1</v>
      </c>
      <c r="U28" s="598">
        <v>0.12</v>
      </c>
      <c r="V28" s="598">
        <v>6.3</v>
      </c>
      <c r="W28" s="598">
        <v>2.4</v>
      </c>
      <c r="X28" s="599">
        <v>1.2</v>
      </c>
      <c r="Y28" s="589"/>
      <c r="Z28" s="369"/>
      <c r="AA28" s="369"/>
      <c r="AB28" s="590"/>
      <c r="AC28" s="373"/>
      <c r="AD28" s="369"/>
      <c r="AE28" s="369"/>
      <c r="AF28" s="590"/>
      <c r="AG28" s="373"/>
      <c r="AH28" s="369"/>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c r="BF28" s="369"/>
      <c r="BG28" s="369"/>
      <c r="BH28" s="369"/>
      <c r="BI28" s="369"/>
      <c r="BJ28" s="369"/>
      <c r="BK28" s="369"/>
      <c r="BL28" s="369"/>
      <c r="BM28" s="369"/>
      <c r="BN28" s="369"/>
      <c r="BO28" s="369"/>
      <c r="BP28" s="369"/>
      <c r="BQ28" s="369"/>
      <c r="BR28" s="369"/>
      <c r="BS28" s="369"/>
      <c r="BT28" s="369"/>
      <c r="BU28" s="369"/>
      <c r="BV28" s="369"/>
      <c r="BW28" s="369"/>
      <c r="BX28" s="369"/>
      <c r="BY28" s="369"/>
      <c r="BZ28" s="369"/>
      <c r="CA28" s="369"/>
      <c r="CB28" s="369"/>
      <c r="CC28" s="369"/>
      <c r="CD28" s="369"/>
      <c r="CE28" s="369"/>
      <c r="CF28" s="369"/>
      <c r="CG28" s="369"/>
      <c r="CH28" s="369"/>
      <c r="CI28" s="369"/>
      <c r="CJ28" s="369"/>
      <c r="CK28" s="369"/>
      <c r="CL28" s="369"/>
      <c r="CM28" s="369"/>
      <c r="CN28" s="369"/>
      <c r="CO28" s="369"/>
      <c r="CP28" s="369"/>
      <c r="CQ28" s="369"/>
      <c r="CR28" s="369"/>
      <c r="CS28" s="369"/>
      <c r="CT28" s="369"/>
      <c r="CU28" s="369"/>
      <c r="CV28" s="369"/>
      <c r="CW28" s="369"/>
      <c r="CX28" s="369"/>
      <c r="CY28" s="369"/>
      <c r="CZ28" s="369"/>
      <c r="DA28" s="369"/>
      <c r="DB28" s="369"/>
      <c r="DC28" s="369"/>
      <c r="DD28" s="369"/>
      <c r="DE28" s="369"/>
      <c r="DF28" s="369"/>
      <c r="DG28" s="369"/>
      <c r="DH28" s="369"/>
      <c r="DI28" s="369"/>
      <c r="DJ28" s="369"/>
      <c r="DK28" s="369"/>
      <c r="DL28" s="369"/>
      <c r="DM28" s="369"/>
      <c r="DN28" s="369"/>
      <c r="DO28" s="369"/>
      <c r="DP28" s="369"/>
      <c r="DQ28" s="369"/>
      <c r="DR28" s="369"/>
      <c r="DS28" s="369"/>
      <c r="DT28" s="369"/>
      <c r="DU28" s="369"/>
      <c r="DV28" s="369"/>
      <c r="DW28" s="369"/>
      <c r="DX28" s="369"/>
      <c r="DY28" s="369"/>
      <c r="DZ28" s="369"/>
      <c r="EA28" s="369"/>
      <c r="EB28" s="369"/>
      <c r="EC28" s="369"/>
      <c r="ED28" s="369"/>
      <c r="EE28" s="369"/>
      <c r="EF28" s="369"/>
      <c r="EG28" s="369"/>
      <c r="EH28" s="369"/>
      <c r="EI28" s="369"/>
      <c r="EJ28" s="369"/>
      <c r="EK28" s="369"/>
      <c r="EL28" s="369"/>
      <c r="EM28" s="369"/>
      <c r="EN28" s="369"/>
      <c r="EO28" s="369"/>
      <c r="EP28" s="369"/>
      <c r="EQ28" s="369"/>
      <c r="ER28" s="369"/>
      <c r="ES28" s="369"/>
      <c r="ET28" s="369"/>
      <c r="EU28" s="369"/>
      <c r="EV28" s="369"/>
      <c r="EW28" s="369"/>
      <c r="EX28" s="369"/>
      <c r="EY28" s="369"/>
      <c r="EZ28" s="369"/>
      <c r="FA28" s="369"/>
      <c r="FB28" s="369"/>
      <c r="FC28" s="369"/>
      <c r="FD28" s="369"/>
      <c r="FE28" s="369"/>
      <c r="FF28" s="369"/>
      <c r="FG28" s="369"/>
      <c r="FH28" s="369"/>
      <c r="FI28" s="369"/>
      <c r="FJ28" s="369"/>
      <c r="FK28" s="369"/>
      <c r="FL28" s="369"/>
      <c r="FM28" s="369"/>
      <c r="FN28" s="369"/>
      <c r="FO28" s="369"/>
      <c r="FP28" s="369"/>
      <c r="FQ28" s="369"/>
      <c r="FR28" s="369"/>
      <c r="FS28" s="369"/>
      <c r="FT28" s="369"/>
      <c r="FU28" s="369"/>
      <c r="FV28" s="369"/>
      <c r="FW28" s="369"/>
      <c r="FX28" s="369"/>
      <c r="FY28" s="369"/>
      <c r="FZ28" s="369"/>
      <c r="GA28" s="369"/>
      <c r="GB28" s="369"/>
      <c r="GC28" s="369"/>
      <c r="GD28" s="369"/>
      <c r="GE28" s="369"/>
      <c r="GF28" s="369"/>
      <c r="GG28" s="369"/>
      <c r="GH28" s="369"/>
      <c r="GI28" s="369"/>
      <c r="GJ28" s="369"/>
      <c r="GK28" s="369"/>
      <c r="GL28" s="369"/>
      <c r="GM28" s="369"/>
      <c r="GN28" s="369"/>
      <c r="GO28" s="369"/>
      <c r="GP28" s="369"/>
      <c r="GQ28" s="369"/>
      <c r="GR28" s="369"/>
      <c r="GS28" s="369"/>
      <c r="GT28" s="369"/>
      <c r="GU28" s="369"/>
      <c r="GV28" s="369"/>
      <c r="GW28" s="369"/>
      <c r="GX28" s="369"/>
      <c r="GY28" s="369"/>
      <c r="GZ28" s="369"/>
      <c r="HA28" s="369"/>
      <c r="HB28" s="369"/>
      <c r="HC28" s="369"/>
      <c r="HD28" s="369"/>
      <c r="HE28" s="369"/>
      <c r="HF28" s="369"/>
      <c r="HG28" s="369"/>
      <c r="HH28" s="369"/>
      <c r="HI28" s="369"/>
      <c r="HJ28" s="369"/>
      <c r="HK28" s="369"/>
      <c r="HL28" s="369"/>
      <c r="HM28" s="369"/>
      <c r="HN28" s="369"/>
      <c r="HO28" s="369"/>
      <c r="HP28" s="369"/>
      <c r="HQ28" s="369"/>
      <c r="HR28" s="369"/>
      <c r="HS28" s="369"/>
      <c r="HT28" s="369"/>
      <c r="HU28" s="369"/>
      <c r="HV28" s="369"/>
      <c r="HW28" s="369"/>
      <c r="HX28" s="369"/>
      <c r="HY28" s="369"/>
      <c r="HZ28" s="369"/>
      <c r="IA28" s="369"/>
      <c r="IB28" s="369"/>
      <c r="IC28" s="369"/>
      <c r="ID28" s="369"/>
      <c r="IE28" s="369"/>
      <c r="IF28" s="369"/>
      <c r="IG28" s="369"/>
      <c r="IH28" s="369"/>
      <c r="II28" s="369"/>
      <c r="IJ28" s="369"/>
      <c r="IK28" s="369"/>
      <c r="IL28" s="369"/>
      <c r="IM28" s="369"/>
      <c r="IN28" s="369"/>
      <c r="IO28" s="369"/>
      <c r="IP28" s="369"/>
      <c r="IQ28" s="369"/>
      <c r="IR28" s="369"/>
      <c r="IS28" s="369"/>
      <c r="IT28" s="369"/>
      <c r="IU28" s="369"/>
      <c r="IV28" s="369"/>
      <c r="IW28" s="369"/>
      <c r="IX28" s="369"/>
      <c r="IY28" s="369"/>
      <c r="IZ28" s="369"/>
      <c r="JA28" s="369"/>
      <c r="JB28" s="369"/>
      <c r="JC28" s="369"/>
      <c r="JD28" s="369"/>
      <c r="JE28" s="369"/>
    </row>
    <row r="29" spans="1:265" s="588" customFormat="1" x14ac:dyDescent="0.2">
      <c r="A29" s="364" t="s">
        <v>3732</v>
      </c>
      <c r="B29" s="369"/>
      <c r="C29" s="596" t="s">
        <v>3885</v>
      </c>
      <c r="D29" s="373"/>
      <c r="E29" s="597" t="s">
        <v>3888</v>
      </c>
      <c r="F29" s="373"/>
      <c r="G29" s="373"/>
      <c r="H29" s="591">
        <v>814002012134</v>
      </c>
      <c r="I29" s="369"/>
      <c r="J29" s="369"/>
      <c r="K29" s="371" t="s">
        <v>4019</v>
      </c>
      <c r="L29" s="372" t="s">
        <v>975</v>
      </c>
      <c r="M29" s="594"/>
      <c r="N29" s="611">
        <v>219.99</v>
      </c>
      <c r="O29" s="369"/>
      <c r="P29" s="373"/>
      <c r="Q29" s="598">
        <v>1.8</v>
      </c>
      <c r="R29" s="598">
        <v>7.9</v>
      </c>
      <c r="S29" s="598">
        <v>6.1</v>
      </c>
      <c r="T29" s="598">
        <v>3</v>
      </c>
      <c r="U29" s="598">
        <v>2.4</v>
      </c>
      <c r="V29" s="598">
        <v>9.6999999999999993</v>
      </c>
      <c r="W29" s="598">
        <v>7.8</v>
      </c>
      <c r="X29" s="599">
        <v>5.3</v>
      </c>
      <c r="Y29" s="589"/>
      <c r="Z29" s="369"/>
      <c r="AA29" s="369"/>
      <c r="AB29" s="590"/>
      <c r="AC29" s="373"/>
      <c r="AD29" s="369"/>
      <c r="AE29" s="369"/>
      <c r="AF29" s="590"/>
      <c r="AG29" s="373"/>
      <c r="AH29" s="369"/>
      <c r="AI29" s="369"/>
      <c r="AJ29" s="369"/>
      <c r="AK29" s="369"/>
      <c r="AL29" s="369"/>
      <c r="AM29" s="369"/>
      <c r="AN29" s="369"/>
      <c r="AO29" s="369"/>
      <c r="AP29" s="369"/>
      <c r="AQ29" s="369"/>
      <c r="AR29" s="369"/>
      <c r="AS29" s="369"/>
      <c r="AT29" s="369"/>
      <c r="AU29" s="369"/>
      <c r="AV29" s="369"/>
      <c r="AW29" s="369"/>
      <c r="AX29" s="369"/>
      <c r="AY29" s="369"/>
      <c r="AZ29" s="369"/>
      <c r="BA29" s="369"/>
      <c r="BB29" s="369"/>
      <c r="BC29" s="369"/>
      <c r="BD29" s="369"/>
      <c r="BE29" s="369"/>
      <c r="BF29" s="369"/>
      <c r="BG29" s="369"/>
      <c r="BH29" s="369"/>
      <c r="BI29" s="369"/>
      <c r="BJ29" s="369"/>
      <c r="BK29" s="369"/>
      <c r="BL29" s="369"/>
      <c r="BM29" s="369"/>
      <c r="BN29" s="369"/>
      <c r="BO29" s="369"/>
      <c r="BP29" s="369"/>
      <c r="BQ29" s="369"/>
      <c r="BR29" s="369"/>
      <c r="BS29" s="369"/>
      <c r="BT29" s="369"/>
      <c r="BU29" s="369"/>
      <c r="BV29" s="369"/>
      <c r="BW29" s="369"/>
      <c r="BX29" s="369"/>
      <c r="BY29" s="369"/>
      <c r="BZ29" s="369"/>
      <c r="CA29" s="369"/>
      <c r="CB29" s="369"/>
      <c r="CC29" s="369"/>
      <c r="CD29" s="369"/>
      <c r="CE29" s="369"/>
      <c r="CF29" s="369"/>
      <c r="CG29" s="369"/>
      <c r="CH29" s="369"/>
      <c r="CI29" s="369"/>
      <c r="CJ29" s="369"/>
      <c r="CK29" s="369"/>
      <c r="CL29" s="369"/>
      <c r="CM29" s="369"/>
      <c r="CN29" s="369"/>
      <c r="CO29" s="369"/>
      <c r="CP29" s="369"/>
      <c r="CQ29" s="369"/>
      <c r="CR29" s="369"/>
      <c r="CS29" s="369"/>
      <c r="CT29" s="369"/>
      <c r="CU29" s="369"/>
      <c r="CV29" s="369"/>
      <c r="CW29" s="369"/>
      <c r="CX29" s="369"/>
      <c r="CY29" s="369"/>
      <c r="CZ29" s="369"/>
      <c r="DA29" s="369"/>
      <c r="DB29" s="369"/>
      <c r="DC29" s="369"/>
      <c r="DD29" s="369"/>
      <c r="DE29" s="369"/>
      <c r="DF29" s="369"/>
      <c r="DG29" s="369"/>
      <c r="DH29" s="369"/>
      <c r="DI29" s="369"/>
      <c r="DJ29" s="369"/>
      <c r="DK29" s="369"/>
      <c r="DL29" s="369"/>
      <c r="DM29" s="369"/>
      <c r="DN29" s="369"/>
      <c r="DO29" s="369"/>
      <c r="DP29" s="369"/>
      <c r="DQ29" s="369"/>
      <c r="DR29" s="369"/>
      <c r="DS29" s="369"/>
      <c r="DT29" s="369"/>
      <c r="DU29" s="369"/>
      <c r="DV29" s="369"/>
      <c r="DW29" s="369"/>
      <c r="DX29" s="369"/>
      <c r="DY29" s="369"/>
      <c r="DZ29" s="369"/>
      <c r="EA29" s="369"/>
      <c r="EB29" s="369"/>
      <c r="EC29" s="369"/>
      <c r="ED29" s="369"/>
      <c r="EE29" s="369"/>
      <c r="EF29" s="369"/>
      <c r="EG29" s="369"/>
      <c r="EH29" s="369"/>
      <c r="EI29" s="369"/>
      <c r="EJ29" s="369"/>
      <c r="EK29" s="369"/>
      <c r="EL29" s="369"/>
      <c r="EM29" s="369"/>
      <c r="EN29" s="369"/>
      <c r="EO29" s="369"/>
      <c r="EP29" s="369"/>
      <c r="EQ29" s="369"/>
      <c r="ER29" s="369"/>
      <c r="ES29" s="369"/>
      <c r="ET29" s="369"/>
      <c r="EU29" s="369"/>
      <c r="EV29" s="369"/>
      <c r="EW29" s="369"/>
      <c r="EX29" s="369"/>
      <c r="EY29" s="369"/>
      <c r="EZ29" s="369"/>
      <c r="FA29" s="369"/>
      <c r="FB29" s="369"/>
      <c r="FC29" s="369"/>
      <c r="FD29" s="369"/>
      <c r="FE29" s="369"/>
      <c r="FF29" s="369"/>
      <c r="FG29" s="369"/>
      <c r="FH29" s="369"/>
      <c r="FI29" s="369"/>
      <c r="FJ29" s="369"/>
      <c r="FK29" s="369"/>
      <c r="FL29" s="369"/>
      <c r="FM29" s="369"/>
      <c r="FN29" s="369"/>
      <c r="FO29" s="369"/>
      <c r="FP29" s="369"/>
      <c r="FQ29" s="369"/>
      <c r="FR29" s="369"/>
      <c r="FS29" s="369"/>
      <c r="FT29" s="369"/>
      <c r="FU29" s="369"/>
      <c r="FV29" s="369"/>
      <c r="FW29" s="369"/>
      <c r="FX29" s="369"/>
      <c r="FY29" s="369"/>
      <c r="FZ29" s="369"/>
      <c r="GA29" s="369"/>
      <c r="GB29" s="369"/>
      <c r="GC29" s="369"/>
      <c r="GD29" s="369"/>
      <c r="GE29" s="369"/>
      <c r="GF29" s="369"/>
      <c r="GG29" s="369"/>
      <c r="GH29" s="369"/>
      <c r="GI29" s="369"/>
      <c r="GJ29" s="369"/>
      <c r="GK29" s="369"/>
      <c r="GL29" s="369"/>
      <c r="GM29" s="369"/>
      <c r="GN29" s="369"/>
      <c r="GO29" s="369"/>
      <c r="GP29" s="369"/>
      <c r="GQ29" s="369"/>
      <c r="GR29" s="369"/>
      <c r="GS29" s="369"/>
      <c r="GT29" s="369"/>
      <c r="GU29" s="369"/>
      <c r="GV29" s="369"/>
      <c r="GW29" s="369"/>
      <c r="GX29" s="369"/>
      <c r="GY29" s="369"/>
      <c r="GZ29" s="369"/>
      <c r="HA29" s="369"/>
      <c r="HB29" s="369"/>
      <c r="HC29" s="369"/>
      <c r="HD29" s="369"/>
      <c r="HE29" s="369"/>
      <c r="HF29" s="369"/>
      <c r="HG29" s="369"/>
      <c r="HH29" s="369"/>
      <c r="HI29" s="369"/>
      <c r="HJ29" s="369"/>
      <c r="HK29" s="369"/>
      <c r="HL29" s="369"/>
      <c r="HM29" s="369"/>
      <c r="HN29" s="369"/>
      <c r="HO29" s="369"/>
      <c r="HP29" s="369"/>
      <c r="HQ29" s="369"/>
      <c r="HR29" s="369"/>
      <c r="HS29" s="369"/>
      <c r="HT29" s="369"/>
      <c r="HU29" s="369"/>
      <c r="HV29" s="369"/>
      <c r="HW29" s="369"/>
      <c r="HX29" s="369"/>
      <c r="HY29" s="369"/>
      <c r="HZ29" s="369"/>
      <c r="IA29" s="369"/>
      <c r="IB29" s="369"/>
      <c r="IC29" s="369"/>
      <c r="ID29" s="369"/>
      <c r="IE29" s="369"/>
      <c r="IF29" s="369"/>
      <c r="IG29" s="369"/>
      <c r="IH29" s="369"/>
      <c r="II29" s="369"/>
      <c r="IJ29" s="369"/>
      <c r="IK29" s="369"/>
      <c r="IL29" s="369"/>
      <c r="IM29" s="369"/>
      <c r="IN29" s="369"/>
      <c r="IO29" s="369"/>
      <c r="IP29" s="369"/>
      <c r="IQ29" s="369"/>
      <c r="IR29" s="369"/>
      <c r="IS29" s="369"/>
      <c r="IT29" s="369"/>
      <c r="IU29" s="369"/>
      <c r="IV29" s="369"/>
      <c r="IW29" s="369"/>
      <c r="IX29" s="369"/>
      <c r="IY29" s="369"/>
      <c r="IZ29" s="369"/>
      <c r="JA29" s="369"/>
      <c r="JB29" s="369"/>
      <c r="JC29" s="369"/>
      <c r="JD29" s="369"/>
      <c r="JE29" s="369"/>
    </row>
    <row r="30" spans="1:265" s="588" customFormat="1" x14ac:dyDescent="0.2">
      <c r="A30" s="364" t="s">
        <v>3732</v>
      </c>
      <c r="B30" s="369"/>
      <c r="C30" s="596" t="s">
        <v>3886</v>
      </c>
      <c r="D30" s="373"/>
      <c r="E30" s="597" t="s">
        <v>3889</v>
      </c>
      <c r="F30" s="373"/>
      <c r="G30" s="373" t="s">
        <v>2557</v>
      </c>
      <c r="H30" s="591">
        <v>814002012097</v>
      </c>
      <c r="I30" s="369"/>
      <c r="J30" s="369"/>
      <c r="K30" s="371" t="s">
        <v>879</v>
      </c>
      <c r="L30" s="372" t="s">
        <v>975</v>
      </c>
      <c r="M30" s="594"/>
      <c r="N30" s="611">
        <v>79.989999999999995</v>
      </c>
      <c r="O30" s="369"/>
      <c r="P30" s="373">
        <v>10</v>
      </c>
      <c r="Q30" s="598">
        <v>1.5</v>
      </c>
      <c r="R30" s="598">
        <v>9.3000000000000007</v>
      </c>
      <c r="S30" s="598">
        <v>8.1999999999999993</v>
      </c>
      <c r="T30" s="598">
        <v>1.1399999999999999</v>
      </c>
      <c r="U30" s="598">
        <v>1.6</v>
      </c>
      <c r="V30" s="598">
        <v>9.6999999999999993</v>
      </c>
      <c r="W30" s="598">
        <v>8.5</v>
      </c>
      <c r="X30" s="599">
        <v>1.4</v>
      </c>
      <c r="Y30" s="589"/>
      <c r="Z30" s="369"/>
      <c r="AA30" s="369"/>
      <c r="AB30" s="590"/>
      <c r="AC30" s="373"/>
      <c r="AD30" s="369"/>
      <c r="AE30" s="369"/>
      <c r="AF30" s="590"/>
      <c r="AG30" s="373"/>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c r="BD30" s="369"/>
      <c r="BE30" s="369"/>
      <c r="BF30" s="369"/>
      <c r="BG30" s="369"/>
      <c r="BH30" s="369"/>
      <c r="BI30" s="369"/>
      <c r="BJ30" s="369"/>
      <c r="BK30" s="369"/>
      <c r="BL30" s="369"/>
      <c r="BM30" s="369"/>
      <c r="BN30" s="369"/>
      <c r="BO30" s="369"/>
      <c r="BP30" s="369"/>
      <c r="BQ30" s="369"/>
      <c r="BR30" s="369"/>
      <c r="BS30" s="369"/>
      <c r="BT30" s="369"/>
      <c r="BU30" s="369"/>
      <c r="BV30" s="369"/>
      <c r="BW30" s="369"/>
      <c r="BX30" s="369"/>
      <c r="BY30" s="369"/>
      <c r="BZ30" s="369"/>
      <c r="CA30" s="369"/>
      <c r="CB30" s="369"/>
      <c r="CC30" s="369"/>
      <c r="CD30" s="369"/>
      <c r="CE30" s="369"/>
      <c r="CF30" s="369"/>
      <c r="CG30" s="369"/>
      <c r="CH30" s="369"/>
      <c r="CI30" s="369"/>
      <c r="CJ30" s="369"/>
      <c r="CK30" s="369"/>
      <c r="CL30" s="369"/>
      <c r="CM30" s="369"/>
      <c r="CN30" s="369"/>
      <c r="CO30" s="369"/>
      <c r="CP30" s="369"/>
      <c r="CQ30" s="369"/>
      <c r="CR30" s="369"/>
      <c r="CS30" s="369"/>
      <c r="CT30" s="369"/>
      <c r="CU30" s="369"/>
      <c r="CV30" s="369"/>
      <c r="CW30" s="369"/>
      <c r="CX30" s="369"/>
      <c r="CY30" s="369"/>
      <c r="CZ30" s="369"/>
      <c r="DA30" s="369"/>
      <c r="DB30" s="369"/>
      <c r="DC30" s="369"/>
      <c r="DD30" s="369"/>
      <c r="DE30" s="369"/>
      <c r="DF30" s="369"/>
      <c r="DG30" s="369"/>
      <c r="DH30" s="369"/>
      <c r="DI30" s="369"/>
      <c r="DJ30" s="369"/>
      <c r="DK30" s="369"/>
      <c r="DL30" s="369"/>
      <c r="DM30" s="369"/>
      <c r="DN30" s="369"/>
      <c r="DO30" s="369"/>
      <c r="DP30" s="369"/>
      <c r="DQ30" s="369"/>
      <c r="DR30" s="369"/>
      <c r="DS30" s="369"/>
      <c r="DT30" s="369"/>
      <c r="DU30" s="369"/>
      <c r="DV30" s="369"/>
      <c r="DW30" s="369"/>
      <c r="DX30" s="369"/>
      <c r="DY30" s="369"/>
      <c r="DZ30" s="369"/>
      <c r="EA30" s="369"/>
      <c r="EB30" s="369"/>
      <c r="EC30" s="369"/>
      <c r="ED30" s="369"/>
      <c r="EE30" s="369"/>
      <c r="EF30" s="369"/>
      <c r="EG30" s="369"/>
      <c r="EH30" s="369"/>
      <c r="EI30" s="369"/>
      <c r="EJ30" s="369"/>
      <c r="EK30" s="369"/>
      <c r="EL30" s="369"/>
      <c r="EM30" s="369"/>
      <c r="EN30" s="369"/>
      <c r="EO30" s="369"/>
      <c r="EP30" s="369"/>
      <c r="EQ30" s="369"/>
      <c r="ER30" s="369"/>
      <c r="ES30" s="369"/>
      <c r="ET30" s="369"/>
      <c r="EU30" s="369"/>
      <c r="EV30" s="369"/>
      <c r="EW30" s="369"/>
      <c r="EX30" s="369"/>
      <c r="EY30" s="369"/>
      <c r="EZ30" s="369"/>
      <c r="FA30" s="369"/>
      <c r="FB30" s="369"/>
      <c r="FC30" s="369"/>
      <c r="FD30" s="369"/>
      <c r="FE30" s="369"/>
      <c r="FF30" s="369"/>
      <c r="FG30" s="369"/>
      <c r="FH30" s="369"/>
      <c r="FI30" s="369"/>
      <c r="FJ30" s="369"/>
      <c r="FK30" s="369"/>
      <c r="FL30" s="369"/>
      <c r="FM30" s="369"/>
      <c r="FN30" s="369"/>
      <c r="FO30" s="369"/>
      <c r="FP30" s="369"/>
      <c r="FQ30" s="369"/>
      <c r="FR30" s="369"/>
      <c r="FS30" s="369"/>
      <c r="FT30" s="369"/>
      <c r="FU30" s="369"/>
      <c r="FV30" s="369"/>
      <c r="FW30" s="369"/>
      <c r="FX30" s="369"/>
      <c r="FY30" s="369"/>
      <c r="FZ30" s="369"/>
      <c r="GA30" s="369"/>
      <c r="GB30" s="369"/>
      <c r="GC30" s="369"/>
      <c r="GD30" s="369"/>
      <c r="GE30" s="369"/>
      <c r="GF30" s="369"/>
      <c r="GG30" s="369"/>
      <c r="GH30" s="369"/>
      <c r="GI30" s="369"/>
      <c r="GJ30" s="369"/>
      <c r="GK30" s="369"/>
      <c r="GL30" s="369"/>
      <c r="GM30" s="369"/>
      <c r="GN30" s="369"/>
      <c r="GO30" s="369"/>
      <c r="GP30" s="369"/>
      <c r="GQ30" s="369"/>
      <c r="GR30" s="369"/>
      <c r="GS30" s="369"/>
      <c r="GT30" s="369"/>
      <c r="GU30" s="369"/>
      <c r="GV30" s="369"/>
      <c r="GW30" s="369"/>
      <c r="GX30" s="369"/>
      <c r="GY30" s="369"/>
      <c r="GZ30" s="369"/>
      <c r="HA30" s="369"/>
      <c r="HB30" s="369"/>
      <c r="HC30" s="369"/>
      <c r="HD30" s="369"/>
      <c r="HE30" s="369"/>
      <c r="HF30" s="369"/>
      <c r="HG30" s="369"/>
      <c r="HH30" s="369"/>
      <c r="HI30" s="369"/>
      <c r="HJ30" s="369"/>
      <c r="HK30" s="369"/>
      <c r="HL30" s="369"/>
      <c r="HM30" s="369"/>
      <c r="HN30" s="369"/>
      <c r="HO30" s="369"/>
      <c r="HP30" s="369"/>
      <c r="HQ30" s="369"/>
      <c r="HR30" s="369"/>
      <c r="HS30" s="369"/>
      <c r="HT30" s="369"/>
      <c r="HU30" s="369"/>
      <c r="HV30" s="369"/>
      <c r="HW30" s="369"/>
      <c r="HX30" s="369"/>
      <c r="HY30" s="369"/>
      <c r="HZ30" s="369"/>
      <c r="IA30" s="369"/>
      <c r="IB30" s="369"/>
      <c r="IC30" s="369"/>
      <c r="ID30" s="369"/>
      <c r="IE30" s="369"/>
      <c r="IF30" s="369"/>
      <c r="IG30" s="369"/>
      <c r="IH30" s="369"/>
      <c r="II30" s="369"/>
      <c r="IJ30" s="369"/>
      <c r="IK30" s="369"/>
      <c r="IL30" s="369"/>
      <c r="IM30" s="369"/>
      <c r="IN30" s="369"/>
      <c r="IO30" s="369"/>
      <c r="IP30" s="369"/>
      <c r="IQ30" s="369"/>
      <c r="IR30" s="369"/>
      <c r="IS30" s="369"/>
      <c r="IT30" s="369"/>
      <c r="IU30" s="369"/>
      <c r="IV30" s="369"/>
      <c r="IW30" s="369"/>
      <c r="IX30" s="369"/>
      <c r="IY30" s="369"/>
      <c r="IZ30" s="369"/>
      <c r="JA30" s="369"/>
      <c r="JB30" s="369"/>
      <c r="JC30" s="369"/>
      <c r="JD30" s="369"/>
      <c r="JE30" s="369"/>
    </row>
    <row r="31" spans="1:265" s="588" customFormat="1" x14ac:dyDescent="0.2">
      <c r="A31" s="364" t="s">
        <v>3732</v>
      </c>
      <c r="B31" s="369"/>
      <c r="C31" s="596" t="s">
        <v>3887</v>
      </c>
      <c r="D31" s="373"/>
      <c r="E31" s="597"/>
      <c r="F31" s="373"/>
      <c r="G31" s="373"/>
      <c r="H31" s="591">
        <v>814002012066</v>
      </c>
      <c r="I31" s="369"/>
      <c r="J31" s="369"/>
      <c r="K31" s="371"/>
      <c r="L31" s="372" t="s">
        <v>975</v>
      </c>
      <c r="M31" s="594"/>
      <c r="N31" s="611">
        <v>79.95</v>
      </c>
      <c r="O31" s="369"/>
      <c r="P31" s="373"/>
      <c r="Q31" s="592"/>
      <c r="R31" s="593"/>
      <c r="S31" s="593"/>
      <c r="T31" s="593"/>
      <c r="U31" s="600"/>
      <c r="V31" s="600"/>
      <c r="W31" s="600"/>
      <c r="X31" s="600"/>
      <c r="Y31" s="589"/>
      <c r="Z31" s="369"/>
      <c r="AA31" s="369"/>
      <c r="AB31" s="590"/>
      <c r="AC31" s="373"/>
      <c r="AD31" s="369"/>
      <c r="AE31" s="369"/>
      <c r="AF31" s="590"/>
      <c r="AG31" s="373"/>
      <c r="AH31" s="369"/>
      <c r="AI31" s="369"/>
      <c r="AJ31" s="369"/>
      <c r="AK31" s="369"/>
      <c r="AL31" s="369"/>
      <c r="AM31" s="369"/>
      <c r="AN31" s="369"/>
      <c r="AO31" s="369"/>
      <c r="AP31" s="369"/>
      <c r="AQ31" s="369"/>
      <c r="AR31" s="369"/>
      <c r="AS31" s="369"/>
      <c r="AT31" s="369"/>
      <c r="AU31" s="369"/>
      <c r="AV31" s="369"/>
      <c r="AW31" s="369"/>
      <c r="AX31" s="369"/>
      <c r="AY31" s="369"/>
      <c r="AZ31" s="369"/>
      <c r="BA31" s="369"/>
      <c r="BB31" s="369"/>
      <c r="BC31" s="369"/>
      <c r="BD31" s="369"/>
      <c r="BE31" s="369"/>
      <c r="BF31" s="369"/>
      <c r="BG31" s="369"/>
      <c r="BH31" s="369"/>
      <c r="BI31" s="369"/>
      <c r="BJ31" s="369"/>
      <c r="BK31" s="369"/>
      <c r="BL31" s="369"/>
      <c r="BM31" s="369"/>
      <c r="BN31" s="369"/>
      <c r="BO31" s="369"/>
      <c r="BP31" s="369"/>
      <c r="BQ31" s="369"/>
      <c r="BR31" s="369"/>
      <c r="BS31" s="369"/>
      <c r="BT31" s="369"/>
      <c r="BU31" s="369"/>
      <c r="BV31" s="369"/>
      <c r="BW31" s="369"/>
      <c r="BX31" s="369"/>
      <c r="BY31" s="369"/>
      <c r="BZ31" s="369"/>
      <c r="CA31" s="369"/>
      <c r="CB31" s="369"/>
      <c r="CC31" s="369"/>
      <c r="CD31" s="369"/>
      <c r="CE31" s="369"/>
      <c r="CF31" s="369"/>
      <c r="CG31" s="369"/>
      <c r="CH31" s="369"/>
      <c r="CI31" s="369"/>
      <c r="CJ31" s="369"/>
      <c r="CK31" s="369"/>
      <c r="CL31" s="369"/>
      <c r="CM31" s="369"/>
      <c r="CN31" s="369"/>
      <c r="CO31" s="369"/>
      <c r="CP31" s="369"/>
      <c r="CQ31" s="369"/>
      <c r="CR31" s="369"/>
      <c r="CS31" s="369"/>
      <c r="CT31" s="369"/>
      <c r="CU31" s="369"/>
      <c r="CV31" s="369"/>
      <c r="CW31" s="369"/>
      <c r="CX31" s="369"/>
      <c r="CY31" s="369"/>
      <c r="CZ31" s="369"/>
      <c r="DA31" s="369"/>
      <c r="DB31" s="369"/>
      <c r="DC31" s="369"/>
      <c r="DD31" s="369"/>
      <c r="DE31" s="369"/>
      <c r="DF31" s="369"/>
      <c r="DG31" s="369"/>
      <c r="DH31" s="369"/>
      <c r="DI31" s="369"/>
      <c r="DJ31" s="369"/>
      <c r="DK31" s="369"/>
      <c r="DL31" s="369"/>
      <c r="DM31" s="369"/>
      <c r="DN31" s="369"/>
      <c r="DO31" s="369"/>
      <c r="DP31" s="369"/>
      <c r="DQ31" s="369"/>
      <c r="DR31" s="369"/>
      <c r="DS31" s="369"/>
      <c r="DT31" s="369"/>
      <c r="DU31" s="369"/>
      <c r="DV31" s="369"/>
      <c r="DW31" s="369"/>
      <c r="DX31" s="369"/>
      <c r="DY31" s="369"/>
      <c r="DZ31" s="369"/>
      <c r="EA31" s="369"/>
      <c r="EB31" s="369"/>
      <c r="EC31" s="369"/>
      <c r="ED31" s="369"/>
      <c r="EE31" s="369"/>
      <c r="EF31" s="369"/>
      <c r="EG31" s="369"/>
      <c r="EH31" s="369"/>
      <c r="EI31" s="369"/>
      <c r="EJ31" s="369"/>
      <c r="EK31" s="369"/>
      <c r="EL31" s="369"/>
      <c r="EM31" s="369"/>
      <c r="EN31" s="369"/>
      <c r="EO31" s="369"/>
      <c r="EP31" s="369"/>
      <c r="EQ31" s="369"/>
      <c r="ER31" s="369"/>
      <c r="ES31" s="369"/>
      <c r="ET31" s="369"/>
      <c r="EU31" s="369"/>
      <c r="EV31" s="369"/>
      <c r="EW31" s="369"/>
      <c r="EX31" s="369"/>
      <c r="EY31" s="369"/>
      <c r="EZ31" s="369"/>
      <c r="FA31" s="369"/>
      <c r="FB31" s="369"/>
      <c r="FC31" s="369"/>
      <c r="FD31" s="369"/>
      <c r="FE31" s="369"/>
      <c r="FF31" s="369"/>
      <c r="FG31" s="369"/>
      <c r="FH31" s="369"/>
      <c r="FI31" s="369"/>
      <c r="FJ31" s="369"/>
      <c r="FK31" s="369"/>
      <c r="FL31" s="369"/>
      <c r="FM31" s="369"/>
      <c r="FN31" s="369"/>
      <c r="FO31" s="369"/>
      <c r="FP31" s="369"/>
      <c r="FQ31" s="369"/>
      <c r="FR31" s="369"/>
      <c r="FS31" s="369"/>
      <c r="FT31" s="369"/>
      <c r="FU31" s="369"/>
      <c r="FV31" s="369"/>
      <c r="FW31" s="369"/>
      <c r="FX31" s="369"/>
      <c r="FY31" s="369"/>
      <c r="FZ31" s="369"/>
      <c r="GA31" s="369"/>
      <c r="GB31" s="369"/>
      <c r="GC31" s="369"/>
      <c r="GD31" s="369"/>
      <c r="GE31" s="369"/>
      <c r="GF31" s="369"/>
      <c r="GG31" s="369"/>
      <c r="GH31" s="369"/>
      <c r="GI31" s="369"/>
      <c r="GJ31" s="369"/>
      <c r="GK31" s="369"/>
      <c r="GL31" s="369"/>
      <c r="GM31" s="369"/>
      <c r="GN31" s="369"/>
      <c r="GO31" s="369"/>
      <c r="GP31" s="369"/>
      <c r="GQ31" s="369"/>
      <c r="GR31" s="369"/>
      <c r="GS31" s="369"/>
      <c r="GT31" s="369"/>
      <c r="GU31" s="369"/>
      <c r="GV31" s="369"/>
      <c r="GW31" s="369"/>
      <c r="GX31" s="369"/>
      <c r="GY31" s="369"/>
      <c r="GZ31" s="369"/>
      <c r="HA31" s="369"/>
      <c r="HB31" s="369"/>
      <c r="HC31" s="369"/>
      <c r="HD31" s="369"/>
      <c r="HE31" s="369"/>
      <c r="HF31" s="369"/>
      <c r="HG31" s="369"/>
      <c r="HH31" s="369"/>
      <c r="HI31" s="369"/>
      <c r="HJ31" s="369"/>
      <c r="HK31" s="369"/>
      <c r="HL31" s="369"/>
      <c r="HM31" s="369"/>
      <c r="HN31" s="369"/>
      <c r="HO31" s="369"/>
      <c r="HP31" s="369"/>
      <c r="HQ31" s="369"/>
      <c r="HR31" s="369"/>
      <c r="HS31" s="369"/>
      <c r="HT31" s="369"/>
      <c r="HU31" s="369"/>
      <c r="HV31" s="369"/>
      <c r="HW31" s="369"/>
      <c r="HX31" s="369"/>
      <c r="HY31" s="369"/>
      <c r="HZ31" s="369"/>
      <c r="IA31" s="369"/>
      <c r="IB31" s="369"/>
      <c r="IC31" s="369"/>
      <c r="ID31" s="369"/>
      <c r="IE31" s="369"/>
      <c r="IF31" s="369"/>
      <c r="IG31" s="369"/>
      <c r="IH31" s="369"/>
      <c r="II31" s="369"/>
      <c r="IJ31" s="369"/>
      <c r="IK31" s="369"/>
      <c r="IL31" s="369"/>
      <c r="IM31" s="369"/>
      <c r="IN31" s="369"/>
      <c r="IO31" s="369"/>
      <c r="IP31" s="369"/>
      <c r="IQ31" s="369"/>
      <c r="IR31" s="369"/>
      <c r="IS31" s="369"/>
      <c r="IT31" s="369"/>
      <c r="IU31" s="369"/>
      <c r="IV31" s="369"/>
      <c r="IW31" s="369"/>
      <c r="IX31" s="369"/>
      <c r="IY31" s="369"/>
      <c r="IZ31" s="369"/>
      <c r="JA31" s="369"/>
      <c r="JB31" s="369"/>
      <c r="JC31" s="369"/>
      <c r="JD31" s="369"/>
      <c r="JE31" s="369"/>
    </row>
    <row r="32" spans="1:265" s="87" customFormat="1" ht="15.75" x14ac:dyDescent="0.25">
      <c r="A32" s="523" t="s">
        <v>3912</v>
      </c>
      <c r="B32" s="37"/>
      <c r="C32" s="19"/>
      <c r="D32" s="37"/>
      <c r="E32" s="57"/>
      <c r="F32" s="37"/>
      <c r="G32" s="37"/>
      <c r="H32" s="498"/>
      <c r="I32" s="37"/>
      <c r="J32" s="37"/>
      <c r="K32" s="28"/>
      <c r="L32" s="57"/>
      <c r="M32" s="37"/>
      <c r="N32" s="505"/>
      <c r="O32" s="37"/>
      <c r="P32" s="40"/>
      <c r="Q32" s="499"/>
      <c r="R32" s="495"/>
      <c r="S32" s="495"/>
      <c r="T32" s="495"/>
      <c r="U32" s="500"/>
      <c r="V32" s="500"/>
      <c r="W32" s="500"/>
      <c r="X32" s="500"/>
      <c r="Y32" s="545"/>
      <c r="Z32" s="37"/>
      <c r="AA32" s="37"/>
      <c r="AB32" s="552"/>
      <c r="AC32" s="40"/>
      <c r="AD32" s="37"/>
      <c r="AE32" s="37"/>
      <c r="AF32" s="552"/>
      <c r="AG32" s="40"/>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row>
    <row r="33" spans="1:265" s="88" customFormat="1" x14ac:dyDescent="0.2">
      <c r="A33" s="18" t="s">
        <v>3732</v>
      </c>
      <c r="B33" s="20"/>
      <c r="C33" s="22" t="s">
        <v>3913</v>
      </c>
      <c r="D33" s="37"/>
      <c r="E33" s="57" t="s">
        <v>3916</v>
      </c>
      <c r="F33" s="37"/>
      <c r="G33" s="20" t="s">
        <v>3919</v>
      </c>
      <c r="H33" s="498">
        <v>54269001773</v>
      </c>
      <c r="I33" s="140"/>
      <c r="J33" s="140"/>
      <c r="K33" s="28" t="s">
        <v>4020</v>
      </c>
      <c r="L33" s="45" t="s">
        <v>984</v>
      </c>
      <c r="M33" s="527"/>
      <c r="N33" s="514">
        <f>IF($C33="","",VLOOKUP($C33,'2017 Pricelist'!$C:$I,7,FALSE))</f>
        <v>14.99</v>
      </c>
      <c r="O33" s="37"/>
      <c r="P33" s="40">
        <v>10</v>
      </c>
      <c r="Q33" s="493">
        <v>5.0000000000000001E-3</v>
      </c>
      <c r="R33" s="494">
        <v>1.25</v>
      </c>
      <c r="S33" s="494">
        <v>0.9</v>
      </c>
      <c r="T33" s="494">
        <v>7.0000000000000007E-2</v>
      </c>
      <c r="U33" s="491">
        <v>0.06</v>
      </c>
      <c r="V33" s="491">
        <v>4.7</v>
      </c>
      <c r="W33" s="491">
        <v>3</v>
      </c>
      <c r="X33" s="491">
        <v>0.1</v>
      </c>
      <c r="Y33" s="544" t="s">
        <v>259</v>
      </c>
      <c r="Z33" s="26" t="s">
        <v>259</v>
      </c>
      <c r="AA33" s="26" t="s">
        <v>259</v>
      </c>
      <c r="AB33" s="26" t="s">
        <v>259</v>
      </c>
      <c r="AC33" s="26" t="s">
        <v>259</v>
      </c>
      <c r="AD33" s="26" t="s">
        <v>259</v>
      </c>
      <c r="AE33" s="26" t="s">
        <v>259</v>
      </c>
      <c r="AF33" s="26" t="s">
        <v>259</v>
      </c>
      <c r="AG33" s="26"/>
      <c r="AH33" s="20"/>
      <c r="AI33" s="20"/>
      <c r="AJ33" s="20"/>
      <c r="AK33" s="20"/>
      <c r="AL33" s="20"/>
      <c r="AM33" s="20"/>
      <c r="AN33" s="20"/>
      <c r="AO33" s="20"/>
      <c r="AP33" s="140"/>
      <c r="AQ33" s="140"/>
      <c r="AR33" s="14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row>
    <row r="34" spans="1:265" s="88" customFormat="1" x14ac:dyDescent="0.2">
      <c r="A34" s="18" t="s">
        <v>3732</v>
      </c>
      <c r="B34" s="20"/>
      <c r="C34" s="22" t="s">
        <v>3914</v>
      </c>
      <c r="D34" s="37"/>
      <c r="E34" s="57" t="s">
        <v>3917</v>
      </c>
      <c r="F34" s="37"/>
      <c r="G34" s="20" t="s">
        <v>3919</v>
      </c>
      <c r="H34" s="498">
        <v>54269001766</v>
      </c>
      <c r="I34" s="140"/>
      <c r="J34" s="140"/>
      <c r="K34" s="28" t="s">
        <v>4020</v>
      </c>
      <c r="L34" s="45" t="s">
        <v>984</v>
      </c>
      <c r="M34" s="527"/>
      <c r="N34" s="514">
        <f>IF($C34="","",VLOOKUP($C34,'2017 Pricelist'!$C:$I,7,FALSE))</f>
        <v>19.989999999999998</v>
      </c>
      <c r="O34" s="37"/>
      <c r="P34" s="40">
        <v>10</v>
      </c>
      <c r="Q34" s="493">
        <v>5.0000000000000001E-3</v>
      </c>
      <c r="R34" s="494">
        <v>1.25</v>
      </c>
      <c r="S34" s="494">
        <v>0.9</v>
      </c>
      <c r="T34" s="494">
        <v>7.0000000000000007E-2</v>
      </c>
      <c r="U34" s="491">
        <v>0.06</v>
      </c>
      <c r="V34" s="491">
        <v>4.7</v>
      </c>
      <c r="W34" s="491">
        <v>3</v>
      </c>
      <c r="X34" s="491">
        <v>0.1</v>
      </c>
      <c r="Y34" s="544" t="s">
        <v>259</v>
      </c>
      <c r="Z34" s="26" t="s">
        <v>259</v>
      </c>
      <c r="AA34" s="26" t="s">
        <v>259</v>
      </c>
      <c r="AB34" s="26" t="s">
        <v>259</v>
      </c>
      <c r="AC34" s="26" t="s">
        <v>259</v>
      </c>
      <c r="AD34" s="26" t="s">
        <v>259</v>
      </c>
      <c r="AE34" s="26" t="s">
        <v>259</v>
      </c>
      <c r="AF34" s="26" t="s">
        <v>259</v>
      </c>
      <c r="AG34" s="26"/>
      <c r="AH34" s="20"/>
      <c r="AI34" s="20"/>
      <c r="AJ34" s="20"/>
      <c r="AK34" s="20"/>
      <c r="AL34" s="20"/>
      <c r="AM34" s="20"/>
      <c r="AN34" s="20"/>
      <c r="AO34" s="20"/>
      <c r="AP34" s="140"/>
      <c r="AQ34" s="140"/>
      <c r="AR34" s="14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row>
    <row r="35" spans="1:265" s="88" customFormat="1" x14ac:dyDescent="0.2">
      <c r="A35" s="18" t="s">
        <v>3732</v>
      </c>
      <c r="B35" s="125"/>
      <c r="C35" s="22" t="s">
        <v>3915</v>
      </c>
      <c r="D35" s="37"/>
      <c r="E35" s="57" t="s">
        <v>3918</v>
      </c>
      <c r="F35" s="18"/>
      <c r="G35" s="18" t="s">
        <v>3919</v>
      </c>
      <c r="H35" s="497">
        <v>54269001759</v>
      </c>
      <c r="I35" s="124"/>
      <c r="J35" s="124"/>
      <c r="K35" s="28" t="s">
        <v>4020</v>
      </c>
      <c r="L35" s="45" t="s">
        <v>984</v>
      </c>
      <c r="M35" s="5"/>
      <c r="N35" s="514">
        <f>IF($C35="","",VLOOKUP($C35,'2017 Pricelist'!$C:$I,7,FALSE))</f>
        <v>39.99</v>
      </c>
      <c r="O35" s="35"/>
      <c r="P35" s="35">
        <v>10</v>
      </c>
      <c r="Q35" s="485">
        <v>5.0000000000000001E-3</v>
      </c>
      <c r="R35" s="33">
        <v>1.25</v>
      </c>
      <c r="S35" s="33">
        <v>0.9</v>
      </c>
      <c r="T35" s="129">
        <v>7.0000000000000007E-2</v>
      </c>
      <c r="U35" s="33">
        <v>0.06</v>
      </c>
      <c r="V35" s="33">
        <v>4.7</v>
      </c>
      <c r="W35" s="33">
        <v>3</v>
      </c>
      <c r="X35" s="33">
        <v>0.1</v>
      </c>
      <c r="Y35" s="544" t="s">
        <v>259</v>
      </c>
      <c r="Z35" s="26" t="s">
        <v>259</v>
      </c>
      <c r="AA35" s="26" t="s">
        <v>259</v>
      </c>
      <c r="AB35" s="26" t="s">
        <v>259</v>
      </c>
      <c r="AC35" s="26" t="s">
        <v>259</v>
      </c>
      <c r="AD35" s="26" t="s">
        <v>259</v>
      </c>
      <c r="AE35" s="26" t="s">
        <v>259</v>
      </c>
      <c r="AF35" s="26" t="s">
        <v>259</v>
      </c>
      <c r="AG35" s="121"/>
      <c r="AH35" s="80"/>
      <c r="AI35" s="492"/>
      <c r="AJ35" s="80"/>
      <c r="AK35" s="80"/>
      <c r="AL35" s="80"/>
      <c r="AM35" s="37"/>
      <c r="AN35" s="37"/>
      <c r="AO35" s="37"/>
      <c r="AP35" s="402"/>
      <c r="AQ35" s="140"/>
      <c r="AR35" s="14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row>
    <row r="36" spans="1:265" s="87" customFormat="1" ht="15.75" x14ac:dyDescent="0.25">
      <c r="A36" s="105" t="s">
        <v>4021</v>
      </c>
      <c r="B36" s="125"/>
      <c r="C36" s="19"/>
      <c r="D36" s="37"/>
      <c r="E36" s="57"/>
      <c r="F36" s="18"/>
      <c r="G36" s="18"/>
      <c r="H36" s="497"/>
      <c r="I36" s="28"/>
      <c r="J36" s="28"/>
      <c r="K36" s="28"/>
      <c r="L36" s="219"/>
      <c r="M36" s="5"/>
      <c r="N36" s="504"/>
      <c r="O36" s="35"/>
      <c r="P36" s="35"/>
      <c r="Q36" s="33"/>
      <c r="R36" s="33"/>
      <c r="S36" s="33"/>
      <c r="T36" s="129"/>
      <c r="U36" s="33"/>
      <c r="V36" s="33"/>
      <c r="W36" s="33"/>
      <c r="X36" s="33"/>
      <c r="Y36" s="542"/>
      <c r="Z36" s="33"/>
      <c r="AA36" s="33"/>
      <c r="AB36" s="549"/>
      <c r="AC36" s="33"/>
      <c r="AD36" s="33"/>
      <c r="AE36" s="33"/>
      <c r="AF36" s="549"/>
      <c r="AG36" s="33"/>
      <c r="AH36" s="529"/>
      <c r="AI36" s="530"/>
      <c r="AJ36" s="529"/>
      <c r="AK36" s="529"/>
      <c r="AL36" s="529"/>
      <c r="AM36" s="37"/>
      <c r="AN36" s="37"/>
      <c r="AO36" s="37"/>
      <c r="AP36" s="59"/>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row>
    <row r="37" spans="1:265" s="88" customFormat="1" x14ac:dyDescent="0.2">
      <c r="A37" s="18" t="s">
        <v>3732</v>
      </c>
      <c r="B37" s="125"/>
      <c r="C37" s="22" t="s">
        <v>3920</v>
      </c>
      <c r="D37" s="37"/>
      <c r="E37" s="57" t="s">
        <v>3926</v>
      </c>
      <c r="F37" s="18"/>
      <c r="G37" s="18" t="s">
        <v>2557</v>
      </c>
      <c r="H37" s="497">
        <v>814002011915</v>
      </c>
      <c r="I37" s="124"/>
      <c r="J37" s="124"/>
      <c r="K37" s="28" t="s">
        <v>458</v>
      </c>
      <c r="L37" s="219" t="s">
        <v>975</v>
      </c>
      <c r="M37" s="5"/>
      <c r="N37" s="514">
        <f>IF($C37="","",VLOOKUP($C37,'2017 Pricelist'!$C:$I,7,FALSE))</f>
        <v>169</v>
      </c>
      <c r="O37" s="35"/>
      <c r="P37" s="35">
        <v>40</v>
      </c>
      <c r="Q37" s="33">
        <v>0.4</v>
      </c>
      <c r="R37" s="33">
        <v>5.75</v>
      </c>
      <c r="S37" s="33">
        <v>2.25</v>
      </c>
      <c r="T37" s="129">
        <v>2.1</v>
      </c>
      <c r="U37" s="33">
        <v>0.8</v>
      </c>
      <c r="V37" s="33">
        <v>7.2</v>
      </c>
      <c r="W37" s="33">
        <v>4.8</v>
      </c>
      <c r="X37" s="33">
        <v>2.4</v>
      </c>
      <c r="Y37" s="542">
        <v>9</v>
      </c>
      <c r="Z37" s="33">
        <v>13.25</v>
      </c>
      <c r="AA37" s="33">
        <v>10.25</v>
      </c>
      <c r="AB37" s="549">
        <v>8.5</v>
      </c>
      <c r="AC37" s="33">
        <v>37.9</v>
      </c>
      <c r="AD37" s="33">
        <v>21</v>
      </c>
      <c r="AE37" s="33">
        <v>14</v>
      </c>
      <c r="AF37" s="549">
        <v>18</v>
      </c>
      <c r="AG37" s="121"/>
      <c r="AH37" s="80"/>
      <c r="AI37" s="492"/>
      <c r="AJ37" s="80"/>
      <c r="AK37" s="80"/>
      <c r="AL37" s="80"/>
      <c r="AM37" s="37"/>
      <c r="AN37" s="37"/>
      <c r="AO37" s="37"/>
      <c r="AP37" s="402"/>
      <c r="AQ37" s="140"/>
      <c r="AR37" s="14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row>
    <row r="38" spans="1:265" s="88" customFormat="1" x14ac:dyDescent="0.2">
      <c r="A38" s="18" t="s">
        <v>3732</v>
      </c>
      <c r="B38" s="125"/>
      <c r="C38" s="22" t="s">
        <v>3922</v>
      </c>
      <c r="D38" s="37"/>
      <c r="E38" s="57" t="s">
        <v>3928</v>
      </c>
      <c r="F38" s="18"/>
      <c r="G38" s="18" t="s">
        <v>3911</v>
      </c>
      <c r="H38" s="497">
        <v>855712000981</v>
      </c>
      <c r="I38" s="124"/>
      <c r="J38" s="124"/>
      <c r="K38" s="124"/>
      <c r="L38" s="219" t="s">
        <v>975</v>
      </c>
      <c r="M38" s="5"/>
      <c r="N38" s="514">
        <v>139.99</v>
      </c>
      <c r="O38" s="35"/>
      <c r="P38" s="35">
        <v>20</v>
      </c>
      <c r="Q38" s="33">
        <f>8.3/16</f>
        <v>0.51875000000000004</v>
      </c>
      <c r="R38" s="33">
        <v>3.6</v>
      </c>
      <c r="S38" s="33">
        <v>4</v>
      </c>
      <c r="T38" s="129">
        <v>1.8</v>
      </c>
      <c r="U38" s="33">
        <v>0.7</v>
      </c>
      <c r="V38" s="33">
        <v>8.1999999999999993</v>
      </c>
      <c r="W38" s="33">
        <v>6.4</v>
      </c>
      <c r="X38" s="33">
        <v>3.2</v>
      </c>
      <c r="Y38" s="541"/>
      <c r="Z38" s="121"/>
      <c r="AA38" s="121"/>
      <c r="AB38" s="548"/>
      <c r="AC38" s="121"/>
      <c r="AD38" s="121"/>
      <c r="AE38" s="121"/>
      <c r="AF38" s="548"/>
      <c r="AG38" s="121"/>
      <c r="AH38" s="80"/>
      <c r="AI38" s="492"/>
      <c r="AJ38" s="80"/>
      <c r="AK38" s="490"/>
      <c r="AL38" s="80"/>
      <c r="AM38" s="37"/>
      <c r="AN38" s="37"/>
      <c r="AO38" s="37"/>
      <c r="AP38" s="402"/>
      <c r="AQ38" s="140"/>
      <c r="AR38" s="14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row>
    <row r="39" spans="1:265" s="88" customFormat="1" x14ac:dyDescent="0.2">
      <c r="A39" s="18" t="s">
        <v>3732</v>
      </c>
      <c r="B39" s="125"/>
      <c r="C39" s="22" t="s">
        <v>3923</v>
      </c>
      <c r="D39" s="37"/>
      <c r="E39" s="57" t="s">
        <v>3929</v>
      </c>
      <c r="F39" s="18"/>
      <c r="G39" s="18" t="s">
        <v>3911</v>
      </c>
      <c r="H39" s="497">
        <v>814002011854</v>
      </c>
      <c r="I39" s="124"/>
      <c r="J39" s="124"/>
      <c r="K39" s="124"/>
      <c r="L39" s="219" t="s">
        <v>975</v>
      </c>
      <c r="M39" s="5"/>
      <c r="N39" s="514">
        <v>14.99</v>
      </c>
      <c r="O39" s="35"/>
      <c r="P39" s="35">
        <v>10</v>
      </c>
      <c r="Q39" s="33">
        <f>1.5/16</f>
        <v>9.375E-2</v>
      </c>
      <c r="R39" s="33">
        <v>2.7</v>
      </c>
      <c r="S39" s="33">
        <v>0.7</v>
      </c>
      <c r="T39" s="129">
        <v>0.7</v>
      </c>
      <c r="U39" s="33">
        <v>0.12</v>
      </c>
      <c r="V39" s="33">
        <v>6.5</v>
      </c>
      <c r="W39" s="33">
        <v>2.9</v>
      </c>
      <c r="X39" s="33">
        <v>0.67</v>
      </c>
      <c r="Y39" s="541"/>
      <c r="Z39" s="121"/>
      <c r="AA39" s="121"/>
      <c r="AB39" s="548"/>
      <c r="AC39" s="121"/>
      <c r="AD39" s="121"/>
      <c r="AE39" s="121"/>
      <c r="AF39" s="548"/>
      <c r="AG39" s="121"/>
      <c r="AH39" s="80"/>
      <c r="AI39" s="492"/>
      <c r="AJ39" s="80"/>
      <c r="AK39" s="490"/>
      <c r="AL39" s="80"/>
      <c r="AM39" s="37"/>
      <c r="AN39" s="37"/>
      <c r="AO39" s="37"/>
      <c r="AP39" s="402"/>
      <c r="AQ39" s="140"/>
      <c r="AR39" s="14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row>
    <row r="40" spans="1:265" s="88" customFormat="1" x14ac:dyDescent="0.2">
      <c r="A40" s="18" t="s">
        <v>3732</v>
      </c>
      <c r="B40" s="125"/>
      <c r="C40" s="22" t="s">
        <v>3924</v>
      </c>
      <c r="D40" s="37"/>
      <c r="E40" s="57" t="s">
        <v>3930</v>
      </c>
      <c r="F40" s="18"/>
      <c r="G40" s="18" t="s">
        <v>3911</v>
      </c>
      <c r="H40" s="497">
        <v>814002011861</v>
      </c>
      <c r="I40" s="124"/>
      <c r="J40" s="124"/>
      <c r="K40" s="124"/>
      <c r="L40" s="219" t="s">
        <v>975</v>
      </c>
      <c r="M40" s="5"/>
      <c r="N40" s="514">
        <v>19.989999999999998</v>
      </c>
      <c r="O40" s="35"/>
      <c r="P40" s="35">
        <v>10</v>
      </c>
      <c r="Q40" s="121"/>
      <c r="R40" s="121"/>
      <c r="S40" s="121"/>
      <c r="T40" s="128"/>
      <c r="U40" s="121"/>
      <c r="V40" s="121"/>
      <c r="W40" s="121"/>
      <c r="X40" s="121"/>
      <c r="Y40" s="541"/>
      <c r="Z40" s="121"/>
      <c r="AA40" s="121"/>
      <c r="AB40" s="548"/>
      <c r="AC40" s="121"/>
      <c r="AD40" s="121"/>
      <c r="AE40" s="121"/>
      <c r="AF40" s="548"/>
      <c r="AG40" s="121"/>
      <c r="AH40" s="80"/>
      <c r="AI40" s="492"/>
      <c r="AJ40" s="80"/>
      <c r="AK40" s="80"/>
      <c r="AL40" s="80"/>
      <c r="AM40" s="37"/>
      <c r="AN40" s="37"/>
      <c r="AO40" s="37"/>
      <c r="AP40" s="402"/>
      <c r="AQ40" s="140"/>
      <c r="AR40" s="14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row>
    <row r="41" spans="1:265" s="88" customFormat="1" x14ac:dyDescent="0.2">
      <c r="A41" s="18" t="s">
        <v>3732</v>
      </c>
      <c r="B41" s="125"/>
      <c r="C41" s="22" t="s">
        <v>4022</v>
      </c>
      <c r="D41" s="37"/>
      <c r="E41" s="57" t="s">
        <v>4023</v>
      </c>
      <c r="F41" s="18"/>
      <c r="G41" s="248"/>
      <c r="H41" s="497">
        <v>54269002152</v>
      </c>
      <c r="I41" s="124"/>
      <c r="J41" s="124"/>
      <c r="K41" s="124"/>
      <c r="L41" s="219" t="s">
        <v>975</v>
      </c>
      <c r="M41" s="5"/>
      <c r="N41" s="514">
        <v>24.99</v>
      </c>
      <c r="O41" s="35"/>
      <c r="P41" s="35"/>
      <c r="Q41" s="33">
        <f>0.7/16</f>
        <v>4.3749999999999997E-2</v>
      </c>
      <c r="R41" s="33">
        <v>15.17</v>
      </c>
      <c r="S41" s="121"/>
      <c r="T41" s="128"/>
      <c r="U41" s="121"/>
      <c r="V41" s="121"/>
      <c r="W41" s="121"/>
      <c r="X41" s="121"/>
      <c r="Y41" s="541"/>
      <c r="Z41" s="121"/>
      <c r="AA41" s="121"/>
      <c r="AB41" s="548"/>
      <c r="AC41" s="121"/>
      <c r="AD41" s="121"/>
      <c r="AE41" s="121"/>
      <c r="AF41" s="548"/>
      <c r="AG41" s="121"/>
      <c r="AH41" s="80"/>
      <c r="AI41" s="492"/>
      <c r="AJ41" s="80"/>
      <c r="AK41" s="80"/>
      <c r="AL41" s="80"/>
      <c r="AM41" s="37"/>
      <c r="AN41" s="37"/>
      <c r="AO41" s="37"/>
      <c r="AP41" s="52"/>
      <c r="AQ41" s="37"/>
      <c r="AR41" s="37"/>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row>
    <row r="42" spans="1:265" s="88" customFormat="1" x14ac:dyDescent="0.2">
      <c r="A42" s="18" t="s">
        <v>3732</v>
      </c>
      <c r="B42" s="125"/>
      <c r="C42" s="22" t="s">
        <v>4024</v>
      </c>
      <c r="D42" s="37"/>
      <c r="E42" s="57" t="s">
        <v>4025</v>
      </c>
      <c r="F42" s="18"/>
      <c r="G42" s="18" t="s">
        <v>3897</v>
      </c>
      <c r="H42" s="531" t="s">
        <v>4026</v>
      </c>
      <c r="I42" s="124"/>
      <c r="J42" s="124"/>
      <c r="K42" s="124"/>
      <c r="L42" s="219" t="s">
        <v>975</v>
      </c>
      <c r="M42" s="5"/>
      <c r="N42" s="514">
        <f>IF($C42="","",VLOOKUP($C42,'2017 Pricelist'!$C:$I,7,FALSE))</f>
        <v>89.990000000000009</v>
      </c>
      <c r="O42" s="35"/>
      <c r="P42" s="35">
        <v>5</v>
      </c>
      <c r="Q42" s="33">
        <f>12.8/16</f>
        <v>0.8</v>
      </c>
      <c r="R42" s="33">
        <v>11</v>
      </c>
      <c r="S42" s="33">
        <v>5.2</v>
      </c>
      <c r="T42" s="129">
        <v>2.5</v>
      </c>
      <c r="U42" s="33">
        <v>0.9</v>
      </c>
      <c r="V42" s="33">
        <v>12.6</v>
      </c>
      <c r="W42" s="33">
        <v>7.3</v>
      </c>
      <c r="X42" s="33">
        <v>2.4</v>
      </c>
      <c r="Y42" s="541"/>
      <c r="Z42" s="121"/>
      <c r="AA42" s="121"/>
      <c r="AB42" s="548"/>
      <c r="AC42" s="121"/>
      <c r="AD42" s="121"/>
      <c r="AE42" s="121"/>
      <c r="AF42" s="548"/>
      <c r="AG42" s="121"/>
      <c r="AH42" s="80"/>
      <c r="AI42" s="492"/>
      <c r="AJ42" s="80"/>
      <c r="AK42" s="80"/>
      <c r="AL42" s="80"/>
      <c r="AM42" s="37"/>
      <c r="AN42" s="37"/>
      <c r="AO42" s="37"/>
      <c r="AP42" s="52"/>
      <c r="AQ42" s="37"/>
      <c r="AR42" s="37"/>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row>
    <row r="43" spans="1:265" s="88" customFormat="1" x14ac:dyDescent="0.2">
      <c r="A43" s="18" t="s">
        <v>3732</v>
      </c>
      <c r="B43" s="125"/>
      <c r="C43" s="22" t="s">
        <v>4027</v>
      </c>
      <c r="D43" s="37"/>
      <c r="E43" s="57" t="s">
        <v>4028</v>
      </c>
      <c r="F43" s="18"/>
      <c r="G43" s="18" t="s">
        <v>3897</v>
      </c>
      <c r="H43" s="531" t="s">
        <v>4029</v>
      </c>
      <c r="I43" s="124"/>
      <c r="J43" s="124"/>
      <c r="K43" s="124"/>
      <c r="L43" s="219" t="s">
        <v>975</v>
      </c>
      <c r="M43" s="5"/>
      <c r="N43" s="514">
        <f>IF($C43="","",VLOOKUP($C43,'2017 Pricelist'!$C:$I,7,FALSE))</f>
        <v>5.99</v>
      </c>
      <c r="O43" s="35"/>
      <c r="P43" s="35">
        <v>10</v>
      </c>
      <c r="Q43" s="33">
        <v>0.05</v>
      </c>
      <c r="R43" s="33">
        <v>2.85</v>
      </c>
      <c r="S43" s="33">
        <v>1.38</v>
      </c>
      <c r="T43" s="129">
        <v>1</v>
      </c>
      <c r="U43" s="33">
        <v>0.06</v>
      </c>
      <c r="V43" s="33">
        <v>3.1</v>
      </c>
      <c r="W43" s="33">
        <v>3</v>
      </c>
      <c r="X43" s="33">
        <v>1</v>
      </c>
      <c r="Y43" s="541"/>
      <c r="Z43" s="121"/>
      <c r="AA43" s="121"/>
      <c r="AB43" s="548"/>
      <c r="AC43" s="121"/>
      <c r="AD43" s="121"/>
      <c r="AE43" s="121"/>
      <c r="AF43" s="548"/>
      <c r="AG43" s="121"/>
      <c r="AH43" s="80"/>
      <c r="AI43" s="492"/>
      <c r="AJ43" s="80"/>
      <c r="AK43" s="80"/>
      <c r="AL43" s="80"/>
      <c r="AM43" s="37"/>
      <c r="AN43" s="37"/>
      <c r="AO43" s="37"/>
      <c r="AP43" s="52"/>
      <c r="AQ43" s="37"/>
      <c r="AR43" s="37"/>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row>
    <row r="44" spans="1:265" s="88" customFormat="1" x14ac:dyDescent="0.2">
      <c r="A44" s="18" t="s">
        <v>3732</v>
      </c>
      <c r="B44" s="125"/>
      <c r="C44" s="22" t="s">
        <v>4030</v>
      </c>
      <c r="D44" s="37"/>
      <c r="E44" s="57" t="s">
        <v>4031</v>
      </c>
      <c r="F44" s="18"/>
      <c r="G44" s="18" t="s">
        <v>4032</v>
      </c>
      <c r="H44" s="532">
        <v>855712000424</v>
      </c>
      <c r="I44" s="124"/>
      <c r="J44" s="124"/>
      <c r="K44" s="124"/>
      <c r="L44" s="219" t="s">
        <v>975</v>
      </c>
      <c r="M44" s="5"/>
      <c r="N44" s="514">
        <f>IF($C44="","",VLOOKUP($C44,'2017 Pricelist'!$C:$I,7,FALSE))</f>
        <v>29.990000000000002</v>
      </c>
      <c r="O44" s="35"/>
      <c r="P44" s="35">
        <v>20</v>
      </c>
      <c r="Q44" s="33">
        <f>4.8/16</f>
        <v>0.3</v>
      </c>
      <c r="R44" s="33">
        <v>7.3</v>
      </c>
      <c r="S44" s="33">
        <v>1.6</v>
      </c>
      <c r="T44" s="129">
        <v>2</v>
      </c>
      <c r="U44" s="33">
        <v>0.31</v>
      </c>
      <c r="V44" s="33">
        <v>7.3</v>
      </c>
      <c r="W44" s="33">
        <v>1.6</v>
      </c>
      <c r="X44" s="33">
        <v>2</v>
      </c>
      <c r="Y44" s="541"/>
      <c r="Z44" s="121"/>
      <c r="AA44" s="121"/>
      <c r="AB44" s="548"/>
      <c r="AC44" s="121"/>
      <c r="AD44" s="121"/>
      <c r="AE44" s="121"/>
      <c r="AF44" s="548"/>
      <c r="AG44" s="121"/>
      <c r="AH44" s="80"/>
      <c r="AI44" s="492"/>
      <c r="AJ44" s="80"/>
      <c r="AK44" s="80"/>
      <c r="AL44" s="80"/>
      <c r="AM44" s="37"/>
      <c r="AN44" s="37"/>
      <c r="AO44" s="37"/>
      <c r="AP44" s="52"/>
      <c r="AQ44" s="37"/>
      <c r="AR44" s="37"/>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row>
    <row r="45" spans="1:265" s="88" customFormat="1" x14ac:dyDescent="0.2">
      <c r="A45" s="18" t="s">
        <v>3732</v>
      </c>
      <c r="B45" s="125"/>
      <c r="C45" s="22" t="s">
        <v>4033</v>
      </c>
      <c r="D45" s="37"/>
      <c r="E45" s="57" t="s">
        <v>4034</v>
      </c>
      <c r="F45" s="18"/>
      <c r="G45" s="18" t="s">
        <v>4032</v>
      </c>
      <c r="H45" s="532">
        <v>855712000431</v>
      </c>
      <c r="I45" s="124"/>
      <c r="J45" s="124"/>
      <c r="K45" s="124"/>
      <c r="L45" s="219" t="s">
        <v>975</v>
      </c>
      <c r="M45" s="5"/>
      <c r="N45" s="514">
        <f>IF($C45="","",VLOOKUP($C45,'2017 Pricelist'!$C:$I,7,FALSE))</f>
        <v>54.99</v>
      </c>
      <c r="O45" s="35"/>
      <c r="P45" s="35">
        <v>6</v>
      </c>
      <c r="Q45" s="33">
        <f>7.4/16</f>
        <v>0.46250000000000002</v>
      </c>
      <c r="R45" s="33">
        <v>11.8</v>
      </c>
      <c r="S45" s="33">
        <v>1.6</v>
      </c>
      <c r="T45" s="129">
        <v>2</v>
      </c>
      <c r="U45" s="33">
        <v>0.51</v>
      </c>
      <c r="V45" s="33">
        <v>11.8</v>
      </c>
      <c r="W45" s="33">
        <v>1.6</v>
      </c>
      <c r="X45" s="33">
        <v>2</v>
      </c>
      <c r="Y45" s="541"/>
      <c r="Z45" s="121"/>
      <c r="AA45" s="121"/>
      <c r="AB45" s="548"/>
      <c r="AC45" s="121"/>
      <c r="AD45" s="121"/>
      <c r="AE45" s="121"/>
      <c r="AF45" s="548"/>
      <c r="AG45" s="121"/>
      <c r="AH45" s="80"/>
      <c r="AI45" s="492"/>
      <c r="AJ45" s="80"/>
      <c r="AK45" s="80"/>
      <c r="AL45" s="80"/>
      <c r="AM45" s="37"/>
      <c r="AN45" s="37"/>
      <c r="AO45" s="37"/>
      <c r="AP45" s="52"/>
      <c r="AQ45" s="37"/>
      <c r="AR45" s="37"/>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row>
    <row r="46" spans="1:265" s="88" customFormat="1" x14ac:dyDescent="0.2">
      <c r="A46" s="18" t="s">
        <v>3732</v>
      </c>
      <c r="B46" s="125"/>
      <c r="C46" s="22" t="s">
        <v>4035</v>
      </c>
      <c r="D46" s="37"/>
      <c r="E46" s="57" t="s">
        <v>4036</v>
      </c>
      <c r="F46" s="18"/>
      <c r="G46" s="18" t="s">
        <v>2557</v>
      </c>
      <c r="H46" s="532">
        <v>855712000448</v>
      </c>
      <c r="I46" s="124"/>
      <c r="J46" s="124"/>
      <c r="K46" s="124"/>
      <c r="L46" s="219" t="s">
        <v>975</v>
      </c>
      <c r="M46" s="5"/>
      <c r="N46" s="514">
        <f>IF($C46="","",VLOOKUP($C46,'2017 Pricelist'!$C:$I,7,FALSE))</f>
        <v>69.990000000000009</v>
      </c>
      <c r="O46" s="35"/>
      <c r="P46" s="35">
        <v>6</v>
      </c>
      <c r="Q46" s="33">
        <f>10.1/16</f>
        <v>0.63124999999999998</v>
      </c>
      <c r="R46" s="33">
        <v>11.8</v>
      </c>
      <c r="S46" s="33">
        <v>7.2</v>
      </c>
      <c r="T46" s="129">
        <v>2</v>
      </c>
      <c r="U46" s="33">
        <v>0.68</v>
      </c>
      <c r="V46" s="33">
        <v>12</v>
      </c>
      <c r="W46" s="33">
        <v>2.8</v>
      </c>
      <c r="X46" s="33">
        <v>1.7</v>
      </c>
      <c r="Y46" s="541"/>
      <c r="Z46" s="121"/>
      <c r="AA46" s="121"/>
      <c r="AB46" s="548"/>
      <c r="AC46" s="121"/>
      <c r="AD46" s="121"/>
      <c r="AE46" s="121"/>
      <c r="AF46" s="548"/>
      <c r="AG46" s="121"/>
      <c r="AH46" s="80"/>
      <c r="AI46" s="492"/>
      <c r="AJ46" s="80"/>
      <c r="AK46" s="80"/>
      <c r="AL46" s="80"/>
      <c r="AM46" s="37"/>
      <c r="AN46" s="37"/>
      <c r="AO46" s="37"/>
      <c r="AP46" s="52"/>
      <c r="AQ46" s="37"/>
      <c r="AR46" s="37"/>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row>
    <row r="47" spans="1:265" s="88" customFormat="1" x14ac:dyDescent="0.2">
      <c r="A47" s="18" t="s">
        <v>3732</v>
      </c>
      <c r="B47" s="125"/>
      <c r="C47" s="22" t="s">
        <v>4037</v>
      </c>
      <c r="D47" s="37"/>
      <c r="E47" s="57" t="s">
        <v>4038</v>
      </c>
      <c r="F47" s="18"/>
      <c r="G47" s="18" t="s">
        <v>2557</v>
      </c>
      <c r="H47" s="532">
        <v>814002010208</v>
      </c>
      <c r="I47" s="124"/>
      <c r="J47" s="124"/>
      <c r="K47" s="124"/>
      <c r="L47" s="219" t="s">
        <v>975</v>
      </c>
      <c r="M47" s="5"/>
      <c r="N47" s="514">
        <f>IF($C47="","",VLOOKUP($C47,'2017 Pricelist'!$C:$I,7,FALSE))</f>
        <v>8.99</v>
      </c>
      <c r="O47" s="35"/>
      <c r="P47" s="35">
        <v>1</v>
      </c>
      <c r="Q47" s="33">
        <f>1.3/16</f>
        <v>8.1250000000000003E-2</v>
      </c>
      <c r="R47" s="33">
        <v>4.9000000000000004</v>
      </c>
      <c r="S47" s="33">
        <v>0.94</v>
      </c>
      <c r="T47" s="129">
        <v>0.14000000000000001</v>
      </c>
      <c r="U47" s="33">
        <v>0.1</v>
      </c>
      <c r="V47" s="33">
        <v>5.7</v>
      </c>
      <c r="W47" s="33">
        <v>1.7</v>
      </c>
      <c r="X47" s="33">
        <v>1.2</v>
      </c>
      <c r="Y47" s="541"/>
      <c r="Z47" s="121"/>
      <c r="AA47" s="121"/>
      <c r="AB47" s="548"/>
      <c r="AC47" s="121"/>
      <c r="AD47" s="121"/>
      <c r="AE47" s="121"/>
      <c r="AF47" s="548"/>
      <c r="AG47" s="121"/>
      <c r="AH47" s="80"/>
      <c r="AI47" s="492"/>
      <c r="AJ47" s="80"/>
      <c r="AK47" s="80"/>
      <c r="AL47" s="80"/>
      <c r="AM47" s="37"/>
      <c r="AN47" s="37"/>
      <c r="AO47" s="37"/>
      <c r="AP47" s="52"/>
      <c r="AQ47" s="37"/>
      <c r="AR47" s="37"/>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row>
    <row r="48" spans="1:265" s="88" customFormat="1" ht="15.75" x14ac:dyDescent="0.25">
      <c r="A48" s="902" t="s">
        <v>4039</v>
      </c>
      <c r="B48" s="902"/>
      <c r="C48" s="22"/>
      <c r="D48" s="37"/>
      <c r="E48" s="57"/>
      <c r="F48" s="18"/>
      <c r="G48" s="18"/>
      <c r="H48" s="497"/>
      <c r="I48" s="28"/>
      <c r="J48" s="28"/>
      <c r="K48" s="28"/>
      <c r="L48" s="219"/>
      <c r="M48" s="5"/>
      <c r="N48" s="504"/>
      <c r="O48" s="35"/>
      <c r="P48" s="35"/>
      <c r="Q48" s="33"/>
      <c r="R48" s="33"/>
      <c r="S48" s="33"/>
      <c r="T48" s="129"/>
      <c r="U48" s="33"/>
      <c r="V48" s="33"/>
      <c r="W48" s="33"/>
      <c r="X48" s="33"/>
      <c r="Y48" s="542"/>
      <c r="Z48" s="33"/>
      <c r="AA48" s="33"/>
      <c r="AB48" s="549"/>
      <c r="AC48" s="33"/>
      <c r="AD48" s="33"/>
      <c r="AE48" s="33"/>
      <c r="AF48" s="549"/>
      <c r="AG48" s="33"/>
      <c r="AH48" s="529"/>
      <c r="AI48" s="530"/>
      <c r="AJ48" s="529"/>
      <c r="AK48" s="529"/>
      <c r="AL48" s="80"/>
      <c r="AM48" s="37"/>
      <c r="AN48" s="37"/>
      <c r="AO48" s="37"/>
      <c r="AP48" s="52"/>
      <c r="AQ48" s="37"/>
      <c r="AR48" s="37"/>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row>
    <row r="49" spans="1:265" s="588" customFormat="1" x14ac:dyDescent="0.2">
      <c r="A49" s="364" t="s">
        <v>3732</v>
      </c>
      <c r="B49" s="365"/>
      <c r="C49" s="370" t="s">
        <v>4040</v>
      </c>
      <c r="D49" s="369"/>
      <c r="E49" s="372" t="s">
        <v>4041</v>
      </c>
      <c r="F49" s="364"/>
      <c r="G49" s="364" t="s">
        <v>4042</v>
      </c>
      <c r="H49" s="602">
        <v>814002082288</v>
      </c>
      <c r="I49" s="371"/>
      <c r="J49" s="371"/>
      <c r="K49" s="371"/>
      <c r="L49" s="475" t="s">
        <v>975</v>
      </c>
      <c r="M49" s="367"/>
      <c r="N49" s="516">
        <v>19.989999999999998</v>
      </c>
      <c r="O49" s="368"/>
      <c r="P49" s="368">
        <v>10</v>
      </c>
      <c r="Q49" s="366">
        <f>2/16</f>
        <v>0.125</v>
      </c>
      <c r="R49" s="366">
        <v>2.5</v>
      </c>
      <c r="S49" s="366">
        <v>2.25</v>
      </c>
      <c r="T49" s="603">
        <v>2.1</v>
      </c>
      <c r="U49" s="366">
        <v>0.15</v>
      </c>
      <c r="V49" s="366">
        <v>8.5</v>
      </c>
      <c r="W49" s="366">
        <v>6.4</v>
      </c>
      <c r="X49" s="366">
        <v>0.8</v>
      </c>
      <c r="Y49" s="604"/>
      <c r="Z49" s="366"/>
      <c r="AA49" s="366"/>
      <c r="AB49" s="605"/>
      <c r="AC49" s="366"/>
      <c r="AD49" s="366"/>
      <c r="AE49" s="366"/>
      <c r="AF49" s="605"/>
      <c r="AG49" s="366"/>
      <c r="AH49" s="606"/>
      <c r="AI49" s="607"/>
      <c r="AJ49" s="606"/>
      <c r="AK49" s="606"/>
      <c r="AL49" s="606"/>
      <c r="AM49" s="369"/>
      <c r="AN49" s="369"/>
      <c r="AO49" s="369"/>
      <c r="AP49" s="392"/>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69"/>
      <c r="BR49" s="369"/>
      <c r="BS49" s="369"/>
      <c r="BT49" s="369"/>
      <c r="BU49" s="369"/>
      <c r="BV49" s="369"/>
      <c r="BW49" s="369"/>
      <c r="BX49" s="369"/>
      <c r="BY49" s="369"/>
      <c r="BZ49" s="369"/>
      <c r="CA49" s="369"/>
      <c r="CB49" s="369"/>
      <c r="CC49" s="369"/>
      <c r="CD49" s="369"/>
      <c r="CE49" s="369"/>
      <c r="CF49" s="369"/>
      <c r="CG49" s="369"/>
      <c r="CH49" s="369"/>
      <c r="CI49" s="369"/>
      <c r="CJ49" s="369"/>
      <c r="CK49" s="369"/>
      <c r="CL49" s="369"/>
      <c r="CM49" s="369"/>
      <c r="CN49" s="369"/>
      <c r="CO49" s="369"/>
      <c r="CP49" s="369"/>
      <c r="CQ49" s="369"/>
      <c r="CR49" s="369"/>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69"/>
      <c r="EV49" s="369"/>
      <c r="EW49" s="369"/>
      <c r="EX49" s="369"/>
      <c r="EY49" s="369"/>
      <c r="EZ49" s="369"/>
      <c r="FA49" s="369"/>
      <c r="FB49" s="369"/>
      <c r="FC49" s="369"/>
      <c r="FD49" s="369"/>
      <c r="FE49" s="369"/>
      <c r="FF49" s="369"/>
      <c r="FG49" s="369"/>
      <c r="FH49" s="369"/>
      <c r="FI49" s="369"/>
      <c r="FJ49" s="369"/>
      <c r="FK49" s="369"/>
      <c r="FL49" s="369"/>
      <c r="FM49" s="369"/>
      <c r="FN49" s="369"/>
      <c r="FO49" s="369"/>
      <c r="FP49" s="369"/>
      <c r="FQ49" s="369"/>
      <c r="FR49" s="369"/>
      <c r="FS49" s="369"/>
      <c r="FT49" s="369"/>
      <c r="FU49" s="369"/>
      <c r="FV49" s="369"/>
      <c r="FW49" s="369"/>
      <c r="FX49" s="369"/>
      <c r="FY49" s="369"/>
      <c r="FZ49" s="369"/>
      <c r="GA49" s="369"/>
      <c r="GB49" s="369"/>
      <c r="GC49" s="369"/>
      <c r="GD49" s="369"/>
      <c r="GE49" s="369"/>
      <c r="GF49" s="369"/>
      <c r="GG49" s="369"/>
      <c r="GH49" s="369"/>
      <c r="GI49" s="369"/>
      <c r="GJ49" s="369"/>
      <c r="GK49" s="369"/>
      <c r="GL49" s="369"/>
      <c r="GM49" s="369"/>
      <c r="GN49" s="369"/>
      <c r="GO49" s="369"/>
      <c r="GP49" s="369"/>
      <c r="GQ49" s="369"/>
      <c r="GR49" s="369"/>
      <c r="GS49" s="369"/>
      <c r="GT49" s="369"/>
      <c r="GU49" s="369"/>
      <c r="GV49" s="369"/>
      <c r="GW49" s="369"/>
      <c r="GX49" s="369"/>
      <c r="GY49" s="369"/>
      <c r="GZ49" s="369"/>
      <c r="HA49" s="369"/>
      <c r="HB49" s="369"/>
      <c r="HC49" s="369"/>
      <c r="HD49" s="369"/>
      <c r="HE49" s="369"/>
      <c r="HF49" s="369"/>
      <c r="HG49" s="369"/>
      <c r="HH49" s="369"/>
      <c r="HI49" s="369"/>
      <c r="HJ49" s="369"/>
      <c r="HK49" s="369"/>
      <c r="HL49" s="369"/>
      <c r="HM49" s="369"/>
      <c r="HN49" s="369"/>
      <c r="HO49" s="369"/>
      <c r="HP49" s="369"/>
      <c r="HQ49" s="369"/>
      <c r="HR49" s="369"/>
      <c r="HS49" s="369"/>
      <c r="HT49" s="369"/>
      <c r="HU49" s="369"/>
      <c r="HV49" s="369"/>
      <c r="HW49" s="369"/>
      <c r="HX49" s="369"/>
      <c r="HY49" s="369"/>
      <c r="HZ49" s="369"/>
      <c r="IA49" s="369"/>
      <c r="IB49" s="369"/>
      <c r="IC49" s="369"/>
      <c r="ID49" s="369"/>
      <c r="IE49" s="369"/>
      <c r="IF49" s="369"/>
      <c r="IG49" s="369"/>
      <c r="IH49" s="369"/>
      <c r="II49" s="369"/>
      <c r="IJ49" s="369"/>
      <c r="IK49" s="369"/>
      <c r="IL49" s="369"/>
      <c r="IM49" s="369"/>
      <c r="IN49" s="369"/>
      <c r="IO49" s="369"/>
      <c r="IP49" s="369"/>
      <c r="IQ49" s="369"/>
      <c r="IR49" s="369"/>
      <c r="IS49" s="369"/>
      <c r="IT49" s="369"/>
      <c r="IU49" s="369"/>
      <c r="IV49" s="369"/>
      <c r="IW49" s="369"/>
      <c r="IX49" s="369"/>
      <c r="IY49" s="369"/>
      <c r="IZ49" s="369"/>
      <c r="JA49" s="369"/>
      <c r="JB49" s="369"/>
      <c r="JC49" s="369"/>
      <c r="JD49" s="369"/>
      <c r="JE49" s="369"/>
    </row>
    <row r="50" spans="1:265" s="588" customFormat="1" x14ac:dyDescent="0.2">
      <c r="A50" s="364" t="s">
        <v>3732</v>
      </c>
      <c r="B50" s="365"/>
      <c r="C50" s="370" t="s">
        <v>4043</v>
      </c>
      <c r="D50" s="369"/>
      <c r="E50" s="372" t="s">
        <v>4044</v>
      </c>
      <c r="F50" s="364"/>
      <c r="G50" s="364" t="s">
        <v>4042</v>
      </c>
      <c r="H50" s="602">
        <v>814002011649</v>
      </c>
      <c r="I50" s="371"/>
      <c r="J50" s="371"/>
      <c r="K50" s="371"/>
      <c r="L50" s="475" t="s">
        <v>975</v>
      </c>
      <c r="M50" s="367"/>
      <c r="N50" s="516">
        <v>29.99</v>
      </c>
      <c r="O50" s="368"/>
      <c r="P50" s="368">
        <v>10</v>
      </c>
      <c r="Q50" s="366">
        <f>3.2/16</f>
        <v>0.2</v>
      </c>
      <c r="R50" s="366">
        <v>8.6999999999999993</v>
      </c>
      <c r="S50" s="366">
        <v>6.9</v>
      </c>
      <c r="T50" s="603">
        <v>2</v>
      </c>
      <c r="U50" s="366">
        <v>0.6</v>
      </c>
      <c r="V50" s="366">
        <v>3</v>
      </c>
      <c r="W50" s="366">
        <v>3</v>
      </c>
      <c r="X50" s="366">
        <v>2</v>
      </c>
      <c r="Y50" s="604"/>
      <c r="Z50" s="366"/>
      <c r="AA50" s="366"/>
      <c r="AB50" s="605"/>
      <c r="AC50" s="366"/>
      <c r="AD50" s="366"/>
      <c r="AE50" s="366"/>
      <c r="AF50" s="605"/>
      <c r="AG50" s="366"/>
      <c r="AH50" s="606"/>
      <c r="AI50" s="607"/>
      <c r="AJ50" s="606"/>
      <c r="AK50" s="606"/>
      <c r="AL50" s="606"/>
      <c r="AM50" s="369"/>
      <c r="AN50" s="369"/>
      <c r="AO50" s="369"/>
      <c r="AP50" s="392"/>
      <c r="AQ50" s="369"/>
      <c r="AR50" s="369"/>
      <c r="AS50" s="369"/>
      <c r="AT50" s="369"/>
      <c r="AU50" s="369"/>
      <c r="AV50" s="369"/>
      <c r="AW50" s="369"/>
      <c r="AX50" s="369"/>
      <c r="AY50" s="369"/>
      <c r="AZ50" s="369"/>
      <c r="BA50" s="369"/>
      <c r="BB50" s="369"/>
      <c r="BC50" s="369"/>
      <c r="BD50" s="369"/>
      <c r="BE50" s="369"/>
      <c r="BF50" s="369"/>
      <c r="BG50" s="369"/>
      <c r="BH50" s="369"/>
      <c r="BI50" s="369"/>
      <c r="BJ50" s="369"/>
      <c r="BK50" s="369"/>
      <c r="BL50" s="369"/>
      <c r="BM50" s="369"/>
      <c r="BN50" s="369"/>
      <c r="BO50" s="369"/>
      <c r="BP50" s="369"/>
      <c r="BQ50" s="369"/>
      <c r="BR50" s="369"/>
      <c r="BS50" s="369"/>
      <c r="BT50" s="369"/>
      <c r="BU50" s="369"/>
      <c r="BV50" s="369"/>
      <c r="BW50" s="369"/>
      <c r="BX50" s="369"/>
      <c r="BY50" s="369"/>
      <c r="BZ50" s="369"/>
      <c r="CA50" s="369"/>
      <c r="CB50" s="369"/>
      <c r="CC50" s="369"/>
      <c r="CD50" s="369"/>
      <c r="CE50" s="369"/>
      <c r="CF50" s="369"/>
      <c r="CG50" s="369"/>
      <c r="CH50" s="369"/>
      <c r="CI50" s="369"/>
      <c r="CJ50" s="369"/>
      <c r="CK50" s="369"/>
      <c r="CL50" s="369"/>
      <c r="CM50" s="369"/>
      <c r="CN50" s="369"/>
      <c r="CO50" s="369"/>
      <c r="CP50" s="369"/>
      <c r="CQ50" s="369"/>
      <c r="CR50" s="369"/>
      <c r="CS50" s="369"/>
      <c r="CT50" s="369"/>
      <c r="CU50" s="369"/>
      <c r="CV50" s="369"/>
      <c r="CW50" s="369"/>
      <c r="CX50" s="369"/>
      <c r="CY50" s="369"/>
      <c r="CZ50" s="369"/>
      <c r="DA50" s="369"/>
      <c r="DB50" s="369"/>
      <c r="DC50" s="369"/>
      <c r="DD50" s="369"/>
      <c r="DE50" s="369"/>
      <c r="DF50" s="369"/>
      <c r="DG50" s="369"/>
      <c r="DH50" s="369"/>
      <c r="DI50" s="369"/>
      <c r="DJ50" s="369"/>
      <c r="DK50" s="369"/>
      <c r="DL50" s="369"/>
      <c r="DM50" s="369"/>
      <c r="DN50" s="369"/>
      <c r="DO50" s="369"/>
      <c r="DP50" s="369"/>
      <c r="DQ50" s="369"/>
      <c r="DR50" s="369"/>
      <c r="DS50" s="369"/>
      <c r="DT50" s="369"/>
      <c r="DU50" s="369"/>
      <c r="DV50" s="369"/>
      <c r="DW50" s="369"/>
      <c r="DX50" s="369"/>
      <c r="DY50" s="369"/>
      <c r="DZ50" s="369"/>
      <c r="EA50" s="369"/>
      <c r="EB50" s="369"/>
      <c r="EC50" s="369"/>
      <c r="ED50" s="369"/>
      <c r="EE50" s="369"/>
      <c r="EF50" s="369"/>
      <c r="EG50" s="369"/>
      <c r="EH50" s="369"/>
      <c r="EI50" s="369"/>
      <c r="EJ50" s="369"/>
      <c r="EK50" s="369"/>
      <c r="EL50" s="369"/>
      <c r="EM50" s="369"/>
      <c r="EN50" s="369"/>
      <c r="EO50" s="369"/>
      <c r="EP50" s="369"/>
      <c r="EQ50" s="369"/>
      <c r="ER50" s="369"/>
      <c r="ES50" s="369"/>
      <c r="ET50" s="369"/>
      <c r="EU50" s="369"/>
      <c r="EV50" s="369"/>
      <c r="EW50" s="369"/>
      <c r="EX50" s="369"/>
      <c r="EY50" s="369"/>
      <c r="EZ50" s="369"/>
      <c r="FA50" s="369"/>
      <c r="FB50" s="369"/>
      <c r="FC50" s="369"/>
      <c r="FD50" s="369"/>
      <c r="FE50" s="369"/>
      <c r="FF50" s="369"/>
      <c r="FG50" s="369"/>
      <c r="FH50" s="369"/>
      <c r="FI50" s="369"/>
      <c r="FJ50" s="369"/>
      <c r="FK50" s="369"/>
      <c r="FL50" s="369"/>
      <c r="FM50" s="369"/>
      <c r="FN50" s="369"/>
      <c r="FO50" s="369"/>
      <c r="FP50" s="369"/>
      <c r="FQ50" s="369"/>
      <c r="FR50" s="369"/>
      <c r="FS50" s="369"/>
      <c r="FT50" s="369"/>
      <c r="FU50" s="369"/>
      <c r="FV50" s="369"/>
      <c r="FW50" s="369"/>
      <c r="FX50" s="369"/>
      <c r="FY50" s="369"/>
      <c r="FZ50" s="369"/>
      <c r="GA50" s="369"/>
      <c r="GB50" s="369"/>
      <c r="GC50" s="369"/>
      <c r="GD50" s="369"/>
      <c r="GE50" s="369"/>
      <c r="GF50" s="369"/>
      <c r="GG50" s="369"/>
      <c r="GH50" s="369"/>
      <c r="GI50" s="369"/>
      <c r="GJ50" s="369"/>
      <c r="GK50" s="369"/>
      <c r="GL50" s="369"/>
      <c r="GM50" s="369"/>
      <c r="GN50" s="369"/>
      <c r="GO50" s="369"/>
      <c r="GP50" s="369"/>
      <c r="GQ50" s="369"/>
      <c r="GR50" s="369"/>
      <c r="GS50" s="369"/>
      <c r="GT50" s="369"/>
      <c r="GU50" s="369"/>
      <c r="GV50" s="369"/>
      <c r="GW50" s="369"/>
      <c r="GX50" s="369"/>
      <c r="GY50" s="369"/>
      <c r="GZ50" s="369"/>
      <c r="HA50" s="369"/>
      <c r="HB50" s="369"/>
      <c r="HC50" s="369"/>
      <c r="HD50" s="369"/>
      <c r="HE50" s="369"/>
      <c r="HF50" s="369"/>
      <c r="HG50" s="369"/>
      <c r="HH50" s="369"/>
      <c r="HI50" s="369"/>
      <c r="HJ50" s="369"/>
      <c r="HK50" s="369"/>
      <c r="HL50" s="369"/>
      <c r="HM50" s="369"/>
      <c r="HN50" s="369"/>
      <c r="HO50" s="369"/>
      <c r="HP50" s="369"/>
      <c r="HQ50" s="369"/>
      <c r="HR50" s="369"/>
      <c r="HS50" s="369"/>
      <c r="HT50" s="369"/>
      <c r="HU50" s="369"/>
      <c r="HV50" s="369"/>
      <c r="HW50" s="369"/>
      <c r="HX50" s="369"/>
      <c r="HY50" s="369"/>
      <c r="HZ50" s="369"/>
      <c r="IA50" s="369"/>
      <c r="IB50" s="369"/>
      <c r="IC50" s="369"/>
      <c r="ID50" s="369"/>
      <c r="IE50" s="369"/>
      <c r="IF50" s="369"/>
      <c r="IG50" s="369"/>
      <c r="IH50" s="369"/>
      <c r="II50" s="369"/>
      <c r="IJ50" s="369"/>
      <c r="IK50" s="369"/>
      <c r="IL50" s="369"/>
      <c r="IM50" s="369"/>
      <c r="IN50" s="369"/>
      <c r="IO50" s="369"/>
      <c r="IP50" s="369"/>
      <c r="IQ50" s="369"/>
      <c r="IR50" s="369"/>
      <c r="IS50" s="369"/>
      <c r="IT50" s="369"/>
      <c r="IU50" s="369"/>
      <c r="IV50" s="369"/>
      <c r="IW50" s="369"/>
      <c r="IX50" s="369"/>
      <c r="IY50" s="369"/>
      <c r="IZ50" s="369"/>
      <c r="JA50" s="369"/>
      <c r="JB50" s="369"/>
      <c r="JC50" s="369"/>
      <c r="JD50" s="369"/>
      <c r="JE50" s="369"/>
    </row>
    <row r="51" spans="1:265" s="588" customFormat="1" x14ac:dyDescent="0.2">
      <c r="A51" s="364" t="s">
        <v>3732</v>
      </c>
      <c r="B51" s="365"/>
      <c r="C51" s="370" t="s">
        <v>4045</v>
      </c>
      <c r="D51" s="369"/>
      <c r="E51" s="372" t="s">
        <v>4046</v>
      </c>
      <c r="F51" s="364"/>
      <c r="G51" s="364" t="s">
        <v>4042</v>
      </c>
      <c r="H51" s="602">
        <v>814002011120</v>
      </c>
      <c r="I51" s="371"/>
      <c r="J51" s="371"/>
      <c r="K51" s="371"/>
      <c r="L51" s="475" t="s">
        <v>975</v>
      </c>
      <c r="M51" s="367"/>
      <c r="N51" s="516">
        <v>24.99</v>
      </c>
      <c r="O51" s="368"/>
      <c r="P51" s="368">
        <v>10</v>
      </c>
      <c r="Q51" s="366">
        <f>2.4/16</f>
        <v>0.15</v>
      </c>
      <c r="R51" s="366">
        <v>10</v>
      </c>
      <c r="S51" s="366">
        <v>2.1</v>
      </c>
      <c r="T51" s="603">
        <v>2.6</v>
      </c>
      <c r="U51" s="366">
        <v>0.2</v>
      </c>
      <c r="V51" s="366">
        <v>3</v>
      </c>
      <c r="W51" s="366">
        <v>3</v>
      </c>
      <c r="X51" s="366">
        <v>1.5</v>
      </c>
      <c r="Y51" s="604"/>
      <c r="Z51" s="366"/>
      <c r="AA51" s="366"/>
      <c r="AB51" s="605"/>
      <c r="AC51" s="366"/>
      <c r="AD51" s="366"/>
      <c r="AE51" s="366"/>
      <c r="AF51" s="605"/>
      <c r="AG51" s="366"/>
      <c r="AH51" s="606"/>
      <c r="AI51" s="607"/>
      <c r="AJ51" s="606"/>
      <c r="AK51" s="606"/>
      <c r="AL51" s="606"/>
      <c r="AM51" s="369"/>
      <c r="AN51" s="369"/>
      <c r="AO51" s="369"/>
      <c r="AP51" s="392"/>
      <c r="AQ51" s="369"/>
      <c r="AR51" s="369"/>
      <c r="AS51" s="369"/>
      <c r="AT51" s="369"/>
      <c r="AU51" s="369"/>
      <c r="AV51" s="369"/>
      <c r="AW51" s="369"/>
      <c r="AX51" s="369"/>
      <c r="AY51" s="369"/>
      <c r="AZ51" s="369"/>
      <c r="BA51" s="369"/>
      <c r="BB51" s="369"/>
      <c r="BC51" s="369"/>
      <c r="BD51" s="369"/>
      <c r="BE51" s="369"/>
      <c r="BF51" s="369"/>
      <c r="BG51" s="369"/>
      <c r="BH51" s="369"/>
      <c r="BI51" s="369"/>
      <c r="BJ51" s="369"/>
      <c r="BK51" s="369"/>
      <c r="BL51" s="369"/>
      <c r="BM51" s="369"/>
      <c r="BN51" s="369"/>
      <c r="BO51" s="369"/>
      <c r="BP51" s="369"/>
      <c r="BQ51" s="369"/>
      <c r="BR51" s="369"/>
      <c r="BS51" s="369"/>
      <c r="BT51" s="369"/>
      <c r="BU51" s="369"/>
      <c r="BV51" s="369"/>
      <c r="BW51" s="369"/>
      <c r="BX51" s="369"/>
      <c r="BY51" s="369"/>
      <c r="BZ51" s="369"/>
      <c r="CA51" s="369"/>
      <c r="CB51" s="369"/>
      <c r="CC51" s="369"/>
      <c r="CD51" s="369"/>
      <c r="CE51" s="369"/>
      <c r="CF51" s="369"/>
      <c r="CG51" s="369"/>
      <c r="CH51" s="369"/>
      <c r="CI51" s="369"/>
      <c r="CJ51" s="369"/>
      <c r="CK51" s="369"/>
      <c r="CL51" s="369"/>
      <c r="CM51" s="369"/>
      <c r="CN51" s="369"/>
      <c r="CO51" s="369"/>
      <c r="CP51" s="369"/>
      <c r="CQ51" s="369"/>
      <c r="CR51" s="369"/>
      <c r="CS51" s="369"/>
      <c r="CT51" s="369"/>
      <c r="CU51" s="369"/>
      <c r="CV51" s="369"/>
      <c r="CW51" s="369"/>
      <c r="CX51" s="369"/>
      <c r="CY51" s="369"/>
      <c r="CZ51" s="369"/>
      <c r="DA51" s="369"/>
      <c r="DB51" s="369"/>
      <c r="DC51" s="369"/>
      <c r="DD51" s="369"/>
      <c r="DE51" s="369"/>
      <c r="DF51" s="369"/>
      <c r="DG51" s="369"/>
      <c r="DH51" s="369"/>
      <c r="DI51" s="369"/>
      <c r="DJ51" s="369"/>
      <c r="DK51" s="369"/>
      <c r="DL51" s="369"/>
      <c r="DM51" s="369"/>
      <c r="DN51" s="369"/>
      <c r="DO51" s="369"/>
      <c r="DP51" s="369"/>
      <c r="DQ51" s="369"/>
      <c r="DR51" s="369"/>
      <c r="DS51" s="369"/>
      <c r="DT51" s="369"/>
      <c r="DU51" s="369"/>
      <c r="DV51" s="369"/>
      <c r="DW51" s="369"/>
      <c r="DX51" s="369"/>
      <c r="DY51" s="369"/>
      <c r="DZ51" s="369"/>
      <c r="EA51" s="369"/>
      <c r="EB51" s="369"/>
      <c r="EC51" s="369"/>
      <c r="ED51" s="369"/>
      <c r="EE51" s="369"/>
      <c r="EF51" s="369"/>
      <c r="EG51" s="369"/>
      <c r="EH51" s="369"/>
      <c r="EI51" s="369"/>
      <c r="EJ51" s="369"/>
      <c r="EK51" s="369"/>
      <c r="EL51" s="369"/>
      <c r="EM51" s="369"/>
      <c r="EN51" s="369"/>
      <c r="EO51" s="369"/>
      <c r="EP51" s="369"/>
      <c r="EQ51" s="369"/>
      <c r="ER51" s="369"/>
      <c r="ES51" s="369"/>
      <c r="ET51" s="369"/>
      <c r="EU51" s="369"/>
      <c r="EV51" s="369"/>
      <c r="EW51" s="369"/>
      <c r="EX51" s="369"/>
      <c r="EY51" s="369"/>
      <c r="EZ51" s="369"/>
      <c r="FA51" s="369"/>
      <c r="FB51" s="369"/>
      <c r="FC51" s="369"/>
      <c r="FD51" s="369"/>
      <c r="FE51" s="369"/>
      <c r="FF51" s="369"/>
      <c r="FG51" s="369"/>
      <c r="FH51" s="369"/>
      <c r="FI51" s="369"/>
      <c r="FJ51" s="369"/>
      <c r="FK51" s="369"/>
      <c r="FL51" s="369"/>
      <c r="FM51" s="369"/>
      <c r="FN51" s="369"/>
      <c r="FO51" s="369"/>
      <c r="FP51" s="369"/>
      <c r="FQ51" s="369"/>
      <c r="FR51" s="369"/>
      <c r="FS51" s="369"/>
      <c r="FT51" s="369"/>
      <c r="FU51" s="369"/>
      <c r="FV51" s="369"/>
      <c r="FW51" s="369"/>
      <c r="FX51" s="369"/>
      <c r="FY51" s="369"/>
      <c r="FZ51" s="369"/>
      <c r="GA51" s="369"/>
      <c r="GB51" s="369"/>
      <c r="GC51" s="369"/>
      <c r="GD51" s="369"/>
      <c r="GE51" s="369"/>
      <c r="GF51" s="369"/>
      <c r="GG51" s="369"/>
      <c r="GH51" s="369"/>
      <c r="GI51" s="369"/>
      <c r="GJ51" s="369"/>
      <c r="GK51" s="369"/>
      <c r="GL51" s="369"/>
      <c r="GM51" s="369"/>
      <c r="GN51" s="369"/>
      <c r="GO51" s="369"/>
      <c r="GP51" s="369"/>
      <c r="GQ51" s="369"/>
      <c r="GR51" s="369"/>
      <c r="GS51" s="369"/>
      <c r="GT51" s="369"/>
      <c r="GU51" s="369"/>
      <c r="GV51" s="369"/>
      <c r="GW51" s="369"/>
      <c r="GX51" s="369"/>
      <c r="GY51" s="369"/>
      <c r="GZ51" s="369"/>
      <c r="HA51" s="369"/>
      <c r="HB51" s="369"/>
      <c r="HC51" s="369"/>
      <c r="HD51" s="369"/>
      <c r="HE51" s="369"/>
      <c r="HF51" s="369"/>
      <c r="HG51" s="369"/>
      <c r="HH51" s="369"/>
      <c r="HI51" s="369"/>
      <c r="HJ51" s="369"/>
      <c r="HK51" s="369"/>
      <c r="HL51" s="369"/>
      <c r="HM51" s="369"/>
      <c r="HN51" s="369"/>
      <c r="HO51" s="369"/>
      <c r="HP51" s="369"/>
      <c r="HQ51" s="369"/>
      <c r="HR51" s="369"/>
      <c r="HS51" s="369"/>
      <c r="HT51" s="369"/>
      <c r="HU51" s="369"/>
      <c r="HV51" s="369"/>
      <c r="HW51" s="369"/>
      <c r="HX51" s="369"/>
      <c r="HY51" s="369"/>
      <c r="HZ51" s="369"/>
      <c r="IA51" s="369"/>
      <c r="IB51" s="369"/>
      <c r="IC51" s="369"/>
      <c r="ID51" s="369"/>
      <c r="IE51" s="369"/>
      <c r="IF51" s="369"/>
      <c r="IG51" s="369"/>
      <c r="IH51" s="369"/>
      <c r="II51" s="369"/>
      <c r="IJ51" s="369"/>
      <c r="IK51" s="369"/>
      <c r="IL51" s="369"/>
      <c r="IM51" s="369"/>
      <c r="IN51" s="369"/>
      <c r="IO51" s="369"/>
      <c r="IP51" s="369"/>
      <c r="IQ51" s="369"/>
      <c r="IR51" s="369"/>
      <c r="IS51" s="369"/>
      <c r="IT51" s="369"/>
      <c r="IU51" s="369"/>
      <c r="IV51" s="369"/>
      <c r="IW51" s="369"/>
      <c r="IX51" s="369"/>
      <c r="IY51" s="369"/>
      <c r="IZ51" s="369"/>
      <c r="JA51" s="369"/>
      <c r="JB51" s="369"/>
      <c r="JC51" s="369"/>
      <c r="JD51" s="369"/>
      <c r="JE51" s="369"/>
    </row>
    <row r="52" spans="1:265" s="588" customFormat="1" x14ac:dyDescent="0.2">
      <c r="A52" s="364" t="s">
        <v>3732</v>
      </c>
      <c r="B52" s="365"/>
      <c r="C52" s="370" t="s">
        <v>4047</v>
      </c>
      <c r="D52" s="369"/>
      <c r="E52" s="372" t="s">
        <v>4048</v>
      </c>
      <c r="F52" s="364"/>
      <c r="G52" s="364" t="s">
        <v>4042</v>
      </c>
      <c r="H52" s="602">
        <v>814002011151</v>
      </c>
      <c r="I52" s="371"/>
      <c r="J52" s="371"/>
      <c r="K52" s="371"/>
      <c r="L52" s="475" t="s">
        <v>975</v>
      </c>
      <c r="M52" s="367"/>
      <c r="N52" s="516"/>
      <c r="O52" s="368"/>
      <c r="P52" s="368">
        <v>10</v>
      </c>
      <c r="Q52" s="366">
        <f>1.6/16</f>
        <v>0.1</v>
      </c>
      <c r="R52" s="366">
        <v>2.2000000000000002</v>
      </c>
      <c r="S52" s="366">
        <v>1.8</v>
      </c>
      <c r="T52" s="603">
        <v>2.25</v>
      </c>
      <c r="U52" s="366">
        <v>0.1</v>
      </c>
      <c r="V52" s="366">
        <v>5.5</v>
      </c>
      <c r="W52" s="366">
        <v>4.7</v>
      </c>
      <c r="X52" s="366">
        <v>1.2</v>
      </c>
      <c r="Y52" s="604"/>
      <c r="Z52" s="366"/>
      <c r="AA52" s="366"/>
      <c r="AB52" s="605"/>
      <c r="AC52" s="366"/>
      <c r="AD52" s="366"/>
      <c r="AE52" s="366"/>
      <c r="AF52" s="605"/>
      <c r="AG52" s="366"/>
      <c r="AH52" s="606"/>
      <c r="AI52" s="607"/>
      <c r="AJ52" s="606"/>
      <c r="AK52" s="606"/>
      <c r="AL52" s="606"/>
      <c r="AM52" s="369"/>
      <c r="AN52" s="369"/>
      <c r="AO52" s="369"/>
      <c r="AP52" s="392"/>
      <c r="AQ52" s="369"/>
      <c r="AR52" s="369"/>
      <c r="AS52" s="369"/>
      <c r="AT52" s="369"/>
      <c r="AU52" s="369"/>
      <c r="AV52" s="369"/>
      <c r="AW52" s="369"/>
      <c r="AX52" s="369"/>
      <c r="AY52" s="369"/>
      <c r="AZ52" s="369"/>
      <c r="BA52" s="369"/>
      <c r="BB52" s="369"/>
      <c r="BC52" s="369"/>
      <c r="BD52" s="369"/>
      <c r="BE52" s="369"/>
      <c r="BF52" s="369"/>
      <c r="BG52" s="369"/>
      <c r="BH52" s="369"/>
      <c r="BI52" s="369"/>
      <c r="BJ52" s="369"/>
      <c r="BK52" s="369"/>
      <c r="BL52" s="369"/>
      <c r="BM52" s="369"/>
      <c r="BN52" s="369"/>
      <c r="BO52" s="369"/>
      <c r="BP52" s="369"/>
      <c r="BQ52" s="369"/>
      <c r="BR52" s="369"/>
      <c r="BS52" s="369"/>
      <c r="BT52" s="369"/>
      <c r="BU52" s="369"/>
      <c r="BV52" s="369"/>
      <c r="BW52" s="369"/>
      <c r="BX52" s="369"/>
      <c r="BY52" s="369"/>
      <c r="BZ52" s="369"/>
      <c r="CA52" s="369"/>
      <c r="CB52" s="369"/>
      <c r="CC52" s="369"/>
      <c r="CD52" s="369"/>
      <c r="CE52" s="369"/>
      <c r="CF52" s="369"/>
      <c r="CG52" s="369"/>
      <c r="CH52" s="369"/>
      <c r="CI52" s="369"/>
      <c r="CJ52" s="369"/>
      <c r="CK52" s="369"/>
      <c r="CL52" s="369"/>
      <c r="CM52" s="369"/>
      <c r="CN52" s="369"/>
      <c r="CO52" s="369"/>
      <c r="CP52" s="369"/>
      <c r="CQ52" s="369"/>
      <c r="CR52" s="369"/>
      <c r="CS52" s="369"/>
      <c r="CT52" s="369"/>
      <c r="CU52" s="369"/>
      <c r="CV52" s="369"/>
      <c r="CW52" s="369"/>
      <c r="CX52" s="369"/>
      <c r="CY52" s="369"/>
      <c r="CZ52" s="369"/>
      <c r="DA52" s="369"/>
      <c r="DB52" s="369"/>
      <c r="DC52" s="369"/>
      <c r="DD52" s="369"/>
      <c r="DE52" s="369"/>
      <c r="DF52" s="369"/>
      <c r="DG52" s="369"/>
      <c r="DH52" s="369"/>
      <c r="DI52" s="369"/>
      <c r="DJ52" s="369"/>
      <c r="DK52" s="369"/>
      <c r="DL52" s="369"/>
      <c r="DM52" s="369"/>
      <c r="DN52" s="369"/>
      <c r="DO52" s="369"/>
      <c r="DP52" s="369"/>
      <c r="DQ52" s="369"/>
      <c r="DR52" s="369"/>
      <c r="DS52" s="369"/>
      <c r="DT52" s="369"/>
      <c r="DU52" s="369"/>
      <c r="DV52" s="369"/>
      <c r="DW52" s="369"/>
      <c r="DX52" s="369"/>
      <c r="DY52" s="369"/>
      <c r="DZ52" s="369"/>
      <c r="EA52" s="369"/>
      <c r="EB52" s="369"/>
      <c r="EC52" s="369"/>
      <c r="ED52" s="369"/>
      <c r="EE52" s="369"/>
      <c r="EF52" s="369"/>
      <c r="EG52" s="369"/>
      <c r="EH52" s="369"/>
      <c r="EI52" s="369"/>
      <c r="EJ52" s="369"/>
      <c r="EK52" s="369"/>
      <c r="EL52" s="369"/>
      <c r="EM52" s="369"/>
      <c r="EN52" s="369"/>
      <c r="EO52" s="369"/>
      <c r="EP52" s="369"/>
      <c r="EQ52" s="369"/>
      <c r="ER52" s="369"/>
      <c r="ES52" s="369"/>
      <c r="ET52" s="369"/>
      <c r="EU52" s="369"/>
      <c r="EV52" s="369"/>
      <c r="EW52" s="369"/>
      <c r="EX52" s="369"/>
      <c r="EY52" s="369"/>
      <c r="EZ52" s="369"/>
      <c r="FA52" s="369"/>
      <c r="FB52" s="369"/>
      <c r="FC52" s="369"/>
      <c r="FD52" s="369"/>
      <c r="FE52" s="369"/>
      <c r="FF52" s="369"/>
      <c r="FG52" s="369"/>
      <c r="FH52" s="369"/>
      <c r="FI52" s="369"/>
      <c r="FJ52" s="369"/>
      <c r="FK52" s="369"/>
      <c r="FL52" s="369"/>
      <c r="FM52" s="369"/>
      <c r="FN52" s="369"/>
      <c r="FO52" s="369"/>
      <c r="FP52" s="369"/>
      <c r="FQ52" s="369"/>
      <c r="FR52" s="369"/>
      <c r="FS52" s="369"/>
      <c r="FT52" s="369"/>
      <c r="FU52" s="369"/>
      <c r="FV52" s="369"/>
      <c r="FW52" s="369"/>
      <c r="FX52" s="369"/>
      <c r="FY52" s="369"/>
      <c r="FZ52" s="369"/>
      <c r="GA52" s="369"/>
      <c r="GB52" s="369"/>
      <c r="GC52" s="369"/>
      <c r="GD52" s="369"/>
      <c r="GE52" s="369"/>
      <c r="GF52" s="369"/>
      <c r="GG52" s="369"/>
      <c r="GH52" s="369"/>
      <c r="GI52" s="369"/>
      <c r="GJ52" s="369"/>
      <c r="GK52" s="369"/>
      <c r="GL52" s="369"/>
      <c r="GM52" s="369"/>
      <c r="GN52" s="369"/>
      <c r="GO52" s="369"/>
      <c r="GP52" s="369"/>
      <c r="GQ52" s="369"/>
      <c r="GR52" s="369"/>
      <c r="GS52" s="369"/>
      <c r="GT52" s="369"/>
      <c r="GU52" s="369"/>
      <c r="GV52" s="369"/>
      <c r="GW52" s="369"/>
      <c r="GX52" s="369"/>
      <c r="GY52" s="369"/>
      <c r="GZ52" s="369"/>
      <c r="HA52" s="369"/>
      <c r="HB52" s="369"/>
      <c r="HC52" s="369"/>
      <c r="HD52" s="369"/>
      <c r="HE52" s="369"/>
      <c r="HF52" s="369"/>
      <c r="HG52" s="369"/>
      <c r="HH52" s="369"/>
      <c r="HI52" s="369"/>
      <c r="HJ52" s="369"/>
      <c r="HK52" s="369"/>
      <c r="HL52" s="369"/>
      <c r="HM52" s="369"/>
      <c r="HN52" s="369"/>
      <c r="HO52" s="369"/>
      <c r="HP52" s="369"/>
      <c r="HQ52" s="369"/>
      <c r="HR52" s="369"/>
      <c r="HS52" s="369"/>
      <c r="HT52" s="369"/>
      <c r="HU52" s="369"/>
      <c r="HV52" s="369"/>
      <c r="HW52" s="369"/>
      <c r="HX52" s="369"/>
      <c r="HY52" s="369"/>
      <c r="HZ52" s="369"/>
      <c r="IA52" s="369"/>
      <c r="IB52" s="369"/>
      <c r="IC52" s="369"/>
      <c r="ID52" s="369"/>
      <c r="IE52" s="369"/>
      <c r="IF52" s="369"/>
      <c r="IG52" s="369"/>
      <c r="IH52" s="369"/>
      <c r="II52" s="369"/>
      <c r="IJ52" s="369"/>
      <c r="IK52" s="369"/>
      <c r="IL52" s="369"/>
      <c r="IM52" s="369"/>
      <c r="IN52" s="369"/>
      <c r="IO52" s="369"/>
      <c r="IP52" s="369"/>
      <c r="IQ52" s="369"/>
      <c r="IR52" s="369"/>
      <c r="IS52" s="369"/>
      <c r="IT52" s="369"/>
      <c r="IU52" s="369"/>
      <c r="IV52" s="369"/>
      <c r="IW52" s="369"/>
      <c r="IX52" s="369"/>
      <c r="IY52" s="369"/>
      <c r="IZ52" s="369"/>
      <c r="JA52" s="369"/>
      <c r="JB52" s="369"/>
      <c r="JC52" s="369"/>
      <c r="JD52" s="369"/>
      <c r="JE52" s="369"/>
    </row>
    <row r="53" spans="1:265" s="588" customFormat="1" x14ac:dyDescent="0.2">
      <c r="A53" s="364" t="s">
        <v>3732</v>
      </c>
      <c r="B53" s="365"/>
      <c r="C53" s="370" t="s">
        <v>4049</v>
      </c>
      <c r="D53" s="369"/>
      <c r="E53" s="372" t="s">
        <v>4050</v>
      </c>
      <c r="F53" s="364"/>
      <c r="G53" s="364" t="s">
        <v>4042</v>
      </c>
      <c r="H53" s="602">
        <v>814002011441</v>
      </c>
      <c r="I53" s="371"/>
      <c r="J53" s="371"/>
      <c r="K53" s="371"/>
      <c r="L53" s="475" t="s">
        <v>975</v>
      </c>
      <c r="M53" s="367"/>
      <c r="N53" s="516">
        <v>24.99</v>
      </c>
      <c r="O53" s="368"/>
      <c r="P53" s="368">
        <v>10</v>
      </c>
      <c r="Q53" s="366">
        <v>0.1</v>
      </c>
      <c r="R53" s="366">
        <v>3.1</v>
      </c>
      <c r="S53" s="366">
        <v>2</v>
      </c>
      <c r="T53" s="603">
        <v>1.25</v>
      </c>
      <c r="U53" s="366">
        <v>0.1</v>
      </c>
      <c r="V53" s="366">
        <v>2.9</v>
      </c>
      <c r="W53" s="366">
        <v>2</v>
      </c>
      <c r="X53" s="366">
        <v>1.9</v>
      </c>
      <c r="Y53" s="604"/>
      <c r="Z53" s="366"/>
      <c r="AA53" s="366"/>
      <c r="AB53" s="605"/>
      <c r="AC53" s="366"/>
      <c r="AD53" s="366"/>
      <c r="AE53" s="366"/>
      <c r="AF53" s="605"/>
      <c r="AG53" s="366"/>
      <c r="AH53" s="606"/>
      <c r="AI53" s="607"/>
      <c r="AJ53" s="606"/>
      <c r="AK53" s="606"/>
      <c r="AL53" s="606"/>
      <c r="AM53" s="369"/>
      <c r="AN53" s="369"/>
      <c r="AO53" s="369"/>
      <c r="AP53" s="392"/>
      <c r="AQ53" s="369"/>
      <c r="AR53" s="369"/>
      <c r="AS53" s="369"/>
      <c r="AT53" s="369"/>
      <c r="AU53" s="369"/>
      <c r="AV53" s="369"/>
      <c r="AW53" s="369"/>
      <c r="AX53" s="369"/>
      <c r="AY53" s="369"/>
      <c r="AZ53" s="369"/>
      <c r="BA53" s="369"/>
      <c r="BB53" s="369"/>
      <c r="BC53" s="369"/>
      <c r="BD53" s="369"/>
      <c r="BE53" s="369"/>
      <c r="BF53" s="369"/>
      <c r="BG53" s="369"/>
      <c r="BH53" s="369"/>
      <c r="BI53" s="369"/>
      <c r="BJ53" s="369"/>
      <c r="BK53" s="369"/>
      <c r="BL53" s="369"/>
      <c r="BM53" s="369"/>
      <c r="BN53" s="369"/>
      <c r="BO53" s="369"/>
      <c r="BP53" s="369"/>
      <c r="BQ53" s="369"/>
      <c r="BR53" s="369"/>
      <c r="BS53" s="369"/>
      <c r="BT53" s="369"/>
      <c r="BU53" s="369"/>
      <c r="BV53" s="369"/>
      <c r="BW53" s="369"/>
      <c r="BX53" s="369"/>
      <c r="BY53" s="369"/>
      <c r="BZ53" s="369"/>
      <c r="CA53" s="369"/>
      <c r="CB53" s="369"/>
      <c r="CC53" s="369"/>
      <c r="CD53" s="369"/>
      <c r="CE53" s="369"/>
      <c r="CF53" s="369"/>
      <c r="CG53" s="369"/>
      <c r="CH53" s="369"/>
      <c r="CI53" s="369"/>
      <c r="CJ53" s="369"/>
      <c r="CK53" s="369"/>
      <c r="CL53" s="369"/>
      <c r="CM53" s="369"/>
      <c r="CN53" s="369"/>
      <c r="CO53" s="369"/>
      <c r="CP53" s="369"/>
      <c r="CQ53" s="369"/>
      <c r="CR53" s="369"/>
      <c r="CS53" s="369"/>
      <c r="CT53" s="369"/>
      <c r="CU53" s="369"/>
      <c r="CV53" s="369"/>
      <c r="CW53" s="369"/>
      <c r="CX53" s="369"/>
      <c r="CY53" s="369"/>
      <c r="CZ53" s="369"/>
      <c r="DA53" s="369"/>
      <c r="DB53" s="369"/>
      <c r="DC53" s="369"/>
      <c r="DD53" s="369"/>
      <c r="DE53" s="369"/>
      <c r="DF53" s="369"/>
      <c r="DG53" s="369"/>
      <c r="DH53" s="369"/>
      <c r="DI53" s="369"/>
      <c r="DJ53" s="369"/>
      <c r="DK53" s="369"/>
      <c r="DL53" s="369"/>
      <c r="DM53" s="369"/>
      <c r="DN53" s="369"/>
      <c r="DO53" s="369"/>
      <c r="DP53" s="369"/>
      <c r="DQ53" s="369"/>
      <c r="DR53" s="369"/>
      <c r="DS53" s="369"/>
      <c r="DT53" s="369"/>
      <c r="DU53" s="369"/>
      <c r="DV53" s="369"/>
      <c r="DW53" s="369"/>
      <c r="DX53" s="369"/>
      <c r="DY53" s="369"/>
      <c r="DZ53" s="369"/>
      <c r="EA53" s="369"/>
      <c r="EB53" s="369"/>
      <c r="EC53" s="369"/>
      <c r="ED53" s="369"/>
      <c r="EE53" s="369"/>
      <c r="EF53" s="369"/>
      <c r="EG53" s="369"/>
      <c r="EH53" s="369"/>
      <c r="EI53" s="369"/>
      <c r="EJ53" s="369"/>
      <c r="EK53" s="369"/>
      <c r="EL53" s="369"/>
      <c r="EM53" s="369"/>
      <c r="EN53" s="369"/>
      <c r="EO53" s="369"/>
      <c r="EP53" s="369"/>
      <c r="EQ53" s="369"/>
      <c r="ER53" s="369"/>
      <c r="ES53" s="369"/>
      <c r="ET53" s="369"/>
      <c r="EU53" s="369"/>
      <c r="EV53" s="369"/>
      <c r="EW53" s="369"/>
      <c r="EX53" s="369"/>
      <c r="EY53" s="369"/>
      <c r="EZ53" s="369"/>
      <c r="FA53" s="369"/>
      <c r="FB53" s="369"/>
      <c r="FC53" s="369"/>
      <c r="FD53" s="369"/>
      <c r="FE53" s="369"/>
      <c r="FF53" s="369"/>
      <c r="FG53" s="369"/>
      <c r="FH53" s="369"/>
      <c r="FI53" s="369"/>
      <c r="FJ53" s="369"/>
      <c r="FK53" s="369"/>
      <c r="FL53" s="369"/>
      <c r="FM53" s="369"/>
      <c r="FN53" s="369"/>
      <c r="FO53" s="369"/>
      <c r="FP53" s="369"/>
      <c r="FQ53" s="369"/>
      <c r="FR53" s="369"/>
      <c r="FS53" s="369"/>
      <c r="FT53" s="369"/>
      <c r="FU53" s="369"/>
      <c r="FV53" s="369"/>
      <c r="FW53" s="369"/>
      <c r="FX53" s="369"/>
      <c r="FY53" s="369"/>
      <c r="FZ53" s="369"/>
      <c r="GA53" s="369"/>
      <c r="GB53" s="369"/>
      <c r="GC53" s="369"/>
      <c r="GD53" s="369"/>
      <c r="GE53" s="369"/>
      <c r="GF53" s="369"/>
      <c r="GG53" s="369"/>
      <c r="GH53" s="369"/>
      <c r="GI53" s="369"/>
      <c r="GJ53" s="369"/>
      <c r="GK53" s="369"/>
      <c r="GL53" s="369"/>
      <c r="GM53" s="369"/>
      <c r="GN53" s="369"/>
      <c r="GO53" s="369"/>
      <c r="GP53" s="369"/>
      <c r="GQ53" s="369"/>
      <c r="GR53" s="369"/>
      <c r="GS53" s="369"/>
      <c r="GT53" s="369"/>
      <c r="GU53" s="369"/>
      <c r="GV53" s="369"/>
      <c r="GW53" s="369"/>
      <c r="GX53" s="369"/>
      <c r="GY53" s="369"/>
      <c r="GZ53" s="369"/>
      <c r="HA53" s="369"/>
      <c r="HB53" s="369"/>
      <c r="HC53" s="369"/>
      <c r="HD53" s="369"/>
      <c r="HE53" s="369"/>
      <c r="HF53" s="369"/>
      <c r="HG53" s="369"/>
      <c r="HH53" s="369"/>
      <c r="HI53" s="369"/>
      <c r="HJ53" s="369"/>
      <c r="HK53" s="369"/>
      <c r="HL53" s="369"/>
      <c r="HM53" s="369"/>
      <c r="HN53" s="369"/>
      <c r="HO53" s="369"/>
      <c r="HP53" s="369"/>
      <c r="HQ53" s="369"/>
      <c r="HR53" s="369"/>
      <c r="HS53" s="369"/>
      <c r="HT53" s="369"/>
      <c r="HU53" s="369"/>
      <c r="HV53" s="369"/>
      <c r="HW53" s="369"/>
      <c r="HX53" s="369"/>
      <c r="HY53" s="369"/>
      <c r="HZ53" s="369"/>
      <c r="IA53" s="369"/>
      <c r="IB53" s="369"/>
      <c r="IC53" s="369"/>
      <c r="ID53" s="369"/>
      <c r="IE53" s="369"/>
      <c r="IF53" s="369"/>
      <c r="IG53" s="369"/>
      <c r="IH53" s="369"/>
      <c r="II53" s="369"/>
      <c r="IJ53" s="369"/>
      <c r="IK53" s="369"/>
      <c r="IL53" s="369"/>
      <c r="IM53" s="369"/>
      <c r="IN53" s="369"/>
      <c r="IO53" s="369"/>
      <c r="IP53" s="369"/>
      <c r="IQ53" s="369"/>
      <c r="IR53" s="369"/>
      <c r="IS53" s="369"/>
      <c r="IT53" s="369"/>
      <c r="IU53" s="369"/>
      <c r="IV53" s="369"/>
      <c r="IW53" s="369"/>
      <c r="IX53" s="369"/>
      <c r="IY53" s="369"/>
      <c r="IZ53" s="369"/>
      <c r="JA53" s="369"/>
      <c r="JB53" s="369"/>
      <c r="JC53" s="369"/>
      <c r="JD53" s="369"/>
      <c r="JE53" s="369"/>
    </row>
    <row r="54" spans="1:265" s="588" customFormat="1" x14ac:dyDescent="0.2">
      <c r="A54" s="364" t="s">
        <v>3732</v>
      </c>
      <c r="B54" s="365"/>
      <c r="C54" s="370" t="s">
        <v>4051</v>
      </c>
      <c r="D54" s="369"/>
      <c r="E54" s="372" t="s">
        <v>4052</v>
      </c>
      <c r="F54" s="364"/>
      <c r="G54" s="364" t="s">
        <v>4042</v>
      </c>
      <c r="H54" s="602">
        <v>814002011182</v>
      </c>
      <c r="I54" s="371"/>
      <c r="J54" s="371"/>
      <c r="K54" s="371"/>
      <c r="L54" s="475" t="s">
        <v>975</v>
      </c>
      <c r="M54" s="367"/>
      <c r="N54" s="516">
        <v>16.989999999999998</v>
      </c>
      <c r="O54" s="368"/>
      <c r="P54" s="368">
        <v>10</v>
      </c>
      <c r="Q54" s="366">
        <f>1.6/16</f>
        <v>0.1</v>
      </c>
      <c r="R54" s="366">
        <v>3.5</v>
      </c>
      <c r="S54" s="366">
        <v>2</v>
      </c>
      <c r="T54" s="603">
        <v>1.3</v>
      </c>
      <c r="U54" s="366">
        <v>0.08</v>
      </c>
      <c r="V54" s="366">
        <v>3.5</v>
      </c>
      <c r="W54" s="366">
        <v>6.5</v>
      </c>
      <c r="X54" s="366">
        <v>1</v>
      </c>
      <c r="Y54" s="604"/>
      <c r="Z54" s="366"/>
      <c r="AA54" s="366"/>
      <c r="AB54" s="605"/>
      <c r="AC54" s="366"/>
      <c r="AD54" s="366"/>
      <c r="AE54" s="366"/>
      <c r="AF54" s="605"/>
      <c r="AG54" s="366"/>
      <c r="AH54" s="606"/>
      <c r="AI54" s="607"/>
      <c r="AJ54" s="606"/>
      <c r="AK54" s="606"/>
      <c r="AL54" s="606"/>
      <c r="AM54" s="369"/>
      <c r="AN54" s="369"/>
      <c r="AO54" s="369"/>
      <c r="AP54" s="392"/>
      <c r="AQ54" s="369"/>
      <c r="AR54" s="369"/>
      <c r="AS54" s="369"/>
      <c r="AT54" s="369"/>
      <c r="AU54" s="369"/>
      <c r="AV54" s="369"/>
      <c r="AW54" s="369"/>
      <c r="AX54" s="369"/>
      <c r="AY54" s="369"/>
      <c r="AZ54" s="369"/>
      <c r="BA54" s="369"/>
      <c r="BB54" s="369"/>
      <c r="BC54" s="369"/>
      <c r="BD54" s="369"/>
      <c r="BE54" s="369"/>
      <c r="BF54" s="369"/>
      <c r="BG54" s="369"/>
      <c r="BH54" s="369"/>
      <c r="BI54" s="369"/>
      <c r="BJ54" s="369"/>
      <c r="BK54" s="369"/>
      <c r="BL54" s="369"/>
      <c r="BM54" s="369"/>
      <c r="BN54" s="369"/>
      <c r="BO54" s="369"/>
      <c r="BP54" s="369"/>
      <c r="BQ54" s="369"/>
      <c r="BR54" s="369"/>
      <c r="BS54" s="369"/>
      <c r="BT54" s="369"/>
      <c r="BU54" s="369"/>
      <c r="BV54" s="369"/>
      <c r="BW54" s="369"/>
      <c r="BX54" s="369"/>
      <c r="BY54" s="369"/>
      <c r="BZ54" s="369"/>
      <c r="CA54" s="369"/>
      <c r="CB54" s="369"/>
      <c r="CC54" s="369"/>
      <c r="CD54" s="369"/>
      <c r="CE54" s="369"/>
      <c r="CF54" s="369"/>
      <c r="CG54" s="369"/>
      <c r="CH54" s="369"/>
      <c r="CI54" s="369"/>
      <c r="CJ54" s="369"/>
      <c r="CK54" s="369"/>
      <c r="CL54" s="369"/>
      <c r="CM54" s="369"/>
      <c r="CN54" s="369"/>
      <c r="CO54" s="369"/>
      <c r="CP54" s="369"/>
      <c r="CQ54" s="369"/>
      <c r="CR54" s="369"/>
      <c r="CS54" s="369"/>
      <c r="CT54" s="369"/>
      <c r="CU54" s="369"/>
      <c r="CV54" s="369"/>
      <c r="CW54" s="369"/>
      <c r="CX54" s="369"/>
      <c r="CY54" s="369"/>
      <c r="CZ54" s="369"/>
      <c r="DA54" s="369"/>
      <c r="DB54" s="369"/>
      <c r="DC54" s="369"/>
      <c r="DD54" s="369"/>
      <c r="DE54" s="369"/>
      <c r="DF54" s="369"/>
      <c r="DG54" s="369"/>
      <c r="DH54" s="369"/>
      <c r="DI54" s="369"/>
      <c r="DJ54" s="369"/>
      <c r="DK54" s="369"/>
      <c r="DL54" s="369"/>
      <c r="DM54" s="369"/>
      <c r="DN54" s="369"/>
      <c r="DO54" s="369"/>
      <c r="DP54" s="369"/>
      <c r="DQ54" s="369"/>
      <c r="DR54" s="369"/>
      <c r="DS54" s="369"/>
      <c r="DT54" s="369"/>
      <c r="DU54" s="369"/>
      <c r="DV54" s="369"/>
      <c r="DW54" s="369"/>
      <c r="DX54" s="369"/>
      <c r="DY54" s="369"/>
      <c r="DZ54" s="369"/>
      <c r="EA54" s="369"/>
      <c r="EB54" s="369"/>
      <c r="EC54" s="369"/>
      <c r="ED54" s="369"/>
      <c r="EE54" s="369"/>
      <c r="EF54" s="369"/>
      <c r="EG54" s="369"/>
      <c r="EH54" s="369"/>
      <c r="EI54" s="369"/>
      <c r="EJ54" s="369"/>
      <c r="EK54" s="369"/>
      <c r="EL54" s="369"/>
      <c r="EM54" s="369"/>
      <c r="EN54" s="369"/>
      <c r="EO54" s="369"/>
      <c r="EP54" s="369"/>
      <c r="EQ54" s="369"/>
      <c r="ER54" s="369"/>
      <c r="ES54" s="369"/>
      <c r="ET54" s="369"/>
      <c r="EU54" s="369"/>
      <c r="EV54" s="369"/>
      <c r="EW54" s="369"/>
      <c r="EX54" s="369"/>
      <c r="EY54" s="369"/>
      <c r="EZ54" s="369"/>
      <c r="FA54" s="369"/>
      <c r="FB54" s="369"/>
      <c r="FC54" s="369"/>
      <c r="FD54" s="369"/>
      <c r="FE54" s="369"/>
      <c r="FF54" s="369"/>
      <c r="FG54" s="369"/>
      <c r="FH54" s="369"/>
      <c r="FI54" s="369"/>
      <c r="FJ54" s="369"/>
      <c r="FK54" s="369"/>
      <c r="FL54" s="369"/>
      <c r="FM54" s="369"/>
      <c r="FN54" s="369"/>
      <c r="FO54" s="369"/>
      <c r="FP54" s="369"/>
      <c r="FQ54" s="369"/>
      <c r="FR54" s="369"/>
      <c r="FS54" s="369"/>
      <c r="FT54" s="369"/>
      <c r="FU54" s="369"/>
      <c r="FV54" s="369"/>
      <c r="FW54" s="369"/>
      <c r="FX54" s="369"/>
      <c r="FY54" s="369"/>
      <c r="FZ54" s="369"/>
      <c r="GA54" s="369"/>
      <c r="GB54" s="369"/>
      <c r="GC54" s="369"/>
      <c r="GD54" s="369"/>
      <c r="GE54" s="369"/>
      <c r="GF54" s="369"/>
      <c r="GG54" s="369"/>
      <c r="GH54" s="369"/>
      <c r="GI54" s="369"/>
      <c r="GJ54" s="369"/>
      <c r="GK54" s="369"/>
      <c r="GL54" s="369"/>
      <c r="GM54" s="369"/>
      <c r="GN54" s="369"/>
      <c r="GO54" s="369"/>
      <c r="GP54" s="369"/>
      <c r="GQ54" s="369"/>
      <c r="GR54" s="369"/>
      <c r="GS54" s="369"/>
      <c r="GT54" s="369"/>
      <c r="GU54" s="369"/>
      <c r="GV54" s="369"/>
      <c r="GW54" s="369"/>
      <c r="GX54" s="369"/>
      <c r="GY54" s="369"/>
      <c r="GZ54" s="369"/>
      <c r="HA54" s="369"/>
      <c r="HB54" s="369"/>
      <c r="HC54" s="369"/>
      <c r="HD54" s="369"/>
      <c r="HE54" s="369"/>
      <c r="HF54" s="369"/>
      <c r="HG54" s="369"/>
      <c r="HH54" s="369"/>
      <c r="HI54" s="369"/>
      <c r="HJ54" s="369"/>
      <c r="HK54" s="369"/>
      <c r="HL54" s="369"/>
      <c r="HM54" s="369"/>
      <c r="HN54" s="369"/>
      <c r="HO54" s="369"/>
      <c r="HP54" s="369"/>
      <c r="HQ54" s="369"/>
      <c r="HR54" s="369"/>
      <c r="HS54" s="369"/>
      <c r="HT54" s="369"/>
      <c r="HU54" s="369"/>
      <c r="HV54" s="369"/>
      <c r="HW54" s="369"/>
      <c r="HX54" s="369"/>
      <c r="HY54" s="369"/>
      <c r="HZ54" s="369"/>
      <c r="IA54" s="369"/>
      <c r="IB54" s="369"/>
      <c r="IC54" s="369"/>
      <c r="ID54" s="369"/>
      <c r="IE54" s="369"/>
      <c r="IF54" s="369"/>
      <c r="IG54" s="369"/>
      <c r="IH54" s="369"/>
      <c r="II54" s="369"/>
      <c r="IJ54" s="369"/>
      <c r="IK54" s="369"/>
      <c r="IL54" s="369"/>
      <c r="IM54" s="369"/>
      <c r="IN54" s="369"/>
      <c r="IO54" s="369"/>
      <c r="IP54" s="369"/>
      <c r="IQ54" s="369"/>
      <c r="IR54" s="369"/>
      <c r="IS54" s="369"/>
      <c r="IT54" s="369"/>
      <c r="IU54" s="369"/>
      <c r="IV54" s="369"/>
      <c r="IW54" s="369"/>
      <c r="IX54" s="369"/>
      <c r="IY54" s="369"/>
      <c r="IZ54" s="369"/>
      <c r="JA54" s="369"/>
      <c r="JB54" s="369"/>
      <c r="JC54" s="369"/>
      <c r="JD54" s="369"/>
      <c r="JE54" s="369"/>
    </row>
    <row r="55" spans="1:265" s="588" customFormat="1" x14ac:dyDescent="0.2">
      <c r="A55" s="364" t="s">
        <v>3732</v>
      </c>
      <c r="B55" s="365"/>
      <c r="C55" s="370" t="s">
        <v>4053</v>
      </c>
      <c r="D55" s="369"/>
      <c r="E55" s="372" t="s">
        <v>4054</v>
      </c>
      <c r="F55" s="364"/>
      <c r="G55" s="364" t="s">
        <v>4042</v>
      </c>
      <c r="H55" s="602">
        <v>814002010918</v>
      </c>
      <c r="I55" s="371"/>
      <c r="J55" s="371"/>
      <c r="K55" s="371"/>
      <c r="L55" s="475" t="s">
        <v>975</v>
      </c>
      <c r="M55" s="367"/>
      <c r="N55" s="516">
        <v>9.99</v>
      </c>
      <c r="O55" s="368"/>
      <c r="P55" s="368">
        <v>10</v>
      </c>
      <c r="Q55" s="366">
        <f>3.2/16</f>
        <v>0.2</v>
      </c>
      <c r="R55" s="366">
        <v>4.7</v>
      </c>
      <c r="S55" s="366">
        <v>4.7</v>
      </c>
      <c r="T55" s="603">
        <v>2.2000000000000002</v>
      </c>
      <c r="U55" s="366">
        <v>0.15</v>
      </c>
      <c r="V55" s="366">
        <v>4.5999999999999996</v>
      </c>
      <c r="W55" s="366">
        <v>3.8</v>
      </c>
      <c r="X55" s="366">
        <v>1.7</v>
      </c>
      <c r="Y55" s="604"/>
      <c r="Z55" s="366"/>
      <c r="AA55" s="366"/>
      <c r="AB55" s="605"/>
      <c r="AC55" s="366"/>
      <c r="AD55" s="366"/>
      <c r="AE55" s="366"/>
      <c r="AF55" s="605"/>
      <c r="AG55" s="366"/>
      <c r="AH55" s="606"/>
      <c r="AI55" s="607"/>
      <c r="AJ55" s="606"/>
      <c r="AK55" s="606"/>
      <c r="AL55" s="606"/>
      <c r="AM55" s="369"/>
      <c r="AN55" s="369"/>
      <c r="AO55" s="369"/>
      <c r="AP55" s="392"/>
      <c r="AQ55" s="369"/>
      <c r="AR55" s="369"/>
      <c r="AS55" s="369"/>
      <c r="AT55" s="369"/>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69"/>
      <c r="BW55" s="369"/>
      <c r="BX55" s="369"/>
      <c r="BY55" s="369"/>
      <c r="BZ55" s="369"/>
      <c r="CA55" s="369"/>
      <c r="CB55" s="369"/>
      <c r="CC55" s="369"/>
      <c r="CD55" s="369"/>
      <c r="CE55" s="369"/>
      <c r="CF55" s="369"/>
      <c r="CG55" s="369"/>
      <c r="CH55" s="369"/>
      <c r="CI55" s="369"/>
      <c r="CJ55" s="369"/>
      <c r="CK55" s="369"/>
      <c r="CL55" s="369"/>
      <c r="CM55" s="369"/>
      <c r="CN55" s="369"/>
      <c r="CO55" s="369"/>
      <c r="CP55" s="369"/>
      <c r="CQ55" s="369"/>
      <c r="CR55" s="369"/>
      <c r="CS55" s="369"/>
      <c r="CT55" s="369"/>
      <c r="CU55" s="369"/>
      <c r="CV55" s="369"/>
      <c r="CW55" s="369"/>
      <c r="CX55" s="369"/>
      <c r="CY55" s="369"/>
      <c r="CZ55" s="369"/>
      <c r="DA55" s="369"/>
      <c r="DB55" s="369"/>
      <c r="DC55" s="369"/>
      <c r="DD55" s="369"/>
      <c r="DE55" s="369"/>
      <c r="DF55" s="369"/>
      <c r="DG55" s="369"/>
      <c r="DH55" s="369"/>
      <c r="DI55" s="369"/>
      <c r="DJ55" s="369"/>
      <c r="DK55" s="369"/>
      <c r="DL55" s="369"/>
      <c r="DM55" s="369"/>
      <c r="DN55" s="369"/>
      <c r="DO55" s="369"/>
      <c r="DP55" s="369"/>
      <c r="DQ55" s="369"/>
      <c r="DR55" s="369"/>
      <c r="DS55" s="369"/>
      <c r="DT55" s="369"/>
      <c r="DU55" s="369"/>
      <c r="DV55" s="369"/>
      <c r="DW55" s="369"/>
      <c r="DX55" s="369"/>
      <c r="DY55" s="369"/>
      <c r="DZ55" s="369"/>
      <c r="EA55" s="369"/>
      <c r="EB55" s="369"/>
      <c r="EC55" s="369"/>
      <c r="ED55" s="369"/>
      <c r="EE55" s="369"/>
      <c r="EF55" s="369"/>
      <c r="EG55" s="369"/>
      <c r="EH55" s="369"/>
      <c r="EI55" s="369"/>
      <c r="EJ55" s="369"/>
      <c r="EK55" s="369"/>
      <c r="EL55" s="369"/>
      <c r="EM55" s="369"/>
      <c r="EN55" s="369"/>
      <c r="EO55" s="369"/>
      <c r="EP55" s="369"/>
      <c r="EQ55" s="369"/>
      <c r="ER55" s="369"/>
      <c r="ES55" s="369"/>
      <c r="ET55" s="369"/>
      <c r="EU55" s="369"/>
      <c r="EV55" s="369"/>
      <c r="EW55" s="369"/>
      <c r="EX55" s="369"/>
      <c r="EY55" s="369"/>
      <c r="EZ55" s="369"/>
      <c r="FA55" s="369"/>
      <c r="FB55" s="369"/>
      <c r="FC55" s="369"/>
      <c r="FD55" s="369"/>
      <c r="FE55" s="369"/>
      <c r="FF55" s="369"/>
      <c r="FG55" s="369"/>
      <c r="FH55" s="369"/>
      <c r="FI55" s="369"/>
      <c r="FJ55" s="369"/>
      <c r="FK55" s="369"/>
      <c r="FL55" s="369"/>
      <c r="FM55" s="369"/>
      <c r="FN55" s="369"/>
      <c r="FO55" s="369"/>
      <c r="FP55" s="369"/>
      <c r="FQ55" s="369"/>
      <c r="FR55" s="369"/>
      <c r="FS55" s="369"/>
      <c r="FT55" s="369"/>
      <c r="FU55" s="369"/>
      <c r="FV55" s="369"/>
      <c r="FW55" s="369"/>
      <c r="FX55" s="369"/>
      <c r="FY55" s="369"/>
      <c r="FZ55" s="369"/>
      <c r="GA55" s="369"/>
      <c r="GB55" s="369"/>
      <c r="GC55" s="369"/>
      <c r="GD55" s="369"/>
      <c r="GE55" s="369"/>
      <c r="GF55" s="369"/>
      <c r="GG55" s="369"/>
      <c r="GH55" s="369"/>
      <c r="GI55" s="369"/>
      <c r="GJ55" s="369"/>
      <c r="GK55" s="369"/>
      <c r="GL55" s="369"/>
      <c r="GM55" s="369"/>
      <c r="GN55" s="369"/>
      <c r="GO55" s="369"/>
      <c r="GP55" s="369"/>
      <c r="GQ55" s="369"/>
      <c r="GR55" s="369"/>
      <c r="GS55" s="369"/>
      <c r="GT55" s="369"/>
      <c r="GU55" s="369"/>
      <c r="GV55" s="369"/>
      <c r="GW55" s="369"/>
      <c r="GX55" s="369"/>
      <c r="GY55" s="369"/>
      <c r="GZ55" s="369"/>
      <c r="HA55" s="369"/>
      <c r="HB55" s="369"/>
      <c r="HC55" s="369"/>
      <c r="HD55" s="369"/>
      <c r="HE55" s="369"/>
      <c r="HF55" s="369"/>
      <c r="HG55" s="369"/>
      <c r="HH55" s="369"/>
      <c r="HI55" s="369"/>
      <c r="HJ55" s="369"/>
      <c r="HK55" s="369"/>
      <c r="HL55" s="369"/>
      <c r="HM55" s="369"/>
      <c r="HN55" s="369"/>
      <c r="HO55" s="369"/>
      <c r="HP55" s="369"/>
      <c r="HQ55" s="369"/>
      <c r="HR55" s="369"/>
      <c r="HS55" s="369"/>
      <c r="HT55" s="369"/>
      <c r="HU55" s="369"/>
      <c r="HV55" s="369"/>
      <c r="HW55" s="369"/>
      <c r="HX55" s="369"/>
      <c r="HY55" s="369"/>
      <c r="HZ55" s="369"/>
      <c r="IA55" s="369"/>
      <c r="IB55" s="369"/>
      <c r="IC55" s="369"/>
      <c r="ID55" s="369"/>
      <c r="IE55" s="369"/>
      <c r="IF55" s="369"/>
      <c r="IG55" s="369"/>
      <c r="IH55" s="369"/>
      <c r="II55" s="369"/>
      <c r="IJ55" s="369"/>
      <c r="IK55" s="369"/>
      <c r="IL55" s="369"/>
      <c r="IM55" s="369"/>
      <c r="IN55" s="369"/>
      <c r="IO55" s="369"/>
      <c r="IP55" s="369"/>
      <c r="IQ55" s="369"/>
      <c r="IR55" s="369"/>
      <c r="IS55" s="369"/>
      <c r="IT55" s="369"/>
      <c r="IU55" s="369"/>
      <c r="IV55" s="369"/>
      <c r="IW55" s="369"/>
      <c r="IX55" s="369"/>
      <c r="IY55" s="369"/>
      <c r="IZ55" s="369"/>
      <c r="JA55" s="369"/>
      <c r="JB55" s="369"/>
      <c r="JC55" s="369"/>
      <c r="JD55" s="369"/>
      <c r="JE55" s="369"/>
    </row>
    <row r="56" spans="1:265" s="588" customFormat="1" x14ac:dyDescent="0.2">
      <c r="A56" s="364" t="s">
        <v>3732</v>
      </c>
      <c r="B56" s="365"/>
      <c r="C56" s="370" t="s">
        <v>4055</v>
      </c>
      <c r="D56" s="369"/>
      <c r="E56" s="372" t="s">
        <v>4056</v>
      </c>
      <c r="F56" s="364"/>
      <c r="G56" s="364" t="s">
        <v>4042</v>
      </c>
      <c r="H56" s="602">
        <v>814002011502</v>
      </c>
      <c r="I56" s="371"/>
      <c r="J56" s="371"/>
      <c r="K56" s="371"/>
      <c r="L56" s="475" t="s">
        <v>975</v>
      </c>
      <c r="M56" s="367"/>
      <c r="N56" s="516">
        <v>24.99</v>
      </c>
      <c r="O56" s="368"/>
      <c r="P56" s="368">
        <v>10</v>
      </c>
      <c r="Q56" s="366">
        <f>2.4/16</f>
        <v>0.15</v>
      </c>
      <c r="R56" s="603">
        <v>5</v>
      </c>
      <c r="S56" s="366">
        <v>2</v>
      </c>
      <c r="T56" s="366">
        <v>1.3</v>
      </c>
      <c r="U56" s="588">
        <v>0.4</v>
      </c>
      <c r="V56" s="588">
        <v>6.2</v>
      </c>
      <c r="W56" s="366">
        <v>3.5</v>
      </c>
      <c r="X56" s="366">
        <v>2</v>
      </c>
      <c r="Y56" s="604"/>
      <c r="Z56" s="366"/>
      <c r="AA56" s="366"/>
      <c r="AB56" s="605"/>
      <c r="AC56" s="366"/>
      <c r="AD56" s="366"/>
      <c r="AE56" s="366"/>
      <c r="AF56" s="605"/>
      <c r="AG56" s="366"/>
      <c r="AH56" s="606"/>
      <c r="AI56" s="607"/>
      <c r="AJ56" s="606"/>
      <c r="AK56" s="606"/>
      <c r="AL56" s="606"/>
      <c r="AM56" s="369"/>
      <c r="AN56" s="369"/>
      <c r="AO56" s="369"/>
      <c r="AP56" s="392"/>
      <c r="AQ56" s="369"/>
      <c r="AR56" s="369"/>
      <c r="AS56" s="369"/>
      <c r="AT56" s="369"/>
      <c r="AU56" s="369"/>
      <c r="AV56" s="369"/>
      <c r="AW56" s="369"/>
      <c r="AX56" s="369"/>
      <c r="AY56" s="369"/>
      <c r="AZ56" s="369"/>
      <c r="BA56" s="369"/>
      <c r="BB56" s="369"/>
      <c r="BC56" s="369"/>
      <c r="BD56" s="369"/>
      <c r="BE56" s="369"/>
      <c r="BF56" s="369"/>
      <c r="BG56" s="369"/>
      <c r="BH56" s="369"/>
      <c r="BI56" s="369"/>
      <c r="BJ56" s="369"/>
      <c r="BK56" s="369"/>
      <c r="BL56" s="369"/>
      <c r="BM56" s="369"/>
      <c r="BN56" s="369"/>
      <c r="BO56" s="369"/>
      <c r="BP56" s="369"/>
      <c r="BQ56" s="369"/>
      <c r="BR56" s="369"/>
      <c r="BS56" s="369"/>
      <c r="BT56" s="369"/>
      <c r="BU56" s="369"/>
      <c r="BV56" s="369"/>
      <c r="BW56" s="369"/>
      <c r="BX56" s="369"/>
      <c r="BY56" s="369"/>
      <c r="BZ56" s="369"/>
      <c r="CA56" s="369"/>
      <c r="CB56" s="369"/>
      <c r="CC56" s="369"/>
      <c r="CD56" s="369"/>
      <c r="CE56" s="369"/>
      <c r="CF56" s="369"/>
      <c r="CG56" s="369"/>
      <c r="CH56" s="369"/>
      <c r="CI56" s="369"/>
      <c r="CJ56" s="369"/>
      <c r="CK56" s="369"/>
      <c r="CL56" s="369"/>
      <c r="CM56" s="369"/>
      <c r="CN56" s="369"/>
      <c r="CO56" s="369"/>
      <c r="CP56" s="369"/>
      <c r="CQ56" s="369"/>
      <c r="CR56" s="369"/>
      <c r="CS56" s="369"/>
      <c r="CT56" s="369"/>
      <c r="CU56" s="369"/>
      <c r="CV56" s="369"/>
      <c r="CW56" s="369"/>
      <c r="CX56" s="369"/>
      <c r="CY56" s="369"/>
      <c r="CZ56" s="369"/>
      <c r="DA56" s="369"/>
      <c r="DB56" s="369"/>
      <c r="DC56" s="369"/>
      <c r="DD56" s="369"/>
      <c r="DE56" s="369"/>
      <c r="DF56" s="369"/>
      <c r="DG56" s="369"/>
      <c r="DH56" s="369"/>
      <c r="DI56" s="369"/>
      <c r="DJ56" s="369"/>
      <c r="DK56" s="369"/>
      <c r="DL56" s="369"/>
      <c r="DM56" s="369"/>
      <c r="DN56" s="369"/>
      <c r="DO56" s="369"/>
      <c r="DP56" s="369"/>
      <c r="DQ56" s="369"/>
      <c r="DR56" s="369"/>
      <c r="DS56" s="369"/>
      <c r="DT56" s="369"/>
      <c r="DU56" s="369"/>
      <c r="DV56" s="369"/>
      <c r="DW56" s="369"/>
      <c r="DX56" s="369"/>
      <c r="DY56" s="369"/>
      <c r="DZ56" s="369"/>
      <c r="EA56" s="369"/>
      <c r="EB56" s="369"/>
      <c r="EC56" s="369"/>
      <c r="ED56" s="369"/>
      <c r="EE56" s="369"/>
      <c r="EF56" s="369"/>
      <c r="EG56" s="369"/>
      <c r="EH56" s="369"/>
      <c r="EI56" s="369"/>
      <c r="EJ56" s="369"/>
      <c r="EK56" s="369"/>
      <c r="EL56" s="369"/>
      <c r="EM56" s="369"/>
      <c r="EN56" s="369"/>
      <c r="EO56" s="369"/>
      <c r="EP56" s="369"/>
      <c r="EQ56" s="369"/>
      <c r="ER56" s="369"/>
      <c r="ES56" s="369"/>
      <c r="ET56" s="369"/>
      <c r="EU56" s="369"/>
      <c r="EV56" s="369"/>
      <c r="EW56" s="369"/>
      <c r="EX56" s="369"/>
      <c r="EY56" s="369"/>
      <c r="EZ56" s="369"/>
      <c r="FA56" s="369"/>
      <c r="FB56" s="369"/>
      <c r="FC56" s="369"/>
      <c r="FD56" s="369"/>
      <c r="FE56" s="369"/>
      <c r="FF56" s="369"/>
      <c r="FG56" s="369"/>
      <c r="FH56" s="369"/>
      <c r="FI56" s="369"/>
      <c r="FJ56" s="369"/>
      <c r="FK56" s="369"/>
      <c r="FL56" s="369"/>
      <c r="FM56" s="369"/>
      <c r="FN56" s="369"/>
      <c r="FO56" s="369"/>
      <c r="FP56" s="369"/>
      <c r="FQ56" s="369"/>
      <c r="FR56" s="369"/>
      <c r="FS56" s="369"/>
      <c r="FT56" s="369"/>
      <c r="FU56" s="369"/>
      <c r="FV56" s="369"/>
      <c r="FW56" s="369"/>
      <c r="FX56" s="369"/>
      <c r="FY56" s="369"/>
      <c r="FZ56" s="369"/>
      <c r="GA56" s="369"/>
      <c r="GB56" s="369"/>
      <c r="GC56" s="369"/>
      <c r="GD56" s="369"/>
      <c r="GE56" s="369"/>
      <c r="GF56" s="369"/>
      <c r="GG56" s="369"/>
      <c r="GH56" s="369"/>
      <c r="GI56" s="369"/>
      <c r="GJ56" s="369"/>
      <c r="GK56" s="369"/>
      <c r="GL56" s="369"/>
      <c r="GM56" s="369"/>
      <c r="GN56" s="369"/>
      <c r="GO56" s="369"/>
      <c r="GP56" s="369"/>
      <c r="GQ56" s="369"/>
      <c r="GR56" s="369"/>
      <c r="GS56" s="369"/>
      <c r="GT56" s="369"/>
      <c r="GU56" s="369"/>
      <c r="GV56" s="369"/>
      <c r="GW56" s="369"/>
      <c r="GX56" s="369"/>
      <c r="GY56" s="369"/>
      <c r="GZ56" s="369"/>
      <c r="HA56" s="369"/>
      <c r="HB56" s="369"/>
      <c r="HC56" s="369"/>
      <c r="HD56" s="369"/>
      <c r="HE56" s="369"/>
      <c r="HF56" s="369"/>
      <c r="HG56" s="369"/>
      <c r="HH56" s="369"/>
      <c r="HI56" s="369"/>
      <c r="HJ56" s="369"/>
      <c r="HK56" s="369"/>
      <c r="HL56" s="369"/>
      <c r="HM56" s="369"/>
      <c r="HN56" s="369"/>
      <c r="HO56" s="369"/>
      <c r="HP56" s="369"/>
      <c r="HQ56" s="369"/>
      <c r="HR56" s="369"/>
      <c r="HS56" s="369"/>
      <c r="HT56" s="369"/>
      <c r="HU56" s="369"/>
      <c r="HV56" s="369"/>
      <c r="HW56" s="369"/>
      <c r="HX56" s="369"/>
      <c r="HY56" s="369"/>
      <c r="HZ56" s="369"/>
      <c r="IA56" s="369"/>
      <c r="IB56" s="369"/>
      <c r="IC56" s="369"/>
      <c r="ID56" s="369"/>
      <c r="IE56" s="369"/>
      <c r="IF56" s="369"/>
      <c r="IG56" s="369"/>
      <c r="IH56" s="369"/>
      <c r="II56" s="369"/>
      <c r="IJ56" s="369"/>
      <c r="IK56" s="369"/>
      <c r="IL56" s="369"/>
      <c r="IM56" s="369"/>
      <c r="IN56" s="369"/>
      <c r="IO56" s="369"/>
      <c r="IP56" s="369"/>
      <c r="IQ56" s="369"/>
      <c r="IR56" s="369"/>
      <c r="IS56" s="369"/>
      <c r="IT56" s="369"/>
      <c r="IU56" s="369"/>
      <c r="IV56" s="369"/>
      <c r="IW56" s="369"/>
      <c r="IX56" s="369"/>
      <c r="IY56" s="369"/>
      <c r="IZ56" s="369"/>
      <c r="JA56" s="369"/>
      <c r="JB56" s="369"/>
      <c r="JC56" s="369"/>
      <c r="JD56" s="369"/>
      <c r="JE56" s="369"/>
    </row>
    <row r="57" spans="1:265" s="588" customFormat="1" x14ac:dyDescent="0.2">
      <c r="A57" s="364" t="s">
        <v>3732</v>
      </c>
      <c r="B57" s="365"/>
      <c r="C57" s="370" t="s">
        <v>4057</v>
      </c>
      <c r="D57" s="369"/>
      <c r="E57" s="372" t="s">
        <v>4058</v>
      </c>
      <c r="F57" s="364"/>
      <c r="G57" s="364" t="s">
        <v>4042</v>
      </c>
      <c r="H57" s="602">
        <v>814002010925</v>
      </c>
      <c r="I57" s="371"/>
      <c r="J57" s="371"/>
      <c r="K57" s="371"/>
      <c r="L57" s="475" t="s">
        <v>975</v>
      </c>
      <c r="M57" s="367"/>
      <c r="N57" s="516">
        <v>34.99</v>
      </c>
      <c r="O57" s="368"/>
      <c r="P57" s="368">
        <v>10</v>
      </c>
      <c r="Q57" s="366">
        <f>6.88/16</f>
        <v>0.43</v>
      </c>
      <c r="R57" s="366">
        <v>14.5</v>
      </c>
      <c r="S57" s="366">
        <v>11</v>
      </c>
      <c r="T57" s="603">
        <v>2.25</v>
      </c>
      <c r="U57" s="366">
        <v>0.15</v>
      </c>
      <c r="V57" s="366">
        <v>5.28</v>
      </c>
      <c r="W57" s="366">
        <v>4.72</v>
      </c>
      <c r="X57" s="366">
        <v>4.17</v>
      </c>
      <c r="Y57" s="604"/>
      <c r="Z57" s="366"/>
      <c r="AA57" s="366"/>
      <c r="AB57" s="605"/>
      <c r="AC57" s="366"/>
      <c r="AD57" s="366"/>
      <c r="AE57" s="366"/>
      <c r="AF57" s="605"/>
      <c r="AG57" s="366"/>
      <c r="AH57" s="606"/>
      <c r="AI57" s="607"/>
      <c r="AJ57" s="606"/>
      <c r="AK57" s="606"/>
      <c r="AL57" s="606"/>
      <c r="AM57" s="369"/>
      <c r="AN57" s="369"/>
      <c r="AO57" s="369"/>
      <c r="AP57" s="392"/>
      <c r="AQ57" s="369"/>
      <c r="AR57" s="369"/>
      <c r="AS57" s="369"/>
      <c r="AT57" s="369"/>
      <c r="AU57" s="369"/>
      <c r="AV57" s="369"/>
      <c r="AW57" s="369"/>
      <c r="AX57" s="369"/>
      <c r="AY57" s="369"/>
      <c r="AZ57" s="369"/>
      <c r="BA57" s="369"/>
      <c r="BB57" s="369"/>
      <c r="BC57" s="369"/>
      <c r="BD57" s="369"/>
      <c r="BE57" s="369"/>
      <c r="BF57" s="369"/>
      <c r="BG57" s="369"/>
      <c r="BH57" s="369"/>
      <c r="BI57" s="369"/>
      <c r="BJ57" s="369"/>
      <c r="BK57" s="369"/>
      <c r="BL57" s="369"/>
      <c r="BM57" s="369"/>
      <c r="BN57" s="369"/>
      <c r="BO57" s="369"/>
      <c r="BP57" s="369"/>
      <c r="BQ57" s="369"/>
      <c r="BR57" s="369"/>
      <c r="BS57" s="369"/>
      <c r="BT57" s="369"/>
      <c r="BU57" s="369"/>
      <c r="BV57" s="369"/>
      <c r="BW57" s="369"/>
      <c r="BX57" s="369"/>
      <c r="BY57" s="369"/>
      <c r="BZ57" s="369"/>
      <c r="CA57" s="369"/>
      <c r="CB57" s="369"/>
      <c r="CC57" s="369"/>
      <c r="CD57" s="369"/>
      <c r="CE57" s="369"/>
      <c r="CF57" s="369"/>
      <c r="CG57" s="369"/>
      <c r="CH57" s="369"/>
      <c r="CI57" s="369"/>
      <c r="CJ57" s="369"/>
      <c r="CK57" s="369"/>
      <c r="CL57" s="369"/>
      <c r="CM57" s="369"/>
      <c r="CN57" s="369"/>
      <c r="CO57" s="369"/>
      <c r="CP57" s="369"/>
      <c r="CQ57" s="369"/>
      <c r="CR57" s="369"/>
      <c r="CS57" s="369"/>
      <c r="CT57" s="369"/>
      <c r="CU57" s="369"/>
      <c r="CV57" s="369"/>
      <c r="CW57" s="369"/>
      <c r="CX57" s="369"/>
      <c r="CY57" s="369"/>
      <c r="CZ57" s="369"/>
      <c r="DA57" s="369"/>
      <c r="DB57" s="369"/>
      <c r="DC57" s="369"/>
      <c r="DD57" s="369"/>
      <c r="DE57" s="369"/>
      <c r="DF57" s="369"/>
      <c r="DG57" s="369"/>
      <c r="DH57" s="369"/>
      <c r="DI57" s="369"/>
      <c r="DJ57" s="369"/>
      <c r="DK57" s="369"/>
      <c r="DL57" s="369"/>
      <c r="DM57" s="369"/>
      <c r="DN57" s="369"/>
      <c r="DO57" s="369"/>
      <c r="DP57" s="369"/>
      <c r="DQ57" s="369"/>
      <c r="DR57" s="369"/>
      <c r="DS57" s="369"/>
      <c r="DT57" s="369"/>
      <c r="DU57" s="369"/>
      <c r="DV57" s="369"/>
      <c r="DW57" s="369"/>
      <c r="DX57" s="369"/>
      <c r="DY57" s="369"/>
      <c r="DZ57" s="369"/>
      <c r="EA57" s="369"/>
      <c r="EB57" s="369"/>
      <c r="EC57" s="369"/>
      <c r="ED57" s="369"/>
      <c r="EE57" s="369"/>
      <c r="EF57" s="369"/>
      <c r="EG57" s="369"/>
      <c r="EH57" s="369"/>
      <c r="EI57" s="369"/>
      <c r="EJ57" s="369"/>
      <c r="EK57" s="369"/>
      <c r="EL57" s="369"/>
      <c r="EM57" s="369"/>
      <c r="EN57" s="369"/>
      <c r="EO57" s="369"/>
      <c r="EP57" s="369"/>
      <c r="EQ57" s="369"/>
      <c r="ER57" s="369"/>
      <c r="ES57" s="369"/>
      <c r="ET57" s="369"/>
      <c r="EU57" s="369"/>
      <c r="EV57" s="369"/>
      <c r="EW57" s="369"/>
      <c r="EX57" s="369"/>
      <c r="EY57" s="369"/>
      <c r="EZ57" s="369"/>
      <c r="FA57" s="369"/>
      <c r="FB57" s="369"/>
      <c r="FC57" s="369"/>
      <c r="FD57" s="369"/>
      <c r="FE57" s="369"/>
      <c r="FF57" s="369"/>
      <c r="FG57" s="369"/>
      <c r="FH57" s="369"/>
      <c r="FI57" s="369"/>
      <c r="FJ57" s="369"/>
      <c r="FK57" s="369"/>
      <c r="FL57" s="369"/>
      <c r="FM57" s="369"/>
      <c r="FN57" s="369"/>
      <c r="FO57" s="369"/>
      <c r="FP57" s="369"/>
      <c r="FQ57" s="369"/>
      <c r="FR57" s="369"/>
      <c r="FS57" s="369"/>
      <c r="FT57" s="369"/>
      <c r="FU57" s="369"/>
      <c r="FV57" s="369"/>
      <c r="FW57" s="369"/>
      <c r="FX57" s="369"/>
      <c r="FY57" s="369"/>
      <c r="FZ57" s="369"/>
      <c r="GA57" s="369"/>
      <c r="GB57" s="369"/>
      <c r="GC57" s="369"/>
      <c r="GD57" s="369"/>
      <c r="GE57" s="369"/>
      <c r="GF57" s="369"/>
      <c r="GG57" s="369"/>
      <c r="GH57" s="369"/>
      <c r="GI57" s="369"/>
      <c r="GJ57" s="369"/>
      <c r="GK57" s="369"/>
      <c r="GL57" s="369"/>
      <c r="GM57" s="369"/>
      <c r="GN57" s="369"/>
      <c r="GO57" s="369"/>
      <c r="GP57" s="369"/>
      <c r="GQ57" s="369"/>
      <c r="GR57" s="369"/>
      <c r="GS57" s="369"/>
      <c r="GT57" s="369"/>
      <c r="GU57" s="369"/>
      <c r="GV57" s="369"/>
      <c r="GW57" s="369"/>
      <c r="GX57" s="369"/>
      <c r="GY57" s="369"/>
      <c r="GZ57" s="369"/>
      <c r="HA57" s="369"/>
      <c r="HB57" s="369"/>
      <c r="HC57" s="369"/>
      <c r="HD57" s="369"/>
      <c r="HE57" s="369"/>
      <c r="HF57" s="369"/>
      <c r="HG57" s="369"/>
      <c r="HH57" s="369"/>
      <c r="HI57" s="369"/>
      <c r="HJ57" s="369"/>
      <c r="HK57" s="369"/>
      <c r="HL57" s="369"/>
      <c r="HM57" s="369"/>
      <c r="HN57" s="369"/>
      <c r="HO57" s="369"/>
      <c r="HP57" s="369"/>
      <c r="HQ57" s="369"/>
      <c r="HR57" s="369"/>
      <c r="HS57" s="369"/>
      <c r="HT57" s="369"/>
      <c r="HU57" s="369"/>
      <c r="HV57" s="369"/>
      <c r="HW57" s="369"/>
      <c r="HX57" s="369"/>
      <c r="HY57" s="369"/>
      <c r="HZ57" s="369"/>
      <c r="IA57" s="369"/>
      <c r="IB57" s="369"/>
      <c r="IC57" s="369"/>
      <c r="ID57" s="369"/>
      <c r="IE57" s="369"/>
      <c r="IF57" s="369"/>
      <c r="IG57" s="369"/>
      <c r="IH57" s="369"/>
      <c r="II57" s="369"/>
      <c r="IJ57" s="369"/>
      <c r="IK57" s="369"/>
      <c r="IL57" s="369"/>
      <c r="IM57" s="369"/>
      <c r="IN57" s="369"/>
      <c r="IO57" s="369"/>
      <c r="IP57" s="369"/>
      <c r="IQ57" s="369"/>
      <c r="IR57" s="369"/>
      <c r="IS57" s="369"/>
      <c r="IT57" s="369"/>
      <c r="IU57" s="369"/>
      <c r="IV57" s="369"/>
      <c r="IW57" s="369"/>
      <c r="IX57" s="369"/>
      <c r="IY57" s="369"/>
      <c r="IZ57" s="369"/>
      <c r="JA57" s="369"/>
      <c r="JB57" s="369"/>
      <c r="JC57" s="369"/>
      <c r="JD57" s="369"/>
      <c r="JE57" s="369"/>
    </row>
    <row r="58" spans="1:265" s="88" customFormat="1" x14ac:dyDescent="0.2">
      <c r="A58" s="18" t="s">
        <v>3732</v>
      </c>
      <c r="B58" s="125"/>
      <c r="C58" s="22" t="s">
        <v>4059</v>
      </c>
      <c r="D58" s="37"/>
      <c r="E58" s="57" t="s">
        <v>4060</v>
      </c>
      <c r="F58" s="18"/>
      <c r="G58" s="18" t="s">
        <v>4042</v>
      </c>
      <c r="H58" s="497">
        <v>814002011571</v>
      </c>
      <c r="I58" s="124"/>
      <c r="J58" s="124"/>
      <c r="K58" s="124"/>
      <c r="L58" s="219" t="s">
        <v>975</v>
      </c>
      <c r="M58" s="5"/>
      <c r="N58" s="504">
        <v>24.99</v>
      </c>
      <c r="O58" s="35"/>
      <c r="P58" s="35">
        <v>10</v>
      </c>
      <c r="Q58" s="121"/>
      <c r="R58" s="121"/>
      <c r="S58" s="129" t="s">
        <v>4061</v>
      </c>
      <c r="T58" s="128"/>
      <c r="U58" s="33">
        <v>0.15</v>
      </c>
      <c r="V58" s="33">
        <v>10.5</v>
      </c>
      <c r="W58" s="33">
        <v>7.1</v>
      </c>
      <c r="X58" s="33">
        <v>2.6</v>
      </c>
      <c r="Y58" s="541"/>
      <c r="Z58" s="121"/>
      <c r="AA58" s="121"/>
      <c r="AB58" s="548"/>
      <c r="AC58" s="121"/>
      <c r="AD58" s="121"/>
      <c r="AE58" s="121"/>
      <c r="AF58" s="548"/>
      <c r="AG58" s="121"/>
      <c r="AH58" s="80"/>
      <c r="AI58" s="492"/>
      <c r="AJ58" s="80"/>
      <c r="AK58" s="80"/>
      <c r="AL58" s="80"/>
      <c r="AM58" s="37"/>
      <c r="AN58" s="37"/>
      <c r="AO58" s="37"/>
      <c r="AP58" s="52"/>
      <c r="AQ58" s="37"/>
      <c r="AR58" s="37"/>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row>
    <row r="59" spans="1:265" s="588" customFormat="1" x14ac:dyDescent="0.2">
      <c r="A59" s="364" t="s">
        <v>3732</v>
      </c>
      <c r="B59" s="365"/>
      <c r="C59" s="370" t="s">
        <v>4062</v>
      </c>
      <c r="D59" s="369"/>
      <c r="E59" s="372" t="s">
        <v>4063</v>
      </c>
      <c r="F59" s="364"/>
      <c r="G59" s="364" t="s">
        <v>4042</v>
      </c>
      <c r="H59" s="602">
        <v>814002012172</v>
      </c>
      <c r="I59" s="371"/>
      <c r="J59" s="371"/>
      <c r="K59" s="371"/>
      <c r="L59" s="475" t="s">
        <v>975</v>
      </c>
      <c r="M59" s="367"/>
      <c r="N59" s="516"/>
      <c r="O59" s="368"/>
      <c r="P59" s="368">
        <v>10</v>
      </c>
      <c r="Q59" s="366">
        <f>4.8/16</f>
        <v>0.3</v>
      </c>
      <c r="R59" s="366">
        <v>10</v>
      </c>
      <c r="S59" s="366">
        <v>1.8</v>
      </c>
      <c r="T59" s="603">
        <v>2.6</v>
      </c>
      <c r="U59" s="366">
        <v>0.37</v>
      </c>
      <c r="V59" s="366">
        <v>13.8</v>
      </c>
      <c r="W59" s="366">
        <v>5.9</v>
      </c>
      <c r="X59" s="366">
        <v>2</v>
      </c>
      <c r="Y59" s="604"/>
      <c r="Z59" s="366"/>
      <c r="AA59" s="366"/>
      <c r="AB59" s="605"/>
      <c r="AC59" s="366"/>
      <c r="AD59" s="366"/>
      <c r="AE59" s="366"/>
      <c r="AF59" s="605"/>
      <c r="AG59" s="366"/>
      <c r="AH59" s="606"/>
      <c r="AI59" s="607"/>
      <c r="AJ59" s="606"/>
      <c r="AK59" s="606"/>
      <c r="AL59" s="606"/>
      <c r="AM59" s="369"/>
      <c r="AN59" s="369"/>
      <c r="AO59" s="369"/>
      <c r="AP59" s="392"/>
      <c r="AQ59" s="369"/>
      <c r="AR59" s="369"/>
      <c r="AS59" s="369"/>
      <c r="AT59" s="369"/>
      <c r="AU59" s="369"/>
      <c r="AV59" s="369"/>
      <c r="AW59" s="369"/>
      <c r="AX59" s="369"/>
      <c r="AY59" s="369"/>
      <c r="AZ59" s="369"/>
      <c r="BA59" s="369"/>
      <c r="BB59" s="369"/>
      <c r="BC59" s="369"/>
      <c r="BD59" s="369"/>
      <c r="BE59" s="369"/>
      <c r="BF59" s="369"/>
      <c r="BG59" s="369"/>
      <c r="BH59" s="369"/>
      <c r="BI59" s="369"/>
      <c r="BJ59" s="369"/>
      <c r="BK59" s="369"/>
      <c r="BL59" s="369"/>
      <c r="BM59" s="369"/>
      <c r="BN59" s="369"/>
      <c r="BO59" s="369"/>
      <c r="BP59" s="369"/>
      <c r="BQ59" s="369"/>
      <c r="BR59" s="369"/>
      <c r="BS59" s="369"/>
      <c r="BT59" s="369"/>
      <c r="BU59" s="369"/>
      <c r="BV59" s="369"/>
      <c r="BW59" s="369"/>
      <c r="BX59" s="369"/>
      <c r="BY59" s="369"/>
      <c r="BZ59" s="369"/>
      <c r="CA59" s="369"/>
      <c r="CB59" s="369"/>
      <c r="CC59" s="369"/>
      <c r="CD59" s="369"/>
      <c r="CE59" s="369"/>
      <c r="CF59" s="369"/>
      <c r="CG59" s="369"/>
      <c r="CH59" s="369"/>
      <c r="CI59" s="369"/>
      <c r="CJ59" s="369"/>
      <c r="CK59" s="369"/>
      <c r="CL59" s="369"/>
      <c r="CM59" s="369"/>
      <c r="CN59" s="369"/>
      <c r="CO59" s="369"/>
      <c r="CP59" s="369"/>
      <c r="CQ59" s="369"/>
      <c r="CR59" s="369"/>
      <c r="CS59" s="369"/>
      <c r="CT59" s="369"/>
      <c r="CU59" s="369"/>
      <c r="CV59" s="369"/>
      <c r="CW59" s="369"/>
      <c r="CX59" s="369"/>
      <c r="CY59" s="369"/>
      <c r="CZ59" s="369"/>
      <c r="DA59" s="369"/>
      <c r="DB59" s="369"/>
      <c r="DC59" s="369"/>
      <c r="DD59" s="369"/>
      <c r="DE59" s="369"/>
      <c r="DF59" s="369"/>
      <c r="DG59" s="369"/>
      <c r="DH59" s="369"/>
      <c r="DI59" s="369"/>
      <c r="DJ59" s="369"/>
      <c r="DK59" s="369"/>
      <c r="DL59" s="369"/>
      <c r="DM59" s="369"/>
      <c r="DN59" s="369"/>
      <c r="DO59" s="369"/>
      <c r="DP59" s="369"/>
      <c r="DQ59" s="369"/>
      <c r="DR59" s="369"/>
      <c r="DS59" s="369"/>
      <c r="DT59" s="369"/>
      <c r="DU59" s="369"/>
      <c r="DV59" s="369"/>
      <c r="DW59" s="369"/>
      <c r="DX59" s="369"/>
      <c r="DY59" s="369"/>
      <c r="DZ59" s="369"/>
      <c r="EA59" s="369"/>
      <c r="EB59" s="369"/>
      <c r="EC59" s="369"/>
      <c r="ED59" s="369"/>
      <c r="EE59" s="369"/>
      <c r="EF59" s="369"/>
      <c r="EG59" s="369"/>
      <c r="EH59" s="369"/>
      <c r="EI59" s="369"/>
      <c r="EJ59" s="369"/>
      <c r="EK59" s="369"/>
      <c r="EL59" s="369"/>
      <c r="EM59" s="369"/>
      <c r="EN59" s="369"/>
      <c r="EO59" s="369"/>
      <c r="EP59" s="369"/>
      <c r="EQ59" s="369"/>
      <c r="ER59" s="369"/>
      <c r="ES59" s="369"/>
      <c r="ET59" s="369"/>
      <c r="EU59" s="369"/>
      <c r="EV59" s="369"/>
      <c r="EW59" s="369"/>
      <c r="EX59" s="369"/>
      <c r="EY59" s="369"/>
      <c r="EZ59" s="369"/>
      <c r="FA59" s="369"/>
      <c r="FB59" s="369"/>
      <c r="FC59" s="369"/>
      <c r="FD59" s="369"/>
      <c r="FE59" s="369"/>
      <c r="FF59" s="369"/>
      <c r="FG59" s="369"/>
      <c r="FH59" s="369"/>
      <c r="FI59" s="369"/>
      <c r="FJ59" s="369"/>
      <c r="FK59" s="369"/>
      <c r="FL59" s="369"/>
      <c r="FM59" s="369"/>
      <c r="FN59" s="369"/>
      <c r="FO59" s="369"/>
      <c r="FP59" s="369"/>
      <c r="FQ59" s="369"/>
      <c r="FR59" s="369"/>
      <c r="FS59" s="369"/>
      <c r="FT59" s="369"/>
      <c r="FU59" s="369"/>
      <c r="FV59" s="369"/>
      <c r="FW59" s="369"/>
      <c r="FX59" s="369"/>
      <c r="FY59" s="369"/>
      <c r="FZ59" s="369"/>
      <c r="GA59" s="369"/>
      <c r="GB59" s="369"/>
      <c r="GC59" s="369"/>
      <c r="GD59" s="369"/>
      <c r="GE59" s="369"/>
      <c r="GF59" s="369"/>
      <c r="GG59" s="369"/>
      <c r="GH59" s="369"/>
      <c r="GI59" s="369"/>
      <c r="GJ59" s="369"/>
      <c r="GK59" s="369"/>
      <c r="GL59" s="369"/>
      <c r="GM59" s="369"/>
      <c r="GN59" s="369"/>
      <c r="GO59" s="369"/>
      <c r="GP59" s="369"/>
      <c r="GQ59" s="369"/>
      <c r="GR59" s="369"/>
      <c r="GS59" s="369"/>
      <c r="GT59" s="369"/>
      <c r="GU59" s="369"/>
      <c r="GV59" s="369"/>
      <c r="GW59" s="369"/>
      <c r="GX59" s="369"/>
      <c r="GY59" s="369"/>
      <c r="GZ59" s="369"/>
      <c r="HA59" s="369"/>
      <c r="HB59" s="369"/>
      <c r="HC59" s="369"/>
      <c r="HD59" s="369"/>
      <c r="HE59" s="369"/>
      <c r="HF59" s="369"/>
      <c r="HG59" s="369"/>
      <c r="HH59" s="369"/>
      <c r="HI59" s="369"/>
      <c r="HJ59" s="369"/>
      <c r="HK59" s="369"/>
      <c r="HL59" s="369"/>
      <c r="HM59" s="369"/>
      <c r="HN59" s="369"/>
      <c r="HO59" s="369"/>
      <c r="HP59" s="369"/>
      <c r="HQ59" s="369"/>
      <c r="HR59" s="369"/>
      <c r="HS59" s="369"/>
      <c r="HT59" s="369"/>
      <c r="HU59" s="369"/>
      <c r="HV59" s="369"/>
      <c r="HW59" s="369"/>
      <c r="HX59" s="369"/>
      <c r="HY59" s="369"/>
      <c r="HZ59" s="369"/>
      <c r="IA59" s="369"/>
      <c r="IB59" s="369"/>
      <c r="IC59" s="369"/>
      <c r="ID59" s="369"/>
      <c r="IE59" s="369"/>
      <c r="IF59" s="369"/>
      <c r="IG59" s="369"/>
      <c r="IH59" s="369"/>
      <c r="II59" s="369"/>
      <c r="IJ59" s="369"/>
      <c r="IK59" s="369"/>
      <c r="IL59" s="369"/>
      <c r="IM59" s="369"/>
      <c r="IN59" s="369"/>
      <c r="IO59" s="369"/>
      <c r="IP59" s="369"/>
      <c r="IQ59" s="369"/>
      <c r="IR59" s="369"/>
      <c r="IS59" s="369"/>
      <c r="IT59" s="369"/>
      <c r="IU59" s="369"/>
      <c r="IV59" s="369"/>
      <c r="IW59" s="369"/>
      <c r="IX59" s="369"/>
      <c r="IY59" s="369"/>
      <c r="IZ59" s="369"/>
      <c r="JA59" s="369"/>
      <c r="JB59" s="369"/>
      <c r="JC59" s="369"/>
      <c r="JD59" s="369"/>
      <c r="JE59" s="369"/>
    </row>
    <row r="60" spans="1:265" s="588" customFormat="1" x14ac:dyDescent="0.2">
      <c r="A60" s="364" t="s">
        <v>3732</v>
      </c>
      <c r="B60" s="365"/>
      <c r="C60" s="370" t="s">
        <v>4064</v>
      </c>
      <c r="D60" s="369"/>
      <c r="E60" s="372" t="s">
        <v>4065</v>
      </c>
      <c r="F60" s="364"/>
      <c r="G60" s="364" t="s">
        <v>4042</v>
      </c>
      <c r="H60" s="602">
        <v>814002012189</v>
      </c>
      <c r="I60" s="371"/>
      <c r="J60" s="371"/>
      <c r="K60" s="371"/>
      <c r="L60" s="475" t="s">
        <v>975</v>
      </c>
      <c r="M60" s="367"/>
      <c r="N60" s="516"/>
      <c r="O60" s="368"/>
      <c r="P60" s="368">
        <v>5</v>
      </c>
      <c r="Q60" s="366">
        <f>7.2/16</f>
        <v>0.45</v>
      </c>
      <c r="R60" s="366">
        <v>24</v>
      </c>
      <c r="S60" s="366">
        <v>1.8</v>
      </c>
      <c r="T60" s="603">
        <v>2.6</v>
      </c>
      <c r="U60" s="366">
        <v>0.52</v>
      </c>
      <c r="V60" s="366">
        <v>14.6</v>
      </c>
      <c r="W60" s="366">
        <v>5.9</v>
      </c>
      <c r="X60" s="366">
        <v>1.8</v>
      </c>
      <c r="Y60" s="604"/>
      <c r="Z60" s="366"/>
      <c r="AA60" s="366"/>
      <c r="AB60" s="605"/>
      <c r="AC60" s="366"/>
      <c r="AD60" s="366"/>
      <c r="AE60" s="366"/>
      <c r="AF60" s="605"/>
      <c r="AG60" s="366"/>
      <c r="AH60" s="606"/>
      <c r="AI60" s="607"/>
      <c r="AJ60" s="606"/>
      <c r="AK60" s="606"/>
      <c r="AL60" s="606"/>
      <c r="AM60" s="369"/>
      <c r="AN60" s="369"/>
      <c r="AO60" s="369"/>
      <c r="AP60" s="392"/>
      <c r="AQ60" s="369"/>
      <c r="AR60" s="369"/>
      <c r="AS60" s="369"/>
      <c r="AT60" s="369"/>
      <c r="AU60" s="369"/>
      <c r="AV60" s="369"/>
      <c r="AW60" s="369"/>
      <c r="AX60" s="369"/>
      <c r="AY60" s="369"/>
      <c r="AZ60" s="369"/>
      <c r="BA60" s="369"/>
      <c r="BB60" s="369"/>
      <c r="BC60" s="369"/>
      <c r="BD60" s="369"/>
      <c r="BE60" s="369"/>
      <c r="BF60" s="369"/>
      <c r="BG60" s="369"/>
      <c r="BH60" s="369"/>
      <c r="BI60" s="369"/>
      <c r="BJ60" s="369"/>
      <c r="BK60" s="369"/>
      <c r="BL60" s="369"/>
      <c r="BM60" s="369"/>
      <c r="BN60" s="369"/>
      <c r="BO60" s="369"/>
      <c r="BP60" s="369"/>
      <c r="BQ60" s="369"/>
      <c r="BR60" s="369"/>
      <c r="BS60" s="369"/>
      <c r="BT60" s="369"/>
      <c r="BU60" s="369"/>
      <c r="BV60" s="369"/>
      <c r="BW60" s="369"/>
      <c r="BX60" s="369"/>
      <c r="BY60" s="369"/>
      <c r="BZ60" s="369"/>
      <c r="CA60" s="369"/>
      <c r="CB60" s="369"/>
      <c r="CC60" s="369"/>
      <c r="CD60" s="369"/>
      <c r="CE60" s="369"/>
      <c r="CF60" s="369"/>
      <c r="CG60" s="369"/>
      <c r="CH60" s="369"/>
      <c r="CI60" s="369"/>
      <c r="CJ60" s="369"/>
      <c r="CK60" s="369"/>
      <c r="CL60" s="369"/>
      <c r="CM60" s="369"/>
      <c r="CN60" s="369"/>
      <c r="CO60" s="369"/>
      <c r="CP60" s="369"/>
      <c r="CQ60" s="369"/>
      <c r="CR60" s="369"/>
      <c r="CS60" s="369"/>
      <c r="CT60" s="369"/>
      <c r="CU60" s="369"/>
      <c r="CV60" s="369"/>
      <c r="CW60" s="369"/>
      <c r="CX60" s="369"/>
      <c r="CY60" s="369"/>
      <c r="CZ60" s="369"/>
      <c r="DA60" s="369"/>
      <c r="DB60" s="369"/>
      <c r="DC60" s="369"/>
      <c r="DD60" s="369"/>
      <c r="DE60" s="369"/>
      <c r="DF60" s="369"/>
      <c r="DG60" s="369"/>
      <c r="DH60" s="369"/>
      <c r="DI60" s="369"/>
      <c r="DJ60" s="369"/>
      <c r="DK60" s="369"/>
      <c r="DL60" s="369"/>
      <c r="DM60" s="369"/>
      <c r="DN60" s="369"/>
      <c r="DO60" s="369"/>
      <c r="DP60" s="369"/>
      <c r="DQ60" s="369"/>
      <c r="DR60" s="369"/>
      <c r="DS60" s="369"/>
      <c r="DT60" s="369"/>
      <c r="DU60" s="369"/>
      <c r="DV60" s="369"/>
      <c r="DW60" s="369"/>
      <c r="DX60" s="369"/>
      <c r="DY60" s="369"/>
      <c r="DZ60" s="369"/>
      <c r="EA60" s="369"/>
      <c r="EB60" s="369"/>
      <c r="EC60" s="369"/>
      <c r="ED60" s="369"/>
      <c r="EE60" s="369"/>
      <c r="EF60" s="369"/>
      <c r="EG60" s="369"/>
      <c r="EH60" s="369"/>
      <c r="EI60" s="369"/>
      <c r="EJ60" s="369"/>
      <c r="EK60" s="369"/>
      <c r="EL60" s="369"/>
      <c r="EM60" s="369"/>
      <c r="EN60" s="369"/>
      <c r="EO60" s="369"/>
      <c r="EP60" s="369"/>
      <c r="EQ60" s="369"/>
      <c r="ER60" s="369"/>
      <c r="ES60" s="369"/>
      <c r="ET60" s="369"/>
      <c r="EU60" s="369"/>
      <c r="EV60" s="369"/>
      <c r="EW60" s="369"/>
      <c r="EX60" s="369"/>
      <c r="EY60" s="369"/>
      <c r="EZ60" s="369"/>
      <c r="FA60" s="369"/>
      <c r="FB60" s="369"/>
      <c r="FC60" s="369"/>
      <c r="FD60" s="369"/>
      <c r="FE60" s="369"/>
      <c r="FF60" s="369"/>
      <c r="FG60" s="369"/>
      <c r="FH60" s="369"/>
      <c r="FI60" s="369"/>
      <c r="FJ60" s="369"/>
      <c r="FK60" s="369"/>
      <c r="FL60" s="369"/>
      <c r="FM60" s="369"/>
      <c r="FN60" s="369"/>
      <c r="FO60" s="369"/>
      <c r="FP60" s="369"/>
      <c r="FQ60" s="369"/>
      <c r="FR60" s="369"/>
      <c r="FS60" s="369"/>
      <c r="FT60" s="369"/>
      <c r="FU60" s="369"/>
      <c r="FV60" s="369"/>
      <c r="FW60" s="369"/>
      <c r="FX60" s="369"/>
      <c r="FY60" s="369"/>
      <c r="FZ60" s="369"/>
      <c r="GA60" s="369"/>
      <c r="GB60" s="369"/>
      <c r="GC60" s="369"/>
      <c r="GD60" s="369"/>
      <c r="GE60" s="369"/>
      <c r="GF60" s="369"/>
      <c r="GG60" s="369"/>
      <c r="GH60" s="369"/>
      <c r="GI60" s="369"/>
      <c r="GJ60" s="369"/>
      <c r="GK60" s="369"/>
      <c r="GL60" s="369"/>
      <c r="GM60" s="369"/>
      <c r="GN60" s="369"/>
      <c r="GO60" s="369"/>
      <c r="GP60" s="369"/>
      <c r="GQ60" s="369"/>
      <c r="GR60" s="369"/>
      <c r="GS60" s="369"/>
      <c r="GT60" s="369"/>
      <c r="GU60" s="369"/>
      <c r="GV60" s="369"/>
      <c r="GW60" s="369"/>
      <c r="GX60" s="369"/>
      <c r="GY60" s="369"/>
      <c r="GZ60" s="369"/>
      <c r="HA60" s="369"/>
      <c r="HB60" s="369"/>
      <c r="HC60" s="369"/>
      <c r="HD60" s="369"/>
      <c r="HE60" s="369"/>
      <c r="HF60" s="369"/>
      <c r="HG60" s="369"/>
      <c r="HH60" s="369"/>
      <c r="HI60" s="369"/>
      <c r="HJ60" s="369"/>
      <c r="HK60" s="369"/>
      <c r="HL60" s="369"/>
      <c r="HM60" s="369"/>
      <c r="HN60" s="369"/>
      <c r="HO60" s="369"/>
      <c r="HP60" s="369"/>
      <c r="HQ60" s="369"/>
      <c r="HR60" s="369"/>
      <c r="HS60" s="369"/>
      <c r="HT60" s="369"/>
      <c r="HU60" s="369"/>
      <c r="HV60" s="369"/>
      <c r="HW60" s="369"/>
      <c r="HX60" s="369"/>
      <c r="HY60" s="369"/>
      <c r="HZ60" s="369"/>
      <c r="IA60" s="369"/>
      <c r="IB60" s="369"/>
      <c r="IC60" s="369"/>
      <c r="ID60" s="369"/>
      <c r="IE60" s="369"/>
      <c r="IF60" s="369"/>
      <c r="IG60" s="369"/>
      <c r="IH60" s="369"/>
      <c r="II60" s="369"/>
      <c r="IJ60" s="369"/>
      <c r="IK60" s="369"/>
      <c r="IL60" s="369"/>
      <c r="IM60" s="369"/>
      <c r="IN60" s="369"/>
      <c r="IO60" s="369"/>
      <c r="IP60" s="369"/>
      <c r="IQ60" s="369"/>
      <c r="IR60" s="369"/>
      <c r="IS60" s="369"/>
      <c r="IT60" s="369"/>
      <c r="IU60" s="369"/>
      <c r="IV60" s="369"/>
      <c r="IW60" s="369"/>
      <c r="IX60" s="369"/>
      <c r="IY60" s="369"/>
      <c r="IZ60" s="369"/>
      <c r="JA60" s="369"/>
      <c r="JB60" s="369"/>
      <c r="JC60" s="369"/>
      <c r="JD60" s="369"/>
      <c r="JE60" s="369"/>
    </row>
    <row r="61" spans="1:265" s="588" customFormat="1" x14ac:dyDescent="0.2">
      <c r="A61" s="364" t="s">
        <v>3732</v>
      </c>
      <c r="B61" s="365"/>
      <c r="C61" s="370" t="s">
        <v>4066</v>
      </c>
      <c r="D61" s="369"/>
      <c r="E61" s="372" t="s">
        <v>4067</v>
      </c>
      <c r="F61" s="364"/>
      <c r="G61" s="364" t="s">
        <v>4042</v>
      </c>
      <c r="H61" s="602">
        <v>814002011021</v>
      </c>
      <c r="I61" s="371"/>
      <c r="J61" s="371"/>
      <c r="K61" s="371"/>
      <c r="L61" s="475" t="s">
        <v>975</v>
      </c>
      <c r="M61" s="367"/>
      <c r="N61" s="516">
        <v>19.989999999999998</v>
      </c>
      <c r="O61" s="368"/>
      <c r="P61" s="368">
        <v>10</v>
      </c>
      <c r="Q61" s="366">
        <f>3.36/16</f>
        <v>0.21</v>
      </c>
      <c r="R61" s="366">
        <v>6</v>
      </c>
      <c r="S61" s="366">
        <v>2.7</v>
      </c>
      <c r="T61" s="603">
        <v>2.7</v>
      </c>
      <c r="U61" s="366">
        <v>0.25</v>
      </c>
      <c r="V61" s="366">
        <v>2.5</v>
      </c>
      <c r="W61" s="366">
        <v>2</v>
      </c>
      <c r="X61" s="366">
        <v>0.1</v>
      </c>
      <c r="Y61" s="604"/>
      <c r="Z61" s="366"/>
      <c r="AA61" s="366"/>
      <c r="AB61" s="605"/>
      <c r="AC61" s="366"/>
      <c r="AD61" s="366"/>
      <c r="AE61" s="366"/>
      <c r="AF61" s="605"/>
      <c r="AG61" s="366"/>
      <c r="AH61" s="606"/>
      <c r="AI61" s="607"/>
      <c r="AJ61" s="606"/>
      <c r="AK61" s="606"/>
      <c r="AL61" s="606"/>
      <c r="AM61" s="369"/>
      <c r="AN61" s="369"/>
      <c r="AO61" s="369"/>
      <c r="AP61" s="392"/>
      <c r="AQ61" s="369"/>
      <c r="AR61" s="369"/>
      <c r="AS61" s="369"/>
      <c r="AT61" s="369"/>
      <c r="AU61" s="369"/>
      <c r="AV61" s="369"/>
      <c r="AW61" s="369"/>
      <c r="AX61" s="369"/>
      <c r="AY61" s="369"/>
      <c r="AZ61" s="369"/>
      <c r="BA61" s="369"/>
      <c r="BB61" s="369"/>
      <c r="BC61" s="369"/>
      <c r="BD61" s="369"/>
      <c r="BE61" s="369"/>
      <c r="BF61" s="369"/>
      <c r="BG61" s="369"/>
      <c r="BH61" s="369"/>
      <c r="BI61" s="369"/>
      <c r="BJ61" s="369"/>
      <c r="BK61" s="369"/>
      <c r="BL61" s="369"/>
      <c r="BM61" s="369"/>
      <c r="BN61" s="369"/>
      <c r="BO61" s="369"/>
      <c r="BP61" s="369"/>
      <c r="BQ61" s="369"/>
      <c r="BR61" s="369"/>
      <c r="BS61" s="369"/>
      <c r="BT61" s="369"/>
      <c r="BU61" s="369"/>
      <c r="BV61" s="369"/>
      <c r="BW61" s="369"/>
      <c r="BX61" s="369"/>
      <c r="BY61" s="369"/>
      <c r="BZ61" s="369"/>
      <c r="CA61" s="369"/>
      <c r="CB61" s="369"/>
      <c r="CC61" s="369"/>
      <c r="CD61" s="369"/>
      <c r="CE61" s="369"/>
      <c r="CF61" s="369"/>
      <c r="CG61" s="369"/>
      <c r="CH61" s="369"/>
      <c r="CI61" s="369"/>
      <c r="CJ61" s="369"/>
      <c r="CK61" s="369"/>
      <c r="CL61" s="369"/>
      <c r="CM61" s="369"/>
      <c r="CN61" s="369"/>
      <c r="CO61" s="369"/>
      <c r="CP61" s="369"/>
      <c r="CQ61" s="369"/>
      <c r="CR61" s="369"/>
      <c r="CS61" s="369"/>
      <c r="CT61" s="369"/>
      <c r="CU61" s="369"/>
      <c r="CV61" s="369"/>
      <c r="CW61" s="369"/>
      <c r="CX61" s="369"/>
      <c r="CY61" s="369"/>
      <c r="CZ61" s="369"/>
      <c r="DA61" s="369"/>
      <c r="DB61" s="369"/>
      <c r="DC61" s="369"/>
      <c r="DD61" s="369"/>
      <c r="DE61" s="369"/>
      <c r="DF61" s="369"/>
      <c r="DG61" s="369"/>
      <c r="DH61" s="369"/>
      <c r="DI61" s="369"/>
      <c r="DJ61" s="369"/>
      <c r="DK61" s="369"/>
      <c r="DL61" s="369"/>
      <c r="DM61" s="369"/>
      <c r="DN61" s="369"/>
      <c r="DO61" s="369"/>
      <c r="DP61" s="369"/>
      <c r="DQ61" s="369"/>
      <c r="DR61" s="369"/>
      <c r="DS61" s="369"/>
      <c r="DT61" s="369"/>
      <c r="DU61" s="369"/>
      <c r="DV61" s="369"/>
      <c r="DW61" s="369"/>
      <c r="DX61" s="369"/>
      <c r="DY61" s="369"/>
      <c r="DZ61" s="369"/>
      <c r="EA61" s="369"/>
      <c r="EB61" s="369"/>
      <c r="EC61" s="369"/>
      <c r="ED61" s="369"/>
      <c r="EE61" s="369"/>
      <c r="EF61" s="369"/>
      <c r="EG61" s="369"/>
      <c r="EH61" s="369"/>
      <c r="EI61" s="369"/>
      <c r="EJ61" s="369"/>
      <c r="EK61" s="369"/>
      <c r="EL61" s="369"/>
      <c r="EM61" s="369"/>
      <c r="EN61" s="369"/>
      <c r="EO61" s="369"/>
      <c r="EP61" s="369"/>
      <c r="EQ61" s="369"/>
      <c r="ER61" s="369"/>
      <c r="ES61" s="369"/>
      <c r="ET61" s="369"/>
      <c r="EU61" s="369"/>
      <c r="EV61" s="369"/>
      <c r="EW61" s="369"/>
      <c r="EX61" s="369"/>
      <c r="EY61" s="369"/>
      <c r="EZ61" s="369"/>
      <c r="FA61" s="369"/>
      <c r="FB61" s="369"/>
      <c r="FC61" s="369"/>
      <c r="FD61" s="369"/>
      <c r="FE61" s="369"/>
      <c r="FF61" s="369"/>
      <c r="FG61" s="369"/>
      <c r="FH61" s="369"/>
      <c r="FI61" s="369"/>
      <c r="FJ61" s="369"/>
      <c r="FK61" s="369"/>
      <c r="FL61" s="369"/>
      <c r="FM61" s="369"/>
      <c r="FN61" s="369"/>
      <c r="FO61" s="369"/>
      <c r="FP61" s="369"/>
      <c r="FQ61" s="369"/>
      <c r="FR61" s="369"/>
      <c r="FS61" s="369"/>
      <c r="FT61" s="369"/>
      <c r="FU61" s="369"/>
      <c r="FV61" s="369"/>
      <c r="FW61" s="369"/>
      <c r="FX61" s="369"/>
      <c r="FY61" s="369"/>
      <c r="FZ61" s="369"/>
      <c r="GA61" s="369"/>
      <c r="GB61" s="369"/>
      <c r="GC61" s="369"/>
      <c r="GD61" s="369"/>
      <c r="GE61" s="369"/>
      <c r="GF61" s="369"/>
      <c r="GG61" s="369"/>
      <c r="GH61" s="369"/>
      <c r="GI61" s="369"/>
      <c r="GJ61" s="369"/>
      <c r="GK61" s="369"/>
      <c r="GL61" s="369"/>
      <c r="GM61" s="369"/>
      <c r="GN61" s="369"/>
      <c r="GO61" s="369"/>
      <c r="GP61" s="369"/>
      <c r="GQ61" s="369"/>
      <c r="GR61" s="369"/>
      <c r="GS61" s="369"/>
      <c r="GT61" s="369"/>
      <c r="GU61" s="369"/>
      <c r="GV61" s="369"/>
      <c r="GW61" s="369"/>
      <c r="GX61" s="369"/>
      <c r="GY61" s="369"/>
      <c r="GZ61" s="369"/>
      <c r="HA61" s="369"/>
      <c r="HB61" s="369"/>
      <c r="HC61" s="369"/>
      <c r="HD61" s="369"/>
      <c r="HE61" s="369"/>
      <c r="HF61" s="369"/>
      <c r="HG61" s="369"/>
      <c r="HH61" s="369"/>
      <c r="HI61" s="369"/>
      <c r="HJ61" s="369"/>
      <c r="HK61" s="369"/>
      <c r="HL61" s="369"/>
      <c r="HM61" s="369"/>
      <c r="HN61" s="369"/>
      <c r="HO61" s="369"/>
      <c r="HP61" s="369"/>
      <c r="HQ61" s="369"/>
      <c r="HR61" s="369"/>
      <c r="HS61" s="369"/>
      <c r="HT61" s="369"/>
      <c r="HU61" s="369"/>
      <c r="HV61" s="369"/>
      <c r="HW61" s="369"/>
      <c r="HX61" s="369"/>
      <c r="HY61" s="369"/>
      <c r="HZ61" s="369"/>
      <c r="IA61" s="369"/>
      <c r="IB61" s="369"/>
      <c r="IC61" s="369"/>
      <c r="ID61" s="369"/>
      <c r="IE61" s="369"/>
      <c r="IF61" s="369"/>
      <c r="IG61" s="369"/>
      <c r="IH61" s="369"/>
      <c r="II61" s="369"/>
      <c r="IJ61" s="369"/>
      <c r="IK61" s="369"/>
      <c r="IL61" s="369"/>
      <c r="IM61" s="369"/>
      <c r="IN61" s="369"/>
      <c r="IO61" s="369"/>
      <c r="IP61" s="369"/>
      <c r="IQ61" s="369"/>
      <c r="IR61" s="369"/>
      <c r="IS61" s="369"/>
      <c r="IT61" s="369"/>
      <c r="IU61" s="369"/>
      <c r="IV61" s="369"/>
      <c r="IW61" s="369"/>
      <c r="IX61" s="369"/>
      <c r="IY61" s="369"/>
      <c r="IZ61" s="369"/>
      <c r="JA61" s="369"/>
      <c r="JB61" s="369"/>
      <c r="JC61" s="369"/>
      <c r="JD61" s="369"/>
      <c r="JE61" s="369"/>
    </row>
    <row r="62" spans="1:265" s="588" customFormat="1" x14ac:dyDescent="0.2">
      <c r="A62" s="364" t="s">
        <v>3732</v>
      </c>
      <c r="B62" s="365"/>
      <c r="C62" s="370" t="s">
        <v>4068</v>
      </c>
      <c r="D62" s="369"/>
      <c r="E62" s="372" t="s">
        <v>4069</v>
      </c>
      <c r="F62" s="364"/>
      <c r="G62" s="364" t="s">
        <v>4042</v>
      </c>
      <c r="H62" s="602">
        <v>814002011014</v>
      </c>
      <c r="I62" s="371"/>
      <c r="J62" s="371"/>
      <c r="K62" s="371"/>
      <c r="L62" s="475" t="s">
        <v>975</v>
      </c>
      <c r="M62" s="367"/>
      <c r="N62" s="516">
        <v>29.99</v>
      </c>
      <c r="O62" s="368"/>
      <c r="P62" s="368">
        <v>10</v>
      </c>
      <c r="Q62" s="366">
        <f>2.56/16</f>
        <v>0.16</v>
      </c>
      <c r="R62" s="366">
        <v>6.5</v>
      </c>
      <c r="S62" s="366">
        <v>2</v>
      </c>
      <c r="T62" s="603">
        <v>1.2</v>
      </c>
      <c r="U62" s="366">
        <v>0.2</v>
      </c>
      <c r="V62" s="366">
        <v>8.3000000000000007</v>
      </c>
      <c r="W62" s="366">
        <v>4.7</v>
      </c>
      <c r="X62" s="366">
        <v>1.2</v>
      </c>
      <c r="Y62" s="604"/>
      <c r="Z62" s="366"/>
      <c r="AA62" s="366"/>
      <c r="AB62" s="605"/>
      <c r="AC62" s="366"/>
      <c r="AD62" s="366"/>
      <c r="AE62" s="366"/>
      <c r="AF62" s="605"/>
      <c r="AG62" s="366"/>
      <c r="AH62" s="606"/>
      <c r="AI62" s="607"/>
      <c r="AJ62" s="606"/>
      <c r="AK62" s="606"/>
      <c r="AL62" s="606"/>
      <c r="AM62" s="369"/>
      <c r="AN62" s="369"/>
      <c r="AO62" s="369"/>
      <c r="AP62" s="392"/>
      <c r="AQ62" s="369"/>
      <c r="AR62" s="369"/>
      <c r="AS62" s="369"/>
      <c r="AT62" s="369"/>
      <c r="AU62" s="369"/>
      <c r="AV62" s="369"/>
      <c r="AW62" s="369"/>
      <c r="AX62" s="369"/>
      <c r="AY62" s="369"/>
      <c r="AZ62" s="369"/>
      <c r="BA62" s="369"/>
      <c r="BB62" s="369"/>
      <c r="BC62" s="369"/>
      <c r="BD62" s="369"/>
      <c r="BE62" s="369"/>
      <c r="BF62" s="369"/>
      <c r="BG62" s="369"/>
      <c r="BH62" s="369"/>
      <c r="BI62" s="369"/>
      <c r="BJ62" s="369"/>
      <c r="BK62" s="369"/>
      <c r="BL62" s="369"/>
      <c r="BM62" s="369"/>
      <c r="BN62" s="369"/>
      <c r="BO62" s="369"/>
      <c r="BP62" s="369"/>
      <c r="BQ62" s="369"/>
      <c r="BR62" s="369"/>
      <c r="BS62" s="369"/>
      <c r="BT62" s="369"/>
      <c r="BU62" s="369"/>
      <c r="BV62" s="369"/>
      <c r="BW62" s="369"/>
      <c r="BX62" s="369"/>
      <c r="BY62" s="369"/>
      <c r="BZ62" s="369"/>
      <c r="CA62" s="369"/>
      <c r="CB62" s="369"/>
      <c r="CC62" s="369"/>
      <c r="CD62" s="369"/>
      <c r="CE62" s="369"/>
      <c r="CF62" s="369"/>
      <c r="CG62" s="369"/>
      <c r="CH62" s="369"/>
      <c r="CI62" s="369"/>
      <c r="CJ62" s="369"/>
      <c r="CK62" s="369"/>
      <c r="CL62" s="369"/>
      <c r="CM62" s="369"/>
      <c r="CN62" s="369"/>
      <c r="CO62" s="369"/>
      <c r="CP62" s="369"/>
      <c r="CQ62" s="369"/>
      <c r="CR62" s="369"/>
      <c r="CS62" s="369"/>
      <c r="CT62" s="369"/>
      <c r="CU62" s="369"/>
      <c r="CV62" s="369"/>
      <c r="CW62" s="369"/>
      <c r="CX62" s="369"/>
      <c r="CY62" s="369"/>
      <c r="CZ62" s="369"/>
      <c r="DA62" s="369"/>
      <c r="DB62" s="369"/>
      <c r="DC62" s="369"/>
      <c r="DD62" s="369"/>
      <c r="DE62" s="369"/>
      <c r="DF62" s="369"/>
      <c r="DG62" s="369"/>
      <c r="DH62" s="369"/>
      <c r="DI62" s="369"/>
      <c r="DJ62" s="369"/>
      <c r="DK62" s="369"/>
      <c r="DL62" s="369"/>
      <c r="DM62" s="369"/>
      <c r="DN62" s="369"/>
      <c r="DO62" s="369"/>
      <c r="DP62" s="369"/>
      <c r="DQ62" s="369"/>
      <c r="DR62" s="369"/>
      <c r="DS62" s="369"/>
      <c r="DT62" s="369"/>
      <c r="DU62" s="369"/>
      <c r="DV62" s="369"/>
      <c r="DW62" s="369"/>
      <c r="DX62" s="369"/>
      <c r="DY62" s="369"/>
      <c r="DZ62" s="369"/>
      <c r="EA62" s="369"/>
      <c r="EB62" s="369"/>
      <c r="EC62" s="369"/>
      <c r="ED62" s="369"/>
      <c r="EE62" s="369"/>
      <c r="EF62" s="369"/>
      <c r="EG62" s="369"/>
      <c r="EH62" s="369"/>
      <c r="EI62" s="369"/>
      <c r="EJ62" s="369"/>
      <c r="EK62" s="369"/>
      <c r="EL62" s="369"/>
      <c r="EM62" s="369"/>
      <c r="EN62" s="369"/>
      <c r="EO62" s="369"/>
      <c r="EP62" s="369"/>
      <c r="EQ62" s="369"/>
      <c r="ER62" s="369"/>
      <c r="ES62" s="369"/>
      <c r="ET62" s="369"/>
      <c r="EU62" s="369"/>
      <c r="EV62" s="369"/>
      <c r="EW62" s="369"/>
      <c r="EX62" s="369"/>
      <c r="EY62" s="369"/>
      <c r="EZ62" s="369"/>
      <c r="FA62" s="369"/>
      <c r="FB62" s="369"/>
      <c r="FC62" s="369"/>
      <c r="FD62" s="369"/>
      <c r="FE62" s="369"/>
      <c r="FF62" s="369"/>
      <c r="FG62" s="369"/>
      <c r="FH62" s="369"/>
      <c r="FI62" s="369"/>
      <c r="FJ62" s="369"/>
      <c r="FK62" s="369"/>
      <c r="FL62" s="369"/>
      <c r="FM62" s="369"/>
      <c r="FN62" s="369"/>
      <c r="FO62" s="369"/>
      <c r="FP62" s="369"/>
      <c r="FQ62" s="369"/>
      <c r="FR62" s="369"/>
      <c r="FS62" s="369"/>
      <c r="FT62" s="369"/>
      <c r="FU62" s="369"/>
      <c r="FV62" s="369"/>
      <c r="FW62" s="369"/>
      <c r="FX62" s="369"/>
      <c r="FY62" s="369"/>
      <c r="FZ62" s="369"/>
      <c r="GA62" s="369"/>
      <c r="GB62" s="369"/>
      <c r="GC62" s="369"/>
      <c r="GD62" s="369"/>
      <c r="GE62" s="369"/>
      <c r="GF62" s="369"/>
      <c r="GG62" s="369"/>
      <c r="GH62" s="369"/>
      <c r="GI62" s="369"/>
      <c r="GJ62" s="369"/>
      <c r="GK62" s="369"/>
      <c r="GL62" s="369"/>
      <c r="GM62" s="369"/>
      <c r="GN62" s="369"/>
      <c r="GO62" s="369"/>
      <c r="GP62" s="369"/>
      <c r="GQ62" s="369"/>
      <c r="GR62" s="369"/>
      <c r="GS62" s="369"/>
      <c r="GT62" s="369"/>
      <c r="GU62" s="369"/>
      <c r="GV62" s="369"/>
      <c r="GW62" s="369"/>
      <c r="GX62" s="369"/>
      <c r="GY62" s="369"/>
      <c r="GZ62" s="369"/>
      <c r="HA62" s="369"/>
      <c r="HB62" s="369"/>
      <c r="HC62" s="369"/>
      <c r="HD62" s="369"/>
      <c r="HE62" s="369"/>
      <c r="HF62" s="369"/>
      <c r="HG62" s="369"/>
      <c r="HH62" s="369"/>
      <c r="HI62" s="369"/>
      <c r="HJ62" s="369"/>
      <c r="HK62" s="369"/>
      <c r="HL62" s="369"/>
      <c r="HM62" s="369"/>
      <c r="HN62" s="369"/>
      <c r="HO62" s="369"/>
      <c r="HP62" s="369"/>
      <c r="HQ62" s="369"/>
      <c r="HR62" s="369"/>
      <c r="HS62" s="369"/>
      <c r="HT62" s="369"/>
      <c r="HU62" s="369"/>
      <c r="HV62" s="369"/>
      <c r="HW62" s="369"/>
      <c r="HX62" s="369"/>
      <c r="HY62" s="369"/>
      <c r="HZ62" s="369"/>
      <c r="IA62" s="369"/>
      <c r="IB62" s="369"/>
      <c r="IC62" s="369"/>
      <c r="ID62" s="369"/>
      <c r="IE62" s="369"/>
      <c r="IF62" s="369"/>
      <c r="IG62" s="369"/>
      <c r="IH62" s="369"/>
      <c r="II62" s="369"/>
      <c r="IJ62" s="369"/>
      <c r="IK62" s="369"/>
      <c r="IL62" s="369"/>
      <c r="IM62" s="369"/>
      <c r="IN62" s="369"/>
      <c r="IO62" s="369"/>
      <c r="IP62" s="369"/>
      <c r="IQ62" s="369"/>
      <c r="IR62" s="369"/>
      <c r="IS62" s="369"/>
      <c r="IT62" s="369"/>
      <c r="IU62" s="369"/>
      <c r="IV62" s="369"/>
      <c r="IW62" s="369"/>
      <c r="IX62" s="369"/>
      <c r="IY62" s="369"/>
      <c r="IZ62" s="369"/>
      <c r="JA62" s="369"/>
      <c r="JB62" s="369"/>
      <c r="JC62" s="369"/>
      <c r="JD62" s="369"/>
      <c r="JE62" s="369"/>
    </row>
    <row r="63" spans="1:265" s="88" customFormat="1" x14ac:dyDescent="0.2">
      <c r="A63" s="18" t="s">
        <v>3732</v>
      </c>
      <c r="B63" s="125"/>
      <c r="C63" s="22" t="s">
        <v>4070</v>
      </c>
      <c r="D63" s="37"/>
      <c r="E63" s="57" t="s">
        <v>4071</v>
      </c>
      <c r="F63" s="18"/>
      <c r="G63" s="18" t="s">
        <v>4042</v>
      </c>
      <c r="H63" s="497">
        <v>814002011335</v>
      </c>
      <c r="I63" s="124"/>
      <c r="J63" s="124"/>
      <c r="K63" s="124"/>
      <c r="L63" s="219" t="s">
        <v>975</v>
      </c>
      <c r="M63" s="5"/>
      <c r="N63" s="504">
        <v>49.99</v>
      </c>
      <c r="O63" s="35"/>
      <c r="P63" s="35">
        <v>10</v>
      </c>
      <c r="Q63" s="33">
        <f>4.3/16</f>
        <v>0.26874999999999999</v>
      </c>
      <c r="R63" s="33">
        <v>5.75</v>
      </c>
      <c r="S63" s="33">
        <v>2.75</v>
      </c>
      <c r="T63" s="129">
        <v>2.2999999999999998</v>
      </c>
      <c r="U63" s="33">
        <v>0.3</v>
      </c>
      <c r="V63" s="33">
        <v>4.5</v>
      </c>
      <c r="W63" s="33">
        <v>3</v>
      </c>
      <c r="X63" s="33">
        <v>0.08</v>
      </c>
      <c r="Y63" s="541"/>
      <c r="Z63" s="121"/>
      <c r="AA63" s="121"/>
      <c r="AB63" s="548"/>
      <c r="AC63" s="121"/>
      <c r="AD63" s="121"/>
      <c r="AE63" s="121"/>
      <c r="AF63" s="548"/>
      <c r="AG63" s="121"/>
      <c r="AH63" s="80"/>
      <c r="AI63" s="492"/>
      <c r="AJ63" s="80"/>
      <c r="AK63" s="80"/>
      <c r="AL63" s="80"/>
      <c r="AM63" s="37"/>
      <c r="AN63" s="37"/>
      <c r="AO63" s="37"/>
      <c r="AP63" s="52"/>
      <c r="AQ63" s="37"/>
      <c r="AR63" s="37"/>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row>
    <row r="64" spans="1:265" s="588" customFormat="1" x14ac:dyDescent="0.2">
      <c r="A64" s="364" t="s">
        <v>3732</v>
      </c>
      <c r="B64" s="365"/>
      <c r="C64" s="370" t="s">
        <v>4072</v>
      </c>
      <c r="D64" s="369"/>
      <c r="E64" s="372" t="s">
        <v>4073</v>
      </c>
      <c r="F64" s="364"/>
      <c r="G64" s="364" t="s">
        <v>4042</v>
      </c>
      <c r="H64" s="602">
        <v>814002012196</v>
      </c>
      <c r="I64" s="371"/>
      <c r="J64" s="371"/>
      <c r="K64" s="371"/>
      <c r="L64" s="475" t="s">
        <v>975</v>
      </c>
      <c r="M64" s="367"/>
      <c r="N64" s="516"/>
      <c r="O64" s="368"/>
      <c r="P64" s="368">
        <v>1</v>
      </c>
      <c r="Q64" s="366">
        <f>13.6/16</f>
        <v>0.85</v>
      </c>
      <c r="R64" s="366">
        <v>26</v>
      </c>
      <c r="S64" s="366">
        <v>22</v>
      </c>
      <c r="T64" s="603">
        <v>2.4</v>
      </c>
      <c r="U64" s="366">
        <v>0.86</v>
      </c>
      <c r="V64" s="366">
        <v>16.5</v>
      </c>
      <c r="W64" s="366">
        <v>7.9</v>
      </c>
      <c r="X64" s="366">
        <v>3.2</v>
      </c>
      <c r="Y64" s="604"/>
      <c r="Z64" s="366"/>
      <c r="AA64" s="366"/>
      <c r="AB64" s="605"/>
      <c r="AC64" s="366"/>
      <c r="AD64" s="366"/>
      <c r="AE64" s="366"/>
      <c r="AF64" s="605"/>
      <c r="AG64" s="366"/>
      <c r="AH64" s="606"/>
      <c r="AI64" s="607"/>
      <c r="AJ64" s="606"/>
      <c r="AK64" s="606"/>
      <c r="AL64" s="606"/>
      <c r="AM64" s="369"/>
      <c r="AN64" s="369"/>
      <c r="AO64" s="369"/>
      <c r="AP64" s="392"/>
      <c r="AQ64" s="369"/>
      <c r="AR64" s="369"/>
      <c r="AS64" s="369"/>
      <c r="AT64" s="369"/>
      <c r="AU64" s="369"/>
      <c r="AV64" s="369"/>
      <c r="AW64" s="369"/>
      <c r="AX64" s="369"/>
      <c r="AY64" s="369"/>
      <c r="AZ64" s="369"/>
      <c r="BA64" s="369"/>
      <c r="BB64" s="369"/>
      <c r="BC64" s="369"/>
      <c r="BD64" s="369"/>
      <c r="BE64" s="369"/>
      <c r="BF64" s="369"/>
      <c r="BG64" s="369"/>
      <c r="BH64" s="369"/>
      <c r="BI64" s="369"/>
      <c r="BJ64" s="369"/>
      <c r="BK64" s="369"/>
      <c r="BL64" s="369"/>
      <c r="BM64" s="369"/>
      <c r="BN64" s="369"/>
      <c r="BO64" s="369"/>
      <c r="BP64" s="369"/>
      <c r="BQ64" s="369"/>
      <c r="BR64" s="369"/>
      <c r="BS64" s="369"/>
      <c r="BT64" s="369"/>
      <c r="BU64" s="369"/>
      <c r="BV64" s="369"/>
      <c r="BW64" s="369"/>
      <c r="BX64" s="369"/>
      <c r="BY64" s="369"/>
      <c r="BZ64" s="369"/>
      <c r="CA64" s="369"/>
      <c r="CB64" s="369"/>
      <c r="CC64" s="369"/>
      <c r="CD64" s="369"/>
      <c r="CE64" s="369"/>
      <c r="CF64" s="369"/>
      <c r="CG64" s="369"/>
      <c r="CH64" s="369"/>
      <c r="CI64" s="369"/>
      <c r="CJ64" s="369"/>
      <c r="CK64" s="369"/>
      <c r="CL64" s="369"/>
      <c r="CM64" s="369"/>
      <c r="CN64" s="369"/>
      <c r="CO64" s="369"/>
      <c r="CP64" s="369"/>
      <c r="CQ64" s="369"/>
      <c r="CR64" s="369"/>
      <c r="CS64" s="369"/>
      <c r="CT64" s="369"/>
      <c r="CU64" s="369"/>
      <c r="CV64" s="369"/>
      <c r="CW64" s="369"/>
      <c r="CX64" s="369"/>
      <c r="CY64" s="369"/>
      <c r="CZ64" s="369"/>
      <c r="DA64" s="369"/>
      <c r="DB64" s="369"/>
      <c r="DC64" s="369"/>
      <c r="DD64" s="369"/>
      <c r="DE64" s="369"/>
      <c r="DF64" s="369"/>
      <c r="DG64" s="369"/>
      <c r="DH64" s="369"/>
      <c r="DI64" s="369"/>
      <c r="DJ64" s="369"/>
      <c r="DK64" s="369"/>
      <c r="DL64" s="369"/>
      <c r="DM64" s="369"/>
      <c r="DN64" s="369"/>
      <c r="DO64" s="369"/>
      <c r="DP64" s="369"/>
      <c r="DQ64" s="369"/>
      <c r="DR64" s="369"/>
      <c r="DS64" s="369"/>
      <c r="DT64" s="369"/>
      <c r="DU64" s="369"/>
      <c r="DV64" s="369"/>
      <c r="DW64" s="369"/>
      <c r="DX64" s="369"/>
      <c r="DY64" s="369"/>
      <c r="DZ64" s="369"/>
      <c r="EA64" s="369"/>
      <c r="EB64" s="369"/>
      <c r="EC64" s="369"/>
      <c r="ED64" s="369"/>
      <c r="EE64" s="369"/>
      <c r="EF64" s="369"/>
      <c r="EG64" s="369"/>
      <c r="EH64" s="369"/>
      <c r="EI64" s="369"/>
      <c r="EJ64" s="369"/>
      <c r="EK64" s="369"/>
      <c r="EL64" s="369"/>
      <c r="EM64" s="369"/>
      <c r="EN64" s="369"/>
      <c r="EO64" s="369"/>
      <c r="EP64" s="369"/>
      <c r="EQ64" s="369"/>
      <c r="ER64" s="369"/>
      <c r="ES64" s="369"/>
      <c r="ET64" s="369"/>
      <c r="EU64" s="369"/>
      <c r="EV64" s="369"/>
      <c r="EW64" s="369"/>
      <c r="EX64" s="369"/>
      <c r="EY64" s="369"/>
      <c r="EZ64" s="369"/>
      <c r="FA64" s="369"/>
      <c r="FB64" s="369"/>
      <c r="FC64" s="369"/>
      <c r="FD64" s="369"/>
      <c r="FE64" s="369"/>
      <c r="FF64" s="369"/>
      <c r="FG64" s="369"/>
      <c r="FH64" s="369"/>
      <c r="FI64" s="369"/>
      <c r="FJ64" s="369"/>
      <c r="FK64" s="369"/>
      <c r="FL64" s="369"/>
      <c r="FM64" s="369"/>
      <c r="FN64" s="369"/>
      <c r="FO64" s="369"/>
      <c r="FP64" s="369"/>
      <c r="FQ64" s="369"/>
      <c r="FR64" s="369"/>
      <c r="FS64" s="369"/>
      <c r="FT64" s="369"/>
      <c r="FU64" s="369"/>
      <c r="FV64" s="369"/>
      <c r="FW64" s="369"/>
      <c r="FX64" s="369"/>
      <c r="FY64" s="369"/>
      <c r="FZ64" s="369"/>
      <c r="GA64" s="369"/>
      <c r="GB64" s="369"/>
      <c r="GC64" s="369"/>
      <c r="GD64" s="369"/>
      <c r="GE64" s="369"/>
      <c r="GF64" s="369"/>
      <c r="GG64" s="369"/>
      <c r="GH64" s="369"/>
      <c r="GI64" s="369"/>
      <c r="GJ64" s="369"/>
      <c r="GK64" s="369"/>
      <c r="GL64" s="369"/>
      <c r="GM64" s="369"/>
      <c r="GN64" s="369"/>
      <c r="GO64" s="369"/>
      <c r="GP64" s="369"/>
      <c r="GQ64" s="369"/>
      <c r="GR64" s="369"/>
      <c r="GS64" s="369"/>
      <c r="GT64" s="369"/>
      <c r="GU64" s="369"/>
      <c r="GV64" s="369"/>
      <c r="GW64" s="369"/>
      <c r="GX64" s="369"/>
      <c r="GY64" s="369"/>
      <c r="GZ64" s="369"/>
      <c r="HA64" s="369"/>
      <c r="HB64" s="369"/>
      <c r="HC64" s="369"/>
      <c r="HD64" s="369"/>
      <c r="HE64" s="369"/>
      <c r="HF64" s="369"/>
      <c r="HG64" s="369"/>
      <c r="HH64" s="369"/>
      <c r="HI64" s="369"/>
      <c r="HJ64" s="369"/>
      <c r="HK64" s="369"/>
      <c r="HL64" s="369"/>
      <c r="HM64" s="369"/>
      <c r="HN64" s="369"/>
      <c r="HO64" s="369"/>
      <c r="HP64" s="369"/>
      <c r="HQ64" s="369"/>
      <c r="HR64" s="369"/>
      <c r="HS64" s="369"/>
      <c r="HT64" s="369"/>
      <c r="HU64" s="369"/>
      <c r="HV64" s="369"/>
      <c r="HW64" s="369"/>
      <c r="HX64" s="369"/>
      <c r="HY64" s="369"/>
      <c r="HZ64" s="369"/>
      <c r="IA64" s="369"/>
      <c r="IB64" s="369"/>
      <c r="IC64" s="369"/>
      <c r="ID64" s="369"/>
      <c r="IE64" s="369"/>
      <c r="IF64" s="369"/>
      <c r="IG64" s="369"/>
      <c r="IH64" s="369"/>
      <c r="II64" s="369"/>
      <c r="IJ64" s="369"/>
      <c r="IK64" s="369"/>
      <c r="IL64" s="369"/>
      <c r="IM64" s="369"/>
      <c r="IN64" s="369"/>
      <c r="IO64" s="369"/>
      <c r="IP64" s="369"/>
      <c r="IQ64" s="369"/>
      <c r="IR64" s="369"/>
      <c r="IS64" s="369"/>
      <c r="IT64" s="369"/>
      <c r="IU64" s="369"/>
      <c r="IV64" s="369"/>
      <c r="IW64" s="369"/>
      <c r="IX64" s="369"/>
      <c r="IY64" s="369"/>
      <c r="IZ64" s="369"/>
      <c r="JA64" s="369"/>
      <c r="JB64" s="369"/>
      <c r="JC64" s="369"/>
      <c r="JD64" s="369"/>
      <c r="JE64" s="369"/>
    </row>
    <row r="65" spans="1:265" s="588" customFormat="1" x14ac:dyDescent="0.2">
      <c r="A65" s="364" t="s">
        <v>3732</v>
      </c>
      <c r="B65" s="365"/>
      <c r="C65" s="370" t="s">
        <v>4074</v>
      </c>
      <c r="D65" s="369"/>
      <c r="E65" s="372" t="s">
        <v>4075</v>
      </c>
      <c r="F65" s="364"/>
      <c r="G65" s="364" t="s">
        <v>4042</v>
      </c>
      <c r="H65" s="602">
        <v>814002011311</v>
      </c>
      <c r="I65" s="371"/>
      <c r="J65" s="371"/>
      <c r="K65" s="371"/>
      <c r="L65" s="475" t="s">
        <v>975</v>
      </c>
      <c r="M65" s="367"/>
      <c r="N65" s="516">
        <v>34.99</v>
      </c>
      <c r="O65" s="368"/>
      <c r="P65" s="368">
        <v>10</v>
      </c>
      <c r="Q65" s="366">
        <f>2.8/16</f>
        <v>0.17499999999999999</v>
      </c>
      <c r="R65" s="366">
        <v>9.6</v>
      </c>
      <c r="S65" s="603" t="s">
        <v>259</v>
      </c>
      <c r="T65" s="603">
        <v>9.6</v>
      </c>
      <c r="U65" s="366">
        <v>0.2</v>
      </c>
      <c r="V65" s="366">
        <v>4.8</v>
      </c>
      <c r="W65" s="366">
        <v>4.5</v>
      </c>
      <c r="X65" s="366">
        <v>0.6</v>
      </c>
      <c r="Y65" s="604"/>
      <c r="Z65" s="366"/>
      <c r="AA65" s="366"/>
      <c r="AB65" s="605"/>
      <c r="AC65" s="366"/>
      <c r="AD65" s="366"/>
      <c r="AE65" s="366"/>
      <c r="AF65" s="605"/>
      <c r="AG65" s="366"/>
      <c r="AH65" s="606"/>
      <c r="AI65" s="607"/>
      <c r="AJ65" s="606"/>
      <c r="AK65" s="606"/>
      <c r="AL65" s="606"/>
      <c r="AM65" s="369"/>
      <c r="AN65" s="369"/>
      <c r="AO65" s="369"/>
      <c r="AP65" s="392"/>
      <c r="AQ65" s="369"/>
      <c r="AR65" s="369"/>
      <c r="AS65" s="369"/>
      <c r="AT65" s="369"/>
      <c r="AU65" s="369"/>
      <c r="AV65" s="369"/>
      <c r="AW65" s="369"/>
      <c r="AX65" s="369"/>
      <c r="AY65" s="369"/>
      <c r="AZ65" s="369"/>
      <c r="BA65" s="369"/>
      <c r="BB65" s="369"/>
      <c r="BC65" s="369"/>
      <c r="BD65" s="369"/>
      <c r="BE65" s="369"/>
      <c r="BF65" s="369"/>
      <c r="BG65" s="369"/>
      <c r="BH65" s="369"/>
      <c r="BI65" s="369"/>
      <c r="BJ65" s="369"/>
      <c r="BK65" s="369"/>
      <c r="BL65" s="369"/>
      <c r="BM65" s="369"/>
      <c r="BN65" s="369"/>
      <c r="BO65" s="369"/>
      <c r="BP65" s="369"/>
      <c r="BQ65" s="369"/>
      <c r="BR65" s="369"/>
      <c r="BS65" s="369"/>
      <c r="BT65" s="369"/>
      <c r="BU65" s="369"/>
      <c r="BV65" s="369"/>
      <c r="BW65" s="369"/>
      <c r="BX65" s="369"/>
      <c r="BY65" s="369"/>
      <c r="BZ65" s="369"/>
      <c r="CA65" s="369"/>
      <c r="CB65" s="369"/>
      <c r="CC65" s="369"/>
      <c r="CD65" s="369"/>
      <c r="CE65" s="369"/>
      <c r="CF65" s="369"/>
      <c r="CG65" s="369"/>
      <c r="CH65" s="369"/>
      <c r="CI65" s="369"/>
      <c r="CJ65" s="369"/>
      <c r="CK65" s="369"/>
      <c r="CL65" s="369"/>
      <c r="CM65" s="369"/>
      <c r="CN65" s="369"/>
      <c r="CO65" s="369"/>
      <c r="CP65" s="369"/>
      <c r="CQ65" s="369"/>
      <c r="CR65" s="369"/>
      <c r="CS65" s="369"/>
      <c r="CT65" s="369"/>
      <c r="CU65" s="369"/>
      <c r="CV65" s="369"/>
      <c r="CW65" s="369"/>
      <c r="CX65" s="369"/>
      <c r="CY65" s="369"/>
      <c r="CZ65" s="369"/>
      <c r="DA65" s="369"/>
      <c r="DB65" s="369"/>
      <c r="DC65" s="369"/>
      <c r="DD65" s="369"/>
      <c r="DE65" s="369"/>
      <c r="DF65" s="369"/>
      <c r="DG65" s="369"/>
      <c r="DH65" s="369"/>
      <c r="DI65" s="369"/>
      <c r="DJ65" s="369"/>
      <c r="DK65" s="369"/>
      <c r="DL65" s="369"/>
      <c r="DM65" s="369"/>
      <c r="DN65" s="369"/>
      <c r="DO65" s="369"/>
      <c r="DP65" s="369"/>
      <c r="DQ65" s="369"/>
      <c r="DR65" s="369"/>
      <c r="DS65" s="369"/>
      <c r="DT65" s="369"/>
      <c r="DU65" s="369"/>
      <c r="DV65" s="369"/>
      <c r="DW65" s="369"/>
      <c r="DX65" s="369"/>
      <c r="DY65" s="369"/>
      <c r="DZ65" s="369"/>
      <c r="EA65" s="369"/>
      <c r="EB65" s="369"/>
      <c r="EC65" s="369"/>
      <c r="ED65" s="369"/>
      <c r="EE65" s="369"/>
      <c r="EF65" s="369"/>
      <c r="EG65" s="369"/>
      <c r="EH65" s="369"/>
      <c r="EI65" s="369"/>
      <c r="EJ65" s="369"/>
      <c r="EK65" s="369"/>
      <c r="EL65" s="369"/>
      <c r="EM65" s="369"/>
      <c r="EN65" s="369"/>
      <c r="EO65" s="369"/>
      <c r="EP65" s="369"/>
      <c r="EQ65" s="369"/>
      <c r="ER65" s="369"/>
      <c r="ES65" s="369"/>
      <c r="ET65" s="369"/>
      <c r="EU65" s="369"/>
      <c r="EV65" s="369"/>
      <c r="EW65" s="369"/>
      <c r="EX65" s="369"/>
      <c r="EY65" s="369"/>
      <c r="EZ65" s="369"/>
      <c r="FA65" s="369"/>
      <c r="FB65" s="369"/>
      <c r="FC65" s="369"/>
      <c r="FD65" s="369"/>
      <c r="FE65" s="369"/>
      <c r="FF65" s="369"/>
      <c r="FG65" s="369"/>
      <c r="FH65" s="369"/>
      <c r="FI65" s="369"/>
      <c r="FJ65" s="369"/>
      <c r="FK65" s="369"/>
      <c r="FL65" s="369"/>
      <c r="FM65" s="369"/>
      <c r="FN65" s="369"/>
      <c r="FO65" s="369"/>
      <c r="FP65" s="369"/>
      <c r="FQ65" s="369"/>
      <c r="FR65" s="369"/>
      <c r="FS65" s="369"/>
      <c r="FT65" s="369"/>
      <c r="FU65" s="369"/>
      <c r="FV65" s="369"/>
      <c r="FW65" s="369"/>
      <c r="FX65" s="369"/>
      <c r="FY65" s="369"/>
      <c r="FZ65" s="369"/>
      <c r="GA65" s="369"/>
      <c r="GB65" s="369"/>
      <c r="GC65" s="369"/>
      <c r="GD65" s="369"/>
      <c r="GE65" s="369"/>
      <c r="GF65" s="369"/>
      <c r="GG65" s="369"/>
      <c r="GH65" s="369"/>
      <c r="GI65" s="369"/>
      <c r="GJ65" s="369"/>
      <c r="GK65" s="369"/>
      <c r="GL65" s="369"/>
      <c r="GM65" s="369"/>
      <c r="GN65" s="369"/>
      <c r="GO65" s="369"/>
      <c r="GP65" s="369"/>
      <c r="GQ65" s="369"/>
      <c r="GR65" s="369"/>
      <c r="GS65" s="369"/>
      <c r="GT65" s="369"/>
      <c r="GU65" s="369"/>
      <c r="GV65" s="369"/>
      <c r="GW65" s="369"/>
      <c r="GX65" s="369"/>
      <c r="GY65" s="369"/>
      <c r="GZ65" s="369"/>
      <c r="HA65" s="369"/>
      <c r="HB65" s="369"/>
      <c r="HC65" s="369"/>
      <c r="HD65" s="369"/>
      <c r="HE65" s="369"/>
      <c r="HF65" s="369"/>
      <c r="HG65" s="369"/>
      <c r="HH65" s="369"/>
      <c r="HI65" s="369"/>
      <c r="HJ65" s="369"/>
      <c r="HK65" s="369"/>
      <c r="HL65" s="369"/>
      <c r="HM65" s="369"/>
      <c r="HN65" s="369"/>
      <c r="HO65" s="369"/>
      <c r="HP65" s="369"/>
      <c r="HQ65" s="369"/>
      <c r="HR65" s="369"/>
      <c r="HS65" s="369"/>
      <c r="HT65" s="369"/>
      <c r="HU65" s="369"/>
      <c r="HV65" s="369"/>
      <c r="HW65" s="369"/>
      <c r="HX65" s="369"/>
      <c r="HY65" s="369"/>
      <c r="HZ65" s="369"/>
      <c r="IA65" s="369"/>
      <c r="IB65" s="369"/>
      <c r="IC65" s="369"/>
      <c r="ID65" s="369"/>
      <c r="IE65" s="369"/>
      <c r="IF65" s="369"/>
      <c r="IG65" s="369"/>
      <c r="IH65" s="369"/>
      <c r="II65" s="369"/>
      <c r="IJ65" s="369"/>
      <c r="IK65" s="369"/>
      <c r="IL65" s="369"/>
      <c r="IM65" s="369"/>
      <c r="IN65" s="369"/>
      <c r="IO65" s="369"/>
      <c r="IP65" s="369"/>
      <c r="IQ65" s="369"/>
      <c r="IR65" s="369"/>
      <c r="IS65" s="369"/>
      <c r="IT65" s="369"/>
      <c r="IU65" s="369"/>
      <c r="IV65" s="369"/>
      <c r="IW65" s="369"/>
      <c r="IX65" s="369"/>
      <c r="IY65" s="369"/>
      <c r="IZ65" s="369"/>
      <c r="JA65" s="369"/>
      <c r="JB65" s="369"/>
      <c r="JC65" s="369"/>
      <c r="JD65" s="369"/>
      <c r="JE65" s="369"/>
    </row>
    <row r="66" spans="1:265" s="588" customFormat="1" x14ac:dyDescent="0.2">
      <c r="A66" s="364" t="s">
        <v>3732</v>
      </c>
      <c r="B66" s="365"/>
      <c r="C66" s="370" t="s">
        <v>4076</v>
      </c>
      <c r="D66" s="369"/>
      <c r="E66" s="372" t="s">
        <v>4077</v>
      </c>
      <c r="F66" s="364"/>
      <c r="G66" s="364" t="s">
        <v>4042</v>
      </c>
      <c r="H66" s="602">
        <v>814002011113</v>
      </c>
      <c r="I66" s="371"/>
      <c r="J66" s="371"/>
      <c r="K66" s="371"/>
      <c r="L66" s="475" t="s">
        <v>975</v>
      </c>
      <c r="M66" s="367"/>
      <c r="N66" s="516">
        <v>24.99</v>
      </c>
      <c r="O66" s="368"/>
      <c r="P66" s="368">
        <v>10</v>
      </c>
      <c r="Q66" s="366">
        <f>5.9/16</f>
        <v>0.36875000000000002</v>
      </c>
      <c r="R66" s="366">
        <v>19.7</v>
      </c>
      <c r="S66" s="603" t="s">
        <v>259</v>
      </c>
      <c r="T66" s="603">
        <v>19.7</v>
      </c>
      <c r="U66" s="366">
        <v>0.35</v>
      </c>
      <c r="V66" s="366">
        <v>4.9000000000000004</v>
      </c>
      <c r="W66" s="366">
        <v>4</v>
      </c>
      <c r="X66" s="366">
        <v>2.2999999999999998</v>
      </c>
      <c r="Y66" s="604"/>
      <c r="Z66" s="366"/>
      <c r="AA66" s="366"/>
      <c r="AB66" s="605"/>
      <c r="AC66" s="366"/>
      <c r="AD66" s="366"/>
      <c r="AE66" s="366"/>
      <c r="AF66" s="605"/>
      <c r="AG66" s="366"/>
      <c r="AH66" s="606"/>
      <c r="AI66" s="607"/>
      <c r="AJ66" s="606"/>
      <c r="AK66" s="606"/>
      <c r="AL66" s="606"/>
      <c r="AM66" s="369"/>
      <c r="AN66" s="369"/>
      <c r="AO66" s="369"/>
      <c r="AP66" s="392"/>
      <c r="AQ66" s="369"/>
      <c r="AR66" s="369"/>
      <c r="AS66" s="369"/>
      <c r="AT66" s="369"/>
      <c r="AU66" s="369"/>
      <c r="AV66" s="369"/>
      <c r="AW66" s="369"/>
      <c r="AX66" s="369"/>
      <c r="AY66" s="369"/>
      <c r="AZ66" s="369"/>
      <c r="BA66" s="369"/>
      <c r="BB66" s="369"/>
      <c r="BC66" s="369"/>
      <c r="BD66" s="369"/>
      <c r="BE66" s="369"/>
      <c r="BF66" s="369"/>
      <c r="BG66" s="369"/>
      <c r="BH66" s="369"/>
      <c r="BI66" s="369"/>
      <c r="BJ66" s="369"/>
      <c r="BK66" s="369"/>
      <c r="BL66" s="369"/>
      <c r="BM66" s="369"/>
      <c r="BN66" s="369"/>
      <c r="BO66" s="369"/>
      <c r="BP66" s="369"/>
      <c r="BQ66" s="369"/>
      <c r="BR66" s="369"/>
      <c r="BS66" s="369"/>
      <c r="BT66" s="369"/>
      <c r="BU66" s="369"/>
      <c r="BV66" s="369"/>
      <c r="BW66" s="369"/>
      <c r="BX66" s="369"/>
      <c r="BY66" s="369"/>
      <c r="BZ66" s="369"/>
      <c r="CA66" s="369"/>
      <c r="CB66" s="369"/>
      <c r="CC66" s="369"/>
      <c r="CD66" s="369"/>
      <c r="CE66" s="369"/>
      <c r="CF66" s="369"/>
      <c r="CG66" s="369"/>
      <c r="CH66" s="369"/>
      <c r="CI66" s="369"/>
      <c r="CJ66" s="369"/>
      <c r="CK66" s="369"/>
      <c r="CL66" s="369"/>
      <c r="CM66" s="369"/>
      <c r="CN66" s="369"/>
      <c r="CO66" s="369"/>
      <c r="CP66" s="369"/>
      <c r="CQ66" s="369"/>
      <c r="CR66" s="369"/>
      <c r="CS66" s="369"/>
      <c r="CT66" s="369"/>
      <c r="CU66" s="369"/>
      <c r="CV66" s="369"/>
      <c r="CW66" s="369"/>
      <c r="CX66" s="369"/>
      <c r="CY66" s="369"/>
      <c r="CZ66" s="369"/>
      <c r="DA66" s="369"/>
      <c r="DB66" s="369"/>
      <c r="DC66" s="369"/>
      <c r="DD66" s="369"/>
      <c r="DE66" s="369"/>
      <c r="DF66" s="369"/>
      <c r="DG66" s="369"/>
      <c r="DH66" s="369"/>
      <c r="DI66" s="369"/>
      <c r="DJ66" s="369"/>
      <c r="DK66" s="369"/>
      <c r="DL66" s="369"/>
      <c r="DM66" s="369"/>
      <c r="DN66" s="369"/>
      <c r="DO66" s="369"/>
      <c r="DP66" s="369"/>
      <c r="DQ66" s="369"/>
      <c r="DR66" s="369"/>
      <c r="DS66" s="369"/>
      <c r="DT66" s="369"/>
      <c r="DU66" s="369"/>
      <c r="DV66" s="369"/>
      <c r="DW66" s="369"/>
      <c r="DX66" s="369"/>
      <c r="DY66" s="369"/>
      <c r="DZ66" s="369"/>
      <c r="EA66" s="369"/>
      <c r="EB66" s="369"/>
      <c r="EC66" s="369"/>
      <c r="ED66" s="369"/>
      <c r="EE66" s="369"/>
      <c r="EF66" s="369"/>
      <c r="EG66" s="369"/>
      <c r="EH66" s="369"/>
      <c r="EI66" s="369"/>
      <c r="EJ66" s="369"/>
      <c r="EK66" s="369"/>
      <c r="EL66" s="369"/>
      <c r="EM66" s="369"/>
      <c r="EN66" s="369"/>
      <c r="EO66" s="369"/>
      <c r="EP66" s="369"/>
      <c r="EQ66" s="369"/>
      <c r="ER66" s="369"/>
      <c r="ES66" s="369"/>
      <c r="ET66" s="369"/>
      <c r="EU66" s="369"/>
      <c r="EV66" s="369"/>
      <c r="EW66" s="369"/>
      <c r="EX66" s="369"/>
      <c r="EY66" s="369"/>
      <c r="EZ66" s="369"/>
      <c r="FA66" s="369"/>
      <c r="FB66" s="369"/>
      <c r="FC66" s="369"/>
      <c r="FD66" s="369"/>
      <c r="FE66" s="369"/>
      <c r="FF66" s="369"/>
      <c r="FG66" s="369"/>
      <c r="FH66" s="369"/>
      <c r="FI66" s="369"/>
      <c r="FJ66" s="369"/>
      <c r="FK66" s="369"/>
      <c r="FL66" s="369"/>
      <c r="FM66" s="369"/>
      <c r="FN66" s="369"/>
      <c r="FO66" s="369"/>
      <c r="FP66" s="369"/>
      <c r="FQ66" s="369"/>
      <c r="FR66" s="369"/>
      <c r="FS66" s="369"/>
      <c r="FT66" s="369"/>
      <c r="FU66" s="369"/>
      <c r="FV66" s="369"/>
      <c r="FW66" s="369"/>
      <c r="FX66" s="369"/>
      <c r="FY66" s="369"/>
      <c r="FZ66" s="369"/>
      <c r="GA66" s="369"/>
      <c r="GB66" s="369"/>
      <c r="GC66" s="369"/>
      <c r="GD66" s="369"/>
      <c r="GE66" s="369"/>
      <c r="GF66" s="369"/>
      <c r="GG66" s="369"/>
      <c r="GH66" s="369"/>
      <c r="GI66" s="369"/>
      <c r="GJ66" s="369"/>
      <c r="GK66" s="369"/>
      <c r="GL66" s="369"/>
      <c r="GM66" s="369"/>
      <c r="GN66" s="369"/>
      <c r="GO66" s="369"/>
      <c r="GP66" s="369"/>
      <c r="GQ66" s="369"/>
      <c r="GR66" s="369"/>
      <c r="GS66" s="369"/>
      <c r="GT66" s="369"/>
      <c r="GU66" s="369"/>
      <c r="GV66" s="369"/>
      <c r="GW66" s="369"/>
      <c r="GX66" s="369"/>
      <c r="GY66" s="369"/>
      <c r="GZ66" s="369"/>
      <c r="HA66" s="369"/>
      <c r="HB66" s="369"/>
      <c r="HC66" s="369"/>
      <c r="HD66" s="369"/>
      <c r="HE66" s="369"/>
      <c r="HF66" s="369"/>
      <c r="HG66" s="369"/>
      <c r="HH66" s="369"/>
      <c r="HI66" s="369"/>
      <c r="HJ66" s="369"/>
      <c r="HK66" s="369"/>
      <c r="HL66" s="369"/>
      <c r="HM66" s="369"/>
      <c r="HN66" s="369"/>
      <c r="HO66" s="369"/>
      <c r="HP66" s="369"/>
      <c r="HQ66" s="369"/>
      <c r="HR66" s="369"/>
      <c r="HS66" s="369"/>
      <c r="HT66" s="369"/>
      <c r="HU66" s="369"/>
      <c r="HV66" s="369"/>
      <c r="HW66" s="369"/>
      <c r="HX66" s="369"/>
      <c r="HY66" s="369"/>
      <c r="HZ66" s="369"/>
      <c r="IA66" s="369"/>
      <c r="IB66" s="369"/>
      <c r="IC66" s="369"/>
      <c r="ID66" s="369"/>
      <c r="IE66" s="369"/>
      <c r="IF66" s="369"/>
      <c r="IG66" s="369"/>
      <c r="IH66" s="369"/>
      <c r="II66" s="369"/>
      <c r="IJ66" s="369"/>
      <c r="IK66" s="369"/>
      <c r="IL66" s="369"/>
      <c r="IM66" s="369"/>
      <c r="IN66" s="369"/>
      <c r="IO66" s="369"/>
      <c r="IP66" s="369"/>
      <c r="IQ66" s="369"/>
      <c r="IR66" s="369"/>
      <c r="IS66" s="369"/>
      <c r="IT66" s="369"/>
      <c r="IU66" s="369"/>
      <c r="IV66" s="369"/>
      <c r="IW66" s="369"/>
      <c r="IX66" s="369"/>
      <c r="IY66" s="369"/>
      <c r="IZ66" s="369"/>
      <c r="JA66" s="369"/>
      <c r="JB66" s="369"/>
      <c r="JC66" s="369"/>
      <c r="JD66" s="369"/>
      <c r="JE66" s="369"/>
    </row>
    <row r="67" spans="1:265" s="588" customFormat="1" x14ac:dyDescent="0.2">
      <c r="A67" s="364" t="s">
        <v>3732</v>
      </c>
      <c r="B67" s="365"/>
      <c r="C67" s="370" t="s">
        <v>4078</v>
      </c>
      <c r="D67" s="369"/>
      <c r="E67" s="372" t="s">
        <v>4079</v>
      </c>
      <c r="F67" s="364"/>
      <c r="G67" s="364" t="s">
        <v>4042</v>
      </c>
      <c r="H67" s="602">
        <v>814002011236</v>
      </c>
      <c r="I67" s="371"/>
      <c r="J67" s="371"/>
      <c r="K67" s="371"/>
      <c r="L67" s="475" t="s">
        <v>975</v>
      </c>
      <c r="M67" s="367"/>
      <c r="N67" s="516">
        <v>24.99</v>
      </c>
      <c r="O67" s="368"/>
      <c r="P67" s="368">
        <v>5</v>
      </c>
      <c r="Q67" s="366">
        <f>4/16</f>
        <v>0.25</v>
      </c>
      <c r="R67" s="366">
        <v>5.5</v>
      </c>
      <c r="S67" s="366">
        <v>4.7</v>
      </c>
      <c r="T67" s="603">
        <v>1.4</v>
      </c>
      <c r="U67" s="366">
        <v>0.33</v>
      </c>
      <c r="V67" s="366">
        <v>10</v>
      </c>
      <c r="W67" s="366">
        <v>5.9</v>
      </c>
      <c r="X67" s="366">
        <v>1</v>
      </c>
      <c r="Y67" s="604"/>
      <c r="Z67" s="366"/>
      <c r="AA67" s="366"/>
      <c r="AB67" s="605"/>
      <c r="AC67" s="366"/>
      <c r="AD67" s="366"/>
      <c r="AE67" s="366"/>
      <c r="AF67" s="605"/>
      <c r="AG67" s="366"/>
      <c r="AH67" s="606"/>
      <c r="AI67" s="607"/>
      <c r="AJ67" s="606"/>
      <c r="AK67" s="606"/>
      <c r="AL67" s="606"/>
      <c r="AM67" s="369"/>
      <c r="AN67" s="369"/>
      <c r="AO67" s="369"/>
      <c r="AP67" s="392"/>
      <c r="AQ67" s="369"/>
      <c r="AR67" s="369"/>
      <c r="AS67" s="369"/>
      <c r="AT67" s="369"/>
      <c r="AU67" s="369"/>
      <c r="AV67" s="369"/>
      <c r="AW67" s="369"/>
      <c r="AX67" s="369"/>
      <c r="AY67" s="369"/>
      <c r="AZ67" s="369"/>
      <c r="BA67" s="369"/>
      <c r="BB67" s="369"/>
      <c r="BC67" s="369"/>
      <c r="BD67" s="369"/>
      <c r="BE67" s="369"/>
      <c r="BF67" s="369"/>
      <c r="BG67" s="369"/>
      <c r="BH67" s="369"/>
      <c r="BI67" s="369"/>
      <c r="BJ67" s="369"/>
      <c r="BK67" s="369"/>
      <c r="BL67" s="369"/>
      <c r="BM67" s="369"/>
      <c r="BN67" s="369"/>
      <c r="BO67" s="369"/>
      <c r="BP67" s="369"/>
      <c r="BQ67" s="369"/>
      <c r="BR67" s="369"/>
      <c r="BS67" s="369"/>
      <c r="BT67" s="369"/>
      <c r="BU67" s="369"/>
      <c r="BV67" s="369"/>
      <c r="BW67" s="369"/>
      <c r="BX67" s="369"/>
      <c r="BY67" s="369"/>
      <c r="BZ67" s="369"/>
      <c r="CA67" s="369"/>
      <c r="CB67" s="369"/>
      <c r="CC67" s="369"/>
      <c r="CD67" s="369"/>
      <c r="CE67" s="369"/>
      <c r="CF67" s="369"/>
      <c r="CG67" s="369"/>
      <c r="CH67" s="369"/>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69"/>
      <c r="DJ67" s="369"/>
      <c r="DK67" s="369"/>
      <c r="DL67" s="369"/>
      <c r="DM67" s="369"/>
      <c r="DN67" s="369"/>
      <c r="DO67" s="369"/>
      <c r="DP67" s="369"/>
      <c r="DQ67" s="369"/>
      <c r="DR67" s="369"/>
      <c r="DS67" s="369"/>
      <c r="DT67" s="369"/>
      <c r="DU67" s="369"/>
      <c r="DV67" s="369"/>
      <c r="DW67" s="369"/>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69"/>
      <c r="EY67" s="369"/>
      <c r="EZ67" s="369"/>
      <c r="FA67" s="369"/>
      <c r="FB67" s="369"/>
      <c r="FC67" s="369"/>
      <c r="FD67" s="369"/>
      <c r="FE67" s="369"/>
      <c r="FF67" s="369"/>
      <c r="FG67" s="369"/>
      <c r="FH67" s="369"/>
      <c r="FI67" s="369"/>
      <c r="FJ67" s="369"/>
      <c r="FK67" s="369"/>
      <c r="FL67" s="369"/>
      <c r="FM67" s="369"/>
      <c r="FN67" s="369"/>
      <c r="FO67" s="369"/>
      <c r="FP67" s="369"/>
      <c r="FQ67" s="369"/>
      <c r="FR67" s="369"/>
      <c r="FS67" s="369"/>
      <c r="FT67" s="369"/>
      <c r="FU67" s="369"/>
      <c r="FV67" s="369"/>
      <c r="FW67" s="369"/>
      <c r="FX67" s="369"/>
      <c r="FY67" s="369"/>
      <c r="FZ67" s="369"/>
      <c r="GA67" s="369"/>
      <c r="GB67" s="369"/>
      <c r="GC67" s="369"/>
      <c r="GD67" s="369"/>
      <c r="GE67" s="369"/>
      <c r="GF67" s="369"/>
      <c r="GG67" s="369"/>
      <c r="GH67" s="369"/>
      <c r="GI67" s="369"/>
      <c r="GJ67" s="369"/>
      <c r="GK67" s="369"/>
      <c r="GL67" s="369"/>
      <c r="GM67" s="369"/>
      <c r="GN67" s="369"/>
      <c r="GO67" s="369"/>
      <c r="GP67" s="369"/>
      <c r="GQ67" s="369"/>
      <c r="GR67" s="369"/>
      <c r="GS67" s="369"/>
      <c r="GT67" s="369"/>
      <c r="GU67" s="369"/>
      <c r="GV67" s="369"/>
      <c r="GW67" s="369"/>
      <c r="GX67" s="369"/>
      <c r="GY67" s="369"/>
      <c r="GZ67" s="369"/>
      <c r="HA67" s="369"/>
      <c r="HB67" s="369"/>
      <c r="HC67" s="369"/>
      <c r="HD67" s="369"/>
      <c r="HE67" s="369"/>
      <c r="HF67" s="369"/>
      <c r="HG67" s="369"/>
      <c r="HH67" s="369"/>
      <c r="HI67" s="369"/>
      <c r="HJ67" s="369"/>
      <c r="HK67" s="369"/>
      <c r="HL67" s="369"/>
      <c r="HM67" s="369"/>
      <c r="HN67" s="369"/>
      <c r="HO67" s="369"/>
      <c r="HP67" s="369"/>
      <c r="HQ67" s="369"/>
      <c r="HR67" s="369"/>
      <c r="HS67" s="369"/>
      <c r="HT67" s="369"/>
      <c r="HU67" s="369"/>
      <c r="HV67" s="369"/>
      <c r="HW67" s="369"/>
      <c r="HX67" s="369"/>
      <c r="HY67" s="369"/>
      <c r="HZ67" s="369"/>
      <c r="IA67" s="369"/>
      <c r="IB67" s="369"/>
      <c r="IC67" s="369"/>
      <c r="ID67" s="369"/>
      <c r="IE67" s="369"/>
      <c r="IF67" s="369"/>
      <c r="IG67" s="369"/>
      <c r="IH67" s="369"/>
      <c r="II67" s="369"/>
      <c r="IJ67" s="369"/>
      <c r="IK67" s="369"/>
      <c r="IL67" s="369"/>
      <c r="IM67" s="369"/>
      <c r="IN67" s="369"/>
      <c r="IO67" s="369"/>
      <c r="IP67" s="369"/>
      <c r="IQ67" s="369"/>
      <c r="IR67" s="369"/>
      <c r="IS67" s="369"/>
      <c r="IT67" s="369"/>
      <c r="IU67" s="369"/>
      <c r="IV67" s="369"/>
      <c r="IW67" s="369"/>
      <c r="IX67" s="369"/>
      <c r="IY67" s="369"/>
      <c r="IZ67" s="369"/>
      <c r="JA67" s="369"/>
      <c r="JB67" s="369"/>
      <c r="JC67" s="369"/>
      <c r="JD67" s="369"/>
      <c r="JE67" s="369"/>
    </row>
    <row r="68" spans="1:265" s="588" customFormat="1" x14ac:dyDescent="0.2">
      <c r="A68" s="364" t="s">
        <v>3732</v>
      </c>
      <c r="B68" s="365"/>
      <c r="C68" s="370" t="s">
        <v>4080</v>
      </c>
      <c r="D68" s="369"/>
      <c r="E68" s="372" t="s">
        <v>4081</v>
      </c>
      <c r="F68" s="364"/>
      <c r="G68" s="364" t="s">
        <v>4042</v>
      </c>
      <c r="H68" s="602">
        <v>814002011175</v>
      </c>
      <c r="I68" s="371"/>
      <c r="J68" s="371"/>
      <c r="K68" s="371"/>
      <c r="L68" s="475" t="s">
        <v>975</v>
      </c>
      <c r="M68" s="367"/>
      <c r="N68" s="516">
        <v>14.99</v>
      </c>
      <c r="O68" s="368"/>
      <c r="P68" s="368">
        <v>10</v>
      </c>
      <c r="Q68" s="366">
        <v>0.13</v>
      </c>
      <c r="R68" s="366">
        <v>2.1</v>
      </c>
      <c r="S68" s="366">
        <v>2.2999999999999998</v>
      </c>
      <c r="T68" s="603">
        <v>1.2</v>
      </c>
      <c r="U68" s="366">
        <v>0.15</v>
      </c>
      <c r="V68" s="366">
        <v>4</v>
      </c>
      <c r="W68" s="366">
        <v>3</v>
      </c>
      <c r="X68" s="366">
        <v>1</v>
      </c>
      <c r="Y68" s="604"/>
      <c r="Z68" s="366"/>
      <c r="AA68" s="366"/>
      <c r="AB68" s="605"/>
      <c r="AC68" s="366"/>
      <c r="AD68" s="366"/>
      <c r="AE68" s="366"/>
      <c r="AF68" s="605"/>
      <c r="AG68" s="366"/>
      <c r="AH68" s="606"/>
      <c r="AI68" s="607"/>
      <c r="AJ68" s="606"/>
      <c r="AK68" s="606"/>
      <c r="AL68" s="606"/>
      <c r="AM68" s="369"/>
      <c r="AN68" s="369"/>
      <c r="AO68" s="369"/>
      <c r="AP68" s="392"/>
      <c r="AQ68" s="369"/>
      <c r="AR68" s="369"/>
      <c r="AS68" s="369"/>
      <c r="AT68" s="369"/>
      <c r="AU68" s="369"/>
      <c r="AV68" s="369"/>
      <c r="AW68" s="369"/>
      <c r="AX68" s="369"/>
      <c r="AY68" s="369"/>
      <c r="AZ68" s="369"/>
      <c r="BA68" s="369"/>
      <c r="BB68" s="369"/>
      <c r="BC68" s="369"/>
      <c r="BD68" s="369"/>
      <c r="BE68" s="369"/>
      <c r="BF68" s="369"/>
      <c r="BG68" s="369"/>
      <c r="BH68" s="369"/>
      <c r="BI68" s="369"/>
      <c r="BJ68" s="369"/>
      <c r="BK68" s="369"/>
      <c r="BL68" s="369"/>
      <c r="BM68" s="369"/>
      <c r="BN68" s="369"/>
      <c r="BO68" s="369"/>
      <c r="BP68" s="369"/>
      <c r="BQ68" s="369"/>
      <c r="BR68" s="369"/>
      <c r="BS68" s="369"/>
      <c r="BT68" s="369"/>
      <c r="BU68" s="369"/>
      <c r="BV68" s="369"/>
      <c r="BW68" s="369"/>
      <c r="BX68" s="369"/>
      <c r="BY68" s="369"/>
      <c r="BZ68" s="369"/>
      <c r="CA68" s="369"/>
      <c r="CB68" s="369"/>
      <c r="CC68" s="369"/>
      <c r="CD68" s="369"/>
      <c r="CE68" s="369"/>
      <c r="CF68" s="369"/>
      <c r="CG68" s="369"/>
      <c r="CH68" s="369"/>
      <c r="CI68" s="369"/>
      <c r="CJ68" s="369"/>
      <c r="CK68" s="369"/>
      <c r="CL68" s="369"/>
      <c r="CM68" s="369"/>
      <c r="CN68" s="369"/>
      <c r="CO68" s="369"/>
      <c r="CP68" s="369"/>
      <c r="CQ68" s="369"/>
      <c r="CR68" s="369"/>
      <c r="CS68" s="369"/>
      <c r="CT68" s="369"/>
      <c r="CU68" s="369"/>
      <c r="CV68" s="369"/>
      <c r="CW68" s="369"/>
      <c r="CX68" s="369"/>
      <c r="CY68" s="369"/>
      <c r="CZ68" s="369"/>
      <c r="DA68" s="369"/>
      <c r="DB68" s="369"/>
      <c r="DC68" s="369"/>
      <c r="DD68" s="369"/>
      <c r="DE68" s="369"/>
      <c r="DF68" s="369"/>
      <c r="DG68" s="369"/>
      <c r="DH68" s="369"/>
      <c r="DI68" s="369"/>
      <c r="DJ68" s="369"/>
      <c r="DK68" s="369"/>
      <c r="DL68" s="369"/>
      <c r="DM68" s="369"/>
      <c r="DN68" s="369"/>
      <c r="DO68" s="369"/>
      <c r="DP68" s="369"/>
      <c r="DQ68" s="369"/>
      <c r="DR68" s="369"/>
      <c r="DS68" s="369"/>
      <c r="DT68" s="369"/>
      <c r="DU68" s="369"/>
      <c r="DV68" s="369"/>
      <c r="DW68" s="369"/>
      <c r="DX68" s="369"/>
      <c r="DY68" s="369"/>
      <c r="DZ68" s="369"/>
      <c r="EA68" s="369"/>
      <c r="EB68" s="369"/>
      <c r="EC68" s="369"/>
      <c r="ED68" s="369"/>
      <c r="EE68" s="369"/>
      <c r="EF68" s="369"/>
      <c r="EG68" s="369"/>
      <c r="EH68" s="369"/>
      <c r="EI68" s="369"/>
      <c r="EJ68" s="369"/>
      <c r="EK68" s="369"/>
      <c r="EL68" s="369"/>
      <c r="EM68" s="369"/>
      <c r="EN68" s="369"/>
      <c r="EO68" s="369"/>
      <c r="EP68" s="369"/>
      <c r="EQ68" s="369"/>
      <c r="ER68" s="369"/>
      <c r="ES68" s="369"/>
      <c r="ET68" s="369"/>
      <c r="EU68" s="369"/>
      <c r="EV68" s="369"/>
      <c r="EW68" s="369"/>
      <c r="EX68" s="369"/>
      <c r="EY68" s="369"/>
      <c r="EZ68" s="369"/>
      <c r="FA68" s="369"/>
      <c r="FB68" s="369"/>
      <c r="FC68" s="369"/>
      <c r="FD68" s="369"/>
      <c r="FE68" s="369"/>
      <c r="FF68" s="369"/>
      <c r="FG68" s="369"/>
      <c r="FH68" s="369"/>
      <c r="FI68" s="369"/>
      <c r="FJ68" s="369"/>
      <c r="FK68" s="369"/>
      <c r="FL68" s="369"/>
      <c r="FM68" s="369"/>
      <c r="FN68" s="369"/>
      <c r="FO68" s="369"/>
      <c r="FP68" s="369"/>
      <c r="FQ68" s="369"/>
      <c r="FR68" s="369"/>
      <c r="FS68" s="369"/>
      <c r="FT68" s="369"/>
      <c r="FU68" s="369"/>
      <c r="FV68" s="369"/>
      <c r="FW68" s="369"/>
      <c r="FX68" s="369"/>
      <c r="FY68" s="369"/>
      <c r="FZ68" s="369"/>
      <c r="GA68" s="369"/>
      <c r="GB68" s="369"/>
      <c r="GC68" s="369"/>
      <c r="GD68" s="369"/>
      <c r="GE68" s="369"/>
      <c r="GF68" s="369"/>
      <c r="GG68" s="369"/>
      <c r="GH68" s="369"/>
      <c r="GI68" s="369"/>
      <c r="GJ68" s="369"/>
      <c r="GK68" s="369"/>
      <c r="GL68" s="369"/>
      <c r="GM68" s="369"/>
      <c r="GN68" s="369"/>
      <c r="GO68" s="369"/>
      <c r="GP68" s="369"/>
      <c r="GQ68" s="369"/>
      <c r="GR68" s="369"/>
      <c r="GS68" s="369"/>
      <c r="GT68" s="369"/>
      <c r="GU68" s="369"/>
      <c r="GV68" s="369"/>
      <c r="GW68" s="369"/>
      <c r="GX68" s="369"/>
      <c r="GY68" s="369"/>
      <c r="GZ68" s="369"/>
      <c r="HA68" s="369"/>
      <c r="HB68" s="369"/>
      <c r="HC68" s="369"/>
      <c r="HD68" s="369"/>
      <c r="HE68" s="369"/>
      <c r="HF68" s="369"/>
      <c r="HG68" s="369"/>
      <c r="HH68" s="369"/>
      <c r="HI68" s="369"/>
      <c r="HJ68" s="369"/>
      <c r="HK68" s="369"/>
      <c r="HL68" s="369"/>
      <c r="HM68" s="369"/>
      <c r="HN68" s="369"/>
      <c r="HO68" s="369"/>
      <c r="HP68" s="369"/>
      <c r="HQ68" s="369"/>
      <c r="HR68" s="369"/>
      <c r="HS68" s="369"/>
      <c r="HT68" s="369"/>
      <c r="HU68" s="369"/>
      <c r="HV68" s="369"/>
      <c r="HW68" s="369"/>
      <c r="HX68" s="369"/>
      <c r="HY68" s="369"/>
      <c r="HZ68" s="369"/>
      <c r="IA68" s="369"/>
      <c r="IB68" s="369"/>
      <c r="IC68" s="369"/>
      <c r="ID68" s="369"/>
      <c r="IE68" s="369"/>
      <c r="IF68" s="369"/>
      <c r="IG68" s="369"/>
      <c r="IH68" s="369"/>
      <c r="II68" s="369"/>
      <c r="IJ68" s="369"/>
      <c r="IK68" s="369"/>
      <c r="IL68" s="369"/>
      <c r="IM68" s="369"/>
      <c r="IN68" s="369"/>
      <c r="IO68" s="369"/>
      <c r="IP68" s="369"/>
      <c r="IQ68" s="369"/>
      <c r="IR68" s="369"/>
      <c r="IS68" s="369"/>
      <c r="IT68" s="369"/>
      <c r="IU68" s="369"/>
      <c r="IV68" s="369"/>
      <c r="IW68" s="369"/>
      <c r="IX68" s="369"/>
      <c r="IY68" s="369"/>
      <c r="IZ68" s="369"/>
      <c r="JA68" s="369"/>
      <c r="JB68" s="369"/>
      <c r="JC68" s="369"/>
      <c r="JD68" s="369"/>
      <c r="JE68" s="369"/>
    </row>
    <row r="69" spans="1:265" s="87" customFormat="1" x14ac:dyDescent="0.2">
      <c r="A69" s="18" t="s">
        <v>3732</v>
      </c>
      <c r="B69" s="125"/>
      <c r="C69" s="19" t="s">
        <v>4082</v>
      </c>
      <c r="D69" s="37"/>
      <c r="E69" s="57" t="s">
        <v>4083</v>
      </c>
      <c r="F69" s="18"/>
      <c r="G69" s="18" t="s">
        <v>4042</v>
      </c>
      <c r="H69" s="497">
        <v>814002012257</v>
      </c>
      <c r="I69" s="28"/>
      <c r="J69" s="28"/>
      <c r="K69" s="28"/>
      <c r="L69" s="219" t="s">
        <v>975</v>
      </c>
      <c r="M69" s="5"/>
      <c r="N69" s="504">
        <v>11.99</v>
      </c>
      <c r="O69" s="35"/>
      <c r="P69" s="35">
        <v>10</v>
      </c>
      <c r="Q69" s="33">
        <v>2.5000000000000001E-2</v>
      </c>
      <c r="R69" s="33">
        <v>1</v>
      </c>
      <c r="S69" s="33">
        <v>0.9</v>
      </c>
      <c r="T69" s="129">
        <v>1.1000000000000001</v>
      </c>
      <c r="U69" s="33">
        <v>0.03</v>
      </c>
      <c r="V69" s="33">
        <v>5.8</v>
      </c>
      <c r="W69" s="33">
        <v>3</v>
      </c>
      <c r="X69" s="33">
        <v>0.5</v>
      </c>
      <c r="Y69" s="542"/>
      <c r="Z69" s="33"/>
      <c r="AA69" s="33"/>
      <c r="AB69" s="549"/>
      <c r="AC69" s="33"/>
      <c r="AD69" s="33"/>
      <c r="AE69" s="33"/>
      <c r="AF69" s="549"/>
      <c r="AG69" s="33"/>
      <c r="AH69" s="529"/>
      <c r="AI69" s="530"/>
      <c r="AJ69" s="529"/>
      <c r="AK69" s="529"/>
      <c r="AL69" s="529"/>
      <c r="AM69" s="37"/>
      <c r="AN69" s="37"/>
      <c r="AO69" s="37"/>
      <c r="AP69" s="59"/>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row>
    <row r="70" spans="1:265" s="588" customFormat="1" x14ac:dyDescent="0.2">
      <c r="A70" s="364" t="s">
        <v>3732</v>
      </c>
      <c r="B70" s="365"/>
      <c r="C70" s="370" t="s">
        <v>4084</v>
      </c>
      <c r="D70" s="369"/>
      <c r="E70" s="372" t="s">
        <v>4085</v>
      </c>
      <c r="F70" s="364"/>
      <c r="G70" s="364" t="s">
        <v>4042</v>
      </c>
      <c r="H70" s="602">
        <v>814002012264</v>
      </c>
      <c r="I70" s="371"/>
      <c r="J70" s="371"/>
      <c r="K70" s="371"/>
      <c r="L70" s="475" t="s">
        <v>975</v>
      </c>
      <c r="M70" s="367"/>
      <c r="N70" s="516">
        <v>9.99</v>
      </c>
      <c r="O70" s="368"/>
      <c r="P70" s="368">
        <v>10</v>
      </c>
      <c r="Q70" s="366">
        <v>2.5000000000000001E-2</v>
      </c>
      <c r="R70" s="366">
        <v>1.2</v>
      </c>
      <c r="S70" s="366">
        <v>1.7</v>
      </c>
      <c r="T70" s="603">
        <v>1</v>
      </c>
      <c r="U70" s="366">
        <v>0.03</v>
      </c>
      <c r="V70" s="366">
        <v>5.2</v>
      </c>
      <c r="W70" s="366">
        <v>3</v>
      </c>
      <c r="X70" s="366">
        <v>1</v>
      </c>
      <c r="Y70" s="604"/>
      <c r="Z70" s="366"/>
      <c r="AA70" s="366"/>
      <c r="AB70" s="605"/>
      <c r="AC70" s="366"/>
      <c r="AD70" s="366"/>
      <c r="AE70" s="366"/>
      <c r="AF70" s="605"/>
      <c r="AG70" s="366"/>
      <c r="AH70" s="606"/>
      <c r="AI70" s="607"/>
      <c r="AJ70" s="606"/>
      <c r="AK70" s="606"/>
      <c r="AL70" s="606"/>
      <c r="AM70" s="369"/>
      <c r="AN70" s="369"/>
      <c r="AO70" s="369"/>
      <c r="AP70" s="392"/>
      <c r="AQ70" s="369"/>
      <c r="AR70" s="369"/>
      <c r="AS70" s="369"/>
      <c r="AT70" s="369"/>
      <c r="AU70" s="369"/>
      <c r="AV70" s="369"/>
      <c r="AW70" s="369"/>
      <c r="AX70" s="369"/>
      <c r="AY70" s="369"/>
      <c r="AZ70" s="369"/>
      <c r="BA70" s="369"/>
      <c r="BB70" s="369"/>
      <c r="BC70" s="369"/>
      <c r="BD70" s="369"/>
      <c r="BE70" s="369"/>
      <c r="BF70" s="369"/>
      <c r="BG70" s="369"/>
      <c r="BH70" s="369"/>
      <c r="BI70" s="369"/>
      <c r="BJ70" s="369"/>
      <c r="BK70" s="369"/>
      <c r="BL70" s="369"/>
      <c r="BM70" s="369"/>
      <c r="BN70" s="369"/>
      <c r="BO70" s="369"/>
      <c r="BP70" s="369"/>
      <c r="BQ70" s="369"/>
      <c r="BR70" s="369"/>
      <c r="BS70" s="369"/>
      <c r="BT70" s="369"/>
      <c r="BU70" s="369"/>
      <c r="BV70" s="369"/>
      <c r="BW70" s="369"/>
      <c r="BX70" s="369"/>
      <c r="BY70" s="369"/>
      <c r="BZ70" s="369"/>
      <c r="CA70" s="369"/>
      <c r="CB70" s="369"/>
      <c r="CC70" s="369"/>
      <c r="CD70" s="369"/>
      <c r="CE70" s="369"/>
      <c r="CF70" s="369"/>
      <c r="CG70" s="369"/>
      <c r="CH70" s="369"/>
      <c r="CI70" s="369"/>
      <c r="CJ70" s="369"/>
      <c r="CK70" s="369"/>
      <c r="CL70" s="369"/>
      <c r="CM70" s="369"/>
      <c r="CN70" s="369"/>
      <c r="CO70" s="369"/>
      <c r="CP70" s="369"/>
      <c r="CQ70" s="369"/>
      <c r="CR70" s="369"/>
      <c r="CS70" s="369"/>
      <c r="CT70" s="369"/>
      <c r="CU70" s="369"/>
      <c r="CV70" s="369"/>
      <c r="CW70" s="369"/>
      <c r="CX70" s="369"/>
      <c r="CY70" s="369"/>
      <c r="CZ70" s="369"/>
      <c r="DA70" s="369"/>
      <c r="DB70" s="369"/>
      <c r="DC70" s="369"/>
      <c r="DD70" s="369"/>
      <c r="DE70" s="369"/>
      <c r="DF70" s="369"/>
      <c r="DG70" s="369"/>
      <c r="DH70" s="369"/>
      <c r="DI70" s="369"/>
      <c r="DJ70" s="369"/>
      <c r="DK70" s="369"/>
      <c r="DL70" s="369"/>
      <c r="DM70" s="369"/>
      <c r="DN70" s="369"/>
      <c r="DO70" s="369"/>
      <c r="DP70" s="369"/>
      <c r="DQ70" s="369"/>
      <c r="DR70" s="369"/>
      <c r="DS70" s="369"/>
      <c r="DT70" s="369"/>
      <c r="DU70" s="369"/>
      <c r="DV70" s="369"/>
      <c r="DW70" s="369"/>
      <c r="DX70" s="369"/>
      <c r="DY70" s="369"/>
      <c r="DZ70" s="369"/>
      <c r="EA70" s="369"/>
      <c r="EB70" s="369"/>
      <c r="EC70" s="369"/>
      <c r="ED70" s="369"/>
      <c r="EE70" s="369"/>
      <c r="EF70" s="369"/>
      <c r="EG70" s="369"/>
      <c r="EH70" s="369"/>
      <c r="EI70" s="369"/>
      <c r="EJ70" s="369"/>
      <c r="EK70" s="369"/>
      <c r="EL70" s="369"/>
      <c r="EM70" s="369"/>
      <c r="EN70" s="369"/>
      <c r="EO70" s="369"/>
      <c r="EP70" s="369"/>
      <c r="EQ70" s="369"/>
      <c r="ER70" s="369"/>
      <c r="ES70" s="369"/>
      <c r="ET70" s="369"/>
      <c r="EU70" s="369"/>
      <c r="EV70" s="369"/>
      <c r="EW70" s="369"/>
      <c r="EX70" s="369"/>
      <c r="EY70" s="369"/>
      <c r="EZ70" s="369"/>
      <c r="FA70" s="369"/>
      <c r="FB70" s="369"/>
      <c r="FC70" s="369"/>
      <c r="FD70" s="369"/>
      <c r="FE70" s="369"/>
      <c r="FF70" s="369"/>
      <c r="FG70" s="369"/>
      <c r="FH70" s="369"/>
      <c r="FI70" s="369"/>
      <c r="FJ70" s="369"/>
      <c r="FK70" s="369"/>
      <c r="FL70" s="369"/>
      <c r="FM70" s="369"/>
      <c r="FN70" s="369"/>
      <c r="FO70" s="369"/>
      <c r="FP70" s="369"/>
      <c r="FQ70" s="369"/>
      <c r="FR70" s="369"/>
      <c r="FS70" s="369"/>
      <c r="FT70" s="369"/>
      <c r="FU70" s="369"/>
      <c r="FV70" s="369"/>
      <c r="FW70" s="369"/>
      <c r="FX70" s="369"/>
      <c r="FY70" s="369"/>
      <c r="FZ70" s="369"/>
      <c r="GA70" s="369"/>
      <c r="GB70" s="369"/>
      <c r="GC70" s="369"/>
      <c r="GD70" s="369"/>
      <c r="GE70" s="369"/>
      <c r="GF70" s="369"/>
      <c r="GG70" s="369"/>
      <c r="GH70" s="369"/>
      <c r="GI70" s="369"/>
      <c r="GJ70" s="369"/>
      <c r="GK70" s="369"/>
      <c r="GL70" s="369"/>
      <c r="GM70" s="369"/>
      <c r="GN70" s="369"/>
      <c r="GO70" s="369"/>
      <c r="GP70" s="369"/>
      <c r="GQ70" s="369"/>
      <c r="GR70" s="369"/>
      <c r="GS70" s="369"/>
      <c r="GT70" s="369"/>
      <c r="GU70" s="369"/>
      <c r="GV70" s="369"/>
      <c r="GW70" s="369"/>
      <c r="GX70" s="369"/>
      <c r="GY70" s="369"/>
      <c r="GZ70" s="369"/>
      <c r="HA70" s="369"/>
      <c r="HB70" s="369"/>
      <c r="HC70" s="369"/>
      <c r="HD70" s="369"/>
      <c r="HE70" s="369"/>
      <c r="HF70" s="369"/>
      <c r="HG70" s="369"/>
      <c r="HH70" s="369"/>
      <c r="HI70" s="369"/>
      <c r="HJ70" s="369"/>
      <c r="HK70" s="369"/>
      <c r="HL70" s="369"/>
      <c r="HM70" s="369"/>
      <c r="HN70" s="369"/>
      <c r="HO70" s="369"/>
      <c r="HP70" s="369"/>
      <c r="HQ70" s="369"/>
      <c r="HR70" s="369"/>
      <c r="HS70" s="369"/>
      <c r="HT70" s="369"/>
      <c r="HU70" s="369"/>
      <c r="HV70" s="369"/>
      <c r="HW70" s="369"/>
      <c r="HX70" s="369"/>
      <c r="HY70" s="369"/>
      <c r="HZ70" s="369"/>
      <c r="IA70" s="369"/>
      <c r="IB70" s="369"/>
      <c r="IC70" s="369"/>
      <c r="ID70" s="369"/>
      <c r="IE70" s="369"/>
      <c r="IF70" s="369"/>
      <c r="IG70" s="369"/>
      <c r="IH70" s="369"/>
      <c r="II70" s="369"/>
      <c r="IJ70" s="369"/>
      <c r="IK70" s="369"/>
      <c r="IL70" s="369"/>
      <c r="IM70" s="369"/>
      <c r="IN70" s="369"/>
      <c r="IO70" s="369"/>
      <c r="IP70" s="369"/>
      <c r="IQ70" s="369"/>
      <c r="IR70" s="369"/>
      <c r="IS70" s="369"/>
      <c r="IT70" s="369"/>
      <c r="IU70" s="369"/>
      <c r="IV70" s="369"/>
      <c r="IW70" s="369"/>
      <c r="IX70" s="369"/>
      <c r="IY70" s="369"/>
      <c r="IZ70" s="369"/>
      <c r="JA70" s="369"/>
      <c r="JB70" s="369"/>
      <c r="JC70" s="369"/>
      <c r="JD70" s="369"/>
      <c r="JE70" s="369"/>
    </row>
    <row r="71" spans="1:265" s="588" customFormat="1" x14ac:dyDescent="0.2">
      <c r="A71" s="364" t="s">
        <v>3732</v>
      </c>
      <c r="B71" s="365"/>
      <c r="C71" s="370" t="s">
        <v>4086</v>
      </c>
      <c r="D71" s="369"/>
      <c r="E71" s="372" t="s">
        <v>4087</v>
      </c>
      <c r="F71" s="364"/>
      <c r="G71" s="364" t="s">
        <v>4042</v>
      </c>
      <c r="H71" s="602">
        <v>814002011144</v>
      </c>
      <c r="I71" s="371"/>
      <c r="J71" s="371"/>
      <c r="K71" s="371"/>
      <c r="L71" s="475" t="s">
        <v>975</v>
      </c>
      <c r="M71" s="367"/>
      <c r="N71" s="516">
        <v>14.99</v>
      </c>
      <c r="O71" s="368"/>
      <c r="P71" s="368">
        <v>10</v>
      </c>
      <c r="Q71" s="366">
        <v>0.1</v>
      </c>
      <c r="R71" s="366">
        <v>2.4</v>
      </c>
      <c r="S71" s="366">
        <v>2</v>
      </c>
      <c r="T71" s="603">
        <v>1.2</v>
      </c>
      <c r="U71" s="366">
        <v>0.1</v>
      </c>
      <c r="V71" s="366">
        <v>4</v>
      </c>
      <c r="W71" s="366">
        <v>3</v>
      </c>
      <c r="X71" s="366">
        <v>1</v>
      </c>
      <c r="Y71" s="604"/>
      <c r="Z71" s="366"/>
      <c r="AA71" s="366"/>
      <c r="AB71" s="605"/>
      <c r="AC71" s="366"/>
      <c r="AD71" s="366"/>
      <c r="AE71" s="366"/>
      <c r="AF71" s="605"/>
      <c r="AG71" s="366"/>
      <c r="AH71" s="606"/>
      <c r="AI71" s="607"/>
      <c r="AJ71" s="606"/>
      <c r="AK71" s="606"/>
      <c r="AL71" s="606"/>
      <c r="AM71" s="369"/>
      <c r="AN71" s="369"/>
      <c r="AO71" s="369"/>
      <c r="AP71" s="392"/>
      <c r="AQ71" s="369"/>
      <c r="AR71" s="369"/>
      <c r="AS71" s="369"/>
      <c r="AT71" s="369"/>
      <c r="AU71" s="369"/>
      <c r="AV71" s="369"/>
      <c r="AW71" s="369"/>
      <c r="AX71" s="369"/>
      <c r="AY71" s="369"/>
      <c r="AZ71" s="369"/>
      <c r="BA71" s="369"/>
      <c r="BB71" s="369"/>
      <c r="BC71" s="369"/>
      <c r="BD71" s="369"/>
      <c r="BE71" s="369"/>
      <c r="BF71" s="369"/>
      <c r="BG71" s="369"/>
      <c r="BH71" s="369"/>
      <c r="BI71" s="369"/>
      <c r="BJ71" s="369"/>
      <c r="BK71" s="369"/>
      <c r="BL71" s="369"/>
      <c r="BM71" s="369"/>
      <c r="BN71" s="369"/>
      <c r="BO71" s="369"/>
      <c r="BP71" s="369"/>
      <c r="BQ71" s="369"/>
      <c r="BR71" s="369"/>
      <c r="BS71" s="369"/>
      <c r="BT71" s="369"/>
      <c r="BU71" s="369"/>
      <c r="BV71" s="369"/>
      <c r="BW71" s="369"/>
      <c r="BX71" s="369"/>
      <c r="BY71" s="369"/>
      <c r="BZ71" s="369"/>
      <c r="CA71" s="369"/>
      <c r="CB71" s="369"/>
      <c r="CC71" s="369"/>
      <c r="CD71" s="369"/>
      <c r="CE71" s="369"/>
      <c r="CF71" s="369"/>
      <c r="CG71" s="369"/>
      <c r="CH71" s="369"/>
      <c r="CI71" s="369"/>
      <c r="CJ71" s="369"/>
      <c r="CK71" s="369"/>
      <c r="CL71" s="369"/>
      <c r="CM71" s="369"/>
      <c r="CN71" s="369"/>
      <c r="CO71" s="369"/>
      <c r="CP71" s="369"/>
      <c r="CQ71" s="369"/>
      <c r="CR71" s="369"/>
      <c r="CS71" s="369"/>
      <c r="CT71" s="369"/>
      <c r="CU71" s="369"/>
      <c r="CV71" s="369"/>
      <c r="CW71" s="369"/>
      <c r="CX71" s="369"/>
      <c r="CY71" s="369"/>
      <c r="CZ71" s="369"/>
      <c r="DA71" s="369"/>
      <c r="DB71" s="369"/>
      <c r="DC71" s="369"/>
      <c r="DD71" s="369"/>
      <c r="DE71" s="369"/>
      <c r="DF71" s="369"/>
      <c r="DG71" s="369"/>
      <c r="DH71" s="369"/>
      <c r="DI71" s="369"/>
      <c r="DJ71" s="369"/>
      <c r="DK71" s="369"/>
      <c r="DL71" s="369"/>
      <c r="DM71" s="369"/>
      <c r="DN71" s="369"/>
      <c r="DO71" s="369"/>
      <c r="DP71" s="369"/>
      <c r="DQ71" s="369"/>
      <c r="DR71" s="369"/>
      <c r="DS71" s="369"/>
      <c r="DT71" s="369"/>
      <c r="DU71" s="369"/>
      <c r="DV71" s="369"/>
      <c r="DW71" s="369"/>
      <c r="DX71" s="369"/>
      <c r="DY71" s="369"/>
      <c r="DZ71" s="369"/>
      <c r="EA71" s="369"/>
      <c r="EB71" s="369"/>
      <c r="EC71" s="369"/>
      <c r="ED71" s="369"/>
      <c r="EE71" s="369"/>
      <c r="EF71" s="369"/>
      <c r="EG71" s="369"/>
      <c r="EH71" s="369"/>
      <c r="EI71" s="369"/>
      <c r="EJ71" s="369"/>
      <c r="EK71" s="369"/>
      <c r="EL71" s="369"/>
      <c r="EM71" s="369"/>
      <c r="EN71" s="369"/>
      <c r="EO71" s="369"/>
      <c r="EP71" s="369"/>
      <c r="EQ71" s="369"/>
      <c r="ER71" s="369"/>
      <c r="ES71" s="369"/>
      <c r="ET71" s="369"/>
      <c r="EU71" s="369"/>
      <c r="EV71" s="369"/>
      <c r="EW71" s="369"/>
      <c r="EX71" s="369"/>
      <c r="EY71" s="369"/>
      <c r="EZ71" s="369"/>
      <c r="FA71" s="369"/>
      <c r="FB71" s="369"/>
      <c r="FC71" s="369"/>
      <c r="FD71" s="369"/>
      <c r="FE71" s="369"/>
      <c r="FF71" s="369"/>
      <c r="FG71" s="369"/>
      <c r="FH71" s="369"/>
      <c r="FI71" s="369"/>
      <c r="FJ71" s="369"/>
      <c r="FK71" s="369"/>
      <c r="FL71" s="369"/>
      <c r="FM71" s="369"/>
      <c r="FN71" s="369"/>
      <c r="FO71" s="369"/>
      <c r="FP71" s="369"/>
      <c r="FQ71" s="369"/>
      <c r="FR71" s="369"/>
      <c r="FS71" s="369"/>
      <c r="FT71" s="369"/>
      <c r="FU71" s="369"/>
      <c r="FV71" s="369"/>
      <c r="FW71" s="369"/>
      <c r="FX71" s="369"/>
      <c r="FY71" s="369"/>
      <c r="FZ71" s="369"/>
      <c r="GA71" s="369"/>
      <c r="GB71" s="369"/>
      <c r="GC71" s="369"/>
      <c r="GD71" s="369"/>
      <c r="GE71" s="369"/>
      <c r="GF71" s="369"/>
      <c r="GG71" s="369"/>
      <c r="GH71" s="369"/>
      <c r="GI71" s="369"/>
      <c r="GJ71" s="369"/>
      <c r="GK71" s="369"/>
      <c r="GL71" s="369"/>
      <c r="GM71" s="369"/>
      <c r="GN71" s="369"/>
      <c r="GO71" s="369"/>
      <c r="GP71" s="369"/>
      <c r="GQ71" s="369"/>
      <c r="GR71" s="369"/>
      <c r="GS71" s="369"/>
      <c r="GT71" s="369"/>
      <c r="GU71" s="369"/>
      <c r="GV71" s="369"/>
      <c r="GW71" s="369"/>
      <c r="GX71" s="369"/>
      <c r="GY71" s="369"/>
      <c r="GZ71" s="369"/>
      <c r="HA71" s="369"/>
      <c r="HB71" s="369"/>
      <c r="HC71" s="369"/>
      <c r="HD71" s="369"/>
      <c r="HE71" s="369"/>
      <c r="HF71" s="369"/>
      <c r="HG71" s="369"/>
      <c r="HH71" s="369"/>
      <c r="HI71" s="369"/>
      <c r="HJ71" s="369"/>
      <c r="HK71" s="369"/>
      <c r="HL71" s="369"/>
      <c r="HM71" s="369"/>
      <c r="HN71" s="369"/>
      <c r="HO71" s="369"/>
      <c r="HP71" s="369"/>
      <c r="HQ71" s="369"/>
      <c r="HR71" s="369"/>
      <c r="HS71" s="369"/>
      <c r="HT71" s="369"/>
      <c r="HU71" s="369"/>
      <c r="HV71" s="369"/>
      <c r="HW71" s="369"/>
      <c r="HX71" s="369"/>
      <c r="HY71" s="369"/>
      <c r="HZ71" s="369"/>
      <c r="IA71" s="369"/>
      <c r="IB71" s="369"/>
      <c r="IC71" s="369"/>
      <c r="ID71" s="369"/>
      <c r="IE71" s="369"/>
      <c r="IF71" s="369"/>
      <c r="IG71" s="369"/>
      <c r="IH71" s="369"/>
      <c r="II71" s="369"/>
      <c r="IJ71" s="369"/>
      <c r="IK71" s="369"/>
      <c r="IL71" s="369"/>
      <c r="IM71" s="369"/>
      <c r="IN71" s="369"/>
      <c r="IO71" s="369"/>
      <c r="IP71" s="369"/>
      <c r="IQ71" s="369"/>
      <c r="IR71" s="369"/>
      <c r="IS71" s="369"/>
      <c r="IT71" s="369"/>
      <c r="IU71" s="369"/>
      <c r="IV71" s="369"/>
      <c r="IW71" s="369"/>
      <c r="IX71" s="369"/>
      <c r="IY71" s="369"/>
      <c r="IZ71" s="369"/>
      <c r="JA71" s="369"/>
      <c r="JB71" s="369"/>
      <c r="JC71" s="369"/>
      <c r="JD71" s="369"/>
      <c r="JE71" s="369"/>
    </row>
    <row r="72" spans="1:265" s="588" customFormat="1" x14ac:dyDescent="0.2">
      <c r="A72" s="364" t="s">
        <v>3732</v>
      </c>
      <c r="B72" s="365"/>
      <c r="C72" s="370" t="s">
        <v>4088</v>
      </c>
      <c r="D72" s="369"/>
      <c r="E72" s="372" t="s">
        <v>4089</v>
      </c>
      <c r="F72" s="364"/>
      <c r="G72" s="364" t="s">
        <v>4042</v>
      </c>
      <c r="H72" s="602">
        <v>814002011137</v>
      </c>
      <c r="I72" s="371"/>
      <c r="J72" s="371"/>
      <c r="K72" s="371"/>
      <c r="L72" s="475" t="s">
        <v>975</v>
      </c>
      <c r="M72" s="367"/>
      <c r="N72" s="516">
        <v>19.989999999999998</v>
      </c>
      <c r="O72" s="368"/>
      <c r="P72" s="368">
        <v>10</v>
      </c>
      <c r="Q72" s="366">
        <f>2.24/16</f>
        <v>0.14000000000000001</v>
      </c>
      <c r="R72" s="366">
        <v>4.7</v>
      </c>
      <c r="S72" s="366">
        <v>2.2000000000000002</v>
      </c>
      <c r="T72" s="603">
        <v>1.8</v>
      </c>
      <c r="U72" s="366">
        <v>0.2</v>
      </c>
      <c r="V72" s="366">
        <v>4.4000000000000004</v>
      </c>
      <c r="W72" s="366">
        <v>3.7</v>
      </c>
      <c r="X72" s="366">
        <v>0.5</v>
      </c>
      <c r="Y72" s="604"/>
      <c r="Z72" s="366"/>
      <c r="AA72" s="366"/>
      <c r="AB72" s="605"/>
      <c r="AC72" s="366"/>
      <c r="AD72" s="366"/>
      <c r="AE72" s="366"/>
      <c r="AF72" s="605"/>
      <c r="AG72" s="366"/>
      <c r="AH72" s="606"/>
      <c r="AI72" s="607"/>
      <c r="AJ72" s="606"/>
      <c r="AK72" s="606"/>
      <c r="AL72" s="606"/>
      <c r="AM72" s="369"/>
      <c r="AN72" s="369"/>
      <c r="AO72" s="369"/>
      <c r="AP72" s="392"/>
      <c r="AQ72" s="369"/>
      <c r="AR72" s="369"/>
      <c r="AS72" s="369"/>
      <c r="AT72" s="369"/>
      <c r="AU72" s="369"/>
      <c r="AV72" s="369"/>
      <c r="AW72" s="369"/>
      <c r="AX72" s="369"/>
      <c r="AY72" s="369"/>
      <c r="AZ72" s="369"/>
      <c r="BA72" s="369"/>
      <c r="BB72" s="369"/>
      <c r="BC72" s="369"/>
      <c r="BD72" s="369"/>
      <c r="BE72" s="369"/>
      <c r="BF72" s="369"/>
      <c r="BG72" s="369"/>
      <c r="BH72" s="369"/>
      <c r="BI72" s="369"/>
      <c r="BJ72" s="369"/>
      <c r="BK72" s="369"/>
      <c r="BL72" s="369"/>
      <c r="BM72" s="369"/>
      <c r="BN72" s="369"/>
      <c r="BO72" s="369"/>
      <c r="BP72" s="369"/>
      <c r="BQ72" s="369"/>
      <c r="BR72" s="369"/>
      <c r="BS72" s="369"/>
      <c r="BT72" s="369"/>
      <c r="BU72" s="369"/>
      <c r="BV72" s="369"/>
      <c r="BW72" s="369"/>
      <c r="BX72" s="369"/>
      <c r="BY72" s="369"/>
      <c r="BZ72" s="369"/>
      <c r="CA72" s="369"/>
      <c r="CB72" s="369"/>
      <c r="CC72" s="369"/>
      <c r="CD72" s="369"/>
      <c r="CE72" s="369"/>
      <c r="CF72" s="369"/>
      <c r="CG72" s="369"/>
      <c r="CH72" s="369"/>
      <c r="CI72" s="369"/>
      <c r="CJ72" s="369"/>
      <c r="CK72" s="369"/>
      <c r="CL72" s="369"/>
      <c r="CM72" s="369"/>
      <c r="CN72" s="369"/>
      <c r="CO72" s="369"/>
      <c r="CP72" s="369"/>
      <c r="CQ72" s="369"/>
      <c r="CR72" s="369"/>
      <c r="CS72" s="369"/>
      <c r="CT72" s="369"/>
      <c r="CU72" s="369"/>
      <c r="CV72" s="369"/>
      <c r="CW72" s="369"/>
      <c r="CX72" s="369"/>
      <c r="CY72" s="369"/>
      <c r="CZ72" s="369"/>
      <c r="DA72" s="369"/>
      <c r="DB72" s="369"/>
      <c r="DC72" s="369"/>
      <c r="DD72" s="369"/>
      <c r="DE72" s="369"/>
      <c r="DF72" s="369"/>
      <c r="DG72" s="369"/>
      <c r="DH72" s="369"/>
      <c r="DI72" s="369"/>
      <c r="DJ72" s="369"/>
      <c r="DK72" s="369"/>
      <c r="DL72" s="369"/>
      <c r="DM72" s="369"/>
      <c r="DN72" s="369"/>
      <c r="DO72" s="369"/>
      <c r="DP72" s="369"/>
      <c r="DQ72" s="369"/>
      <c r="DR72" s="369"/>
      <c r="DS72" s="369"/>
      <c r="DT72" s="369"/>
      <c r="DU72" s="369"/>
      <c r="DV72" s="369"/>
      <c r="DW72" s="369"/>
      <c r="DX72" s="369"/>
      <c r="DY72" s="369"/>
      <c r="DZ72" s="369"/>
      <c r="EA72" s="369"/>
      <c r="EB72" s="369"/>
      <c r="EC72" s="369"/>
      <c r="ED72" s="369"/>
      <c r="EE72" s="369"/>
      <c r="EF72" s="369"/>
      <c r="EG72" s="369"/>
      <c r="EH72" s="369"/>
      <c r="EI72" s="369"/>
      <c r="EJ72" s="369"/>
      <c r="EK72" s="369"/>
      <c r="EL72" s="369"/>
      <c r="EM72" s="369"/>
      <c r="EN72" s="369"/>
      <c r="EO72" s="369"/>
      <c r="EP72" s="369"/>
      <c r="EQ72" s="369"/>
      <c r="ER72" s="369"/>
      <c r="ES72" s="369"/>
      <c r="ET72" s="369"/>
      <c r="EU72" s="369"/>
      <c r="EV72" s="369"/>
      <c r="EW72" s="369"/>
      <c r="EX72" s="369"/>
      <c r="EY72" s="369"/>
      <c r="EZ72" s="369"/>
      <c r="FA72" s="369"/>
      <c r="FB72" s="369"/>
      <c r="FC72" s="369"/>
      <c r="FD72" s="369"/>
      <c r="FE72" s="369"/>
      <c r="FF72" s="369"/>
      <c r="FG72" s="369"/>
      <c r="FH72" s="369"/>
      <c r="FI72" s="369"/>
      <c r="FJ72" s="369"/>
      <c r="FK72" s="369"/>
      <c r="FL72" s="369"/>
      <c r="FM72" s="369"/>
      <c r="FN72" s="369"/>
      <c r="FO72" s="369"/>
      <c r="FP72" s="369"/>
      <c r="FQ72" s="369"/>
      <c r="FR72" s="369"/>
      <c r="FS72" s="369"/>
      <c r="FT72" s="369"/>
      <c r="FU72" s="369"/>
      <c r="FV72" s="369"/>
      <c r="FW72" s="369"/>
      <c r="FX72" s="369"/>
      <c r="FY72" s="369"/>
      <c r="FZ72" s="369"/>
      <c r="GA72" s="369"/>
      <c r="GB72" s="369"/>
      <c r="GC72" s="369"/>
      <c r="GD72" s="369"/>
      <c r="GE72" s="369"/>
      <c r="GF72" s="369"/>
      <c r="GG72" s="369"/>
      <c r="GH72" s="369"/>
      <c r="GI72" s="369"/>
      <c r="GJ72" s="369"/>
      <c r="GK72" s="369"/>
      <c r="GL72" s="369"/>
      <c r="GM72" s="369"/>
      <c r="GN72" s="369"/>
      <c r="GO72" s="369"/>
      <c r="GP72" s="369"/>
      <c r="GQ72" s="369"/>
      <c r="GR72" s="369"/>
      <c r="GS72" s="369"/>
      <c r="GT72" s="369"/>
      <c r="GU72" s="369"/>
      <c r="GV72" s="369"/>
      <c r="GW72" s="369"/>
      <c r="GX72" s="369"/>
      <c r="GY72" s="369"/>
      <c r="GZ72" s="369"/>
      <c r="HA72" s="369"/>
      <c r="HB72" s="369"/>
      <c r="HC72" s="369"/>
      <c r="HD72" s="369"/>
      <c r="HE72" s="369"/>
      <c r="HF72" s="369"/>
      <c r="HG72" s="369"/>
      <c r="HH72" s="369"/>
      <c r="HI72" s="369"/>
      <c r="HJ72" s="369"/>
      <c r="HK72" s="369"/>
      <c r="HL72" s="369"/>
      <c r="HM72" s="369"/>
      <c r="HN72" s="369"/>
      <c r="HO72" s="369"/>
      <c r="HP72" s="369"/>
      <c r="HQ72" s="369"/>
      <c r="HR72" s="369"/>
      <c r="HS72" s="369"/>
      <c r="HT72" s="369"/>
      <c r="HU72" s="369"/>
      <c r="HV72" s="369"/>
      <c r="HW72" s="369"/>
      <c r="HX72" s="369"/>
      <c r="HY72" s="369"/>
      <c r="HZ72" s="369"/>
      <c r="IA72" s="369"/>
      <c r="IB72" s="369"/>
      <c r="IC72" s="369"/>
      <c r="ID72" s="369"/>
      <c r="IE72" s="369"/>
      <c r="IF72" s="369"/>
      <c r="IG72" s="369"/>
      <c r="IH72" s="369"/>
      <c r="II72" s="369"/>
      <c r="IJ72" s="369"/>
      <c r="IK72" s="369"/>
      <c r="IL72" s="369"/>
      <c r="IM72" s="369"/>
      <c r="IN72" s="369"/>
      <c r="IO72" s="369"/>
      <c r="IP72" s="369"/>
      <c r="IQ72" s="369"/>
      <c r="IR72" s="369"/>
      <c r="IS72" s="369"/>
      <c r="IT72" s="369"/>
      <c r="IU72" s="369"/>
      <c r="IV72" s="369"/>
      <c r="IW72" s="369"/>
      <c r="IX72" s="369"/>
      <c r="IY72" s="369"/>
      <c r="IZ72" s="369"/>
      <c r="JA72" s="369"/>
      <c r="JB72" s="369"/>
      <c r="JC72" s="369"/>
      <c r="JD72" s="369"/>
      <c r="JE72" s="369"/>
    </row>
    <row r="73" spans="1:265" s="588" customFormat="1" x14ac:dyDescent="0.2">
      <c r="A73" s="364" t="s">
        <v>3732</v>
      </c>
      <c r="B73" s="365"/>
      <c r="C73" s="370" t="s">
        <v>4090</v>
      </c>
      <c r="D73" s="369"/>
      <c r="E73" s="372" t="s">
        <v>4091</v>
      </c>
      <c r="F73" s="364"/>
      <c r="G73" s="364" t="s">
        <v>4042</v>
      </c>
      <c r="H73" s="602">
        <v>814002011632</v>
      </c>
      <c r="I73" s="371"/>
      <c r="J73" s="371"/>
      <c r="K73" s="371"/>
      <c r="L73" s="475" t="s">
        <v>975</v>
      </c>
      <c r="M73" s="367"/>
      <c r="N73" s="516">
        <v>19.989999999999998</v>
      </c>
      <c r="O73" s="368"/>
      <c r="P73" s="368">
        <v>10</v>
      </c>
      <c r="Q73" s="366">
        <f>3.2/16</f>
        <v>0.2</v>
      </c>
      <c r="R73" s="366">
        <v>7.5</v>
      </c>
      <c r="S73" s="366">
        <v>2</v>
      </c>
      <c r="T73" s="603">
        <v>1.6</v>
      </c>
      <c r="U73" s="366">
        <f>3.7/16</f>
        <v>0.23125000000000001</v>
      </c>
      <c r="V73" s="366">
        <v>10.8</v>
      </c>
      <c r="W73" s="366">
        <v>5.9</v>
      </c>
      <c r="X73" s="366">
        <v>1.2</v>
      </c>
      <c r="Y73" s="604"/>
      <c r="Z73" s="366"/>
      <c r="AA73" s="366"/>
      <c r="AB73" s="605"/>
      <c r="AC73" s="366"/>
      <c r="AD73" s="366"/>
      <c r="AE73" s="366"/>
      <c r="AF73" s="605"/>
      <c r="AG73" s="366"/>
      <c r="AH73" s="606"/>
      <c r="AI73" s="607"/>
      <c r="AJ73" s="606"/>
      <c r="AK73" s="606"/>
      <c r="AL73" s="606"/>
      <c r="AM73" s="369"/>
      <c r="AN73" s="369"/>
      <c r="AO73" s="369"/>
      <c r="AP73" s="392"/>
      <c r="AQ73" s="369"/>
      <c r="AR73" s="369"/>
      <c r="AS73" s="369"/>
      <c r="AT73" s="369"/>
      <c r="AU73" s="369"/>
      <c r="AV73" s="369"/>
      <c r="AW73" s="369"/>
      <c r="AX73" s="369"/>
      <c r="AY73" s="369"/>
      <c r="AZ73" s="369"/>
      <c r="BA73" s="369"/>
      <c r="BB73" s="369"/>
      <c r="BC73" s="369"/>
      <c r="BD73" s="369"/>
      <c r="BE73" s="369"/>
      <c r="BF73" s="369"/>
      <c r="BG73" s="369"/>
      <c r="BH73" s="369"/>
      <c r="BI73" s="369"/>
      <c r="BJ73" s="369"/>
      <c r="BK73" s="369"/>
      <c r="BL73" s="369"/>
      <c r="BM73" s="369"/>
      <c r="BN73" s="369"/>
      <c r="BO73" s="369"/>
      <c r="BP73" s="369"/>
      <c r="BQ73" s="369"/>
      <c r="BR73" s="369"/>
      <c r="BS73" s="369"/>
      <c r="BT73" s="369"/>
      <c r="BU73" s="369"/>
      <c r="BV73" s="369"/>
      <c r="BW73" s="369"/>
      <c r="BX73" s="369"/>
      <c r="BY73" s="369"/>
      <c r="BZ73" s="369"/>
      <c r="CA73" s="369"/>
      <c r="CB73" s="369"/>
      <c r="CC73" s="369"/>
      <c r="CD73" s="369"/>
      <c r="CE73" s="369"/>
      <c r="CF73" s="369"/>
      <c r="CG73" s="369"/>
      <c r="CH73" s="369"/>
      <c r="CI73" s="369"/>
      <c r="CJ73" s="369"/>
      <c r="CK73" s="369"/>
      <c r="CL73" s="369"/>
      <c r="CM73" s="369"/>
      <c r="CN73" s="369"/>
      <c r="CO73" s="369"/>
      <c r="CP73" s="369"/>
      <c r="CQ73" s="369"/>
      <c r="CR73" s="369"/>
      <c r="CS73" s="369"/>
      <c r="CT73" s="369"/>
      <c r="CU73" s="369"/>
      <c r="CV73" s="369"/>
      <c r="CW73" s="369"/>
      <c r="CX73" s="369"/>
      <c r="CY73" s="369"/>
      <c r="CZ73" s="369"/>
      <c r="DA73" s="369"/>
      <c r="DB73" s="369"/>
      <c r="DC73" s="369"/>
      <c r="DD73" s="369"/>
      <c r="DE73" s="369"/>
      <c r="DF73" s="369"/>
      <c r="DG73" s="369"/>
      <c r="DH73" s="369"/>
      <c r="DI73" s="369"/>
      <c r="DJ73" s="369"/>
      <c r="DK73" s="369"/>
      <c r="DL73" s="369"/>
      <c r="DM73" s="369"/>
      <c r="DN73" s="369"/>
      <c r="DO73" s="369"/>
      <c r="DP73" s="369"/>
      <c r="DQ73" s="369"/>
      <c r="DR73" s="369"/>
      <c r="DS73" s="369"/>
      <c r="DT73" s="369"/>
      <c r="DU73" s="369"/>
      <c r="DV73" s="369"/>
      <c r="DW73" s="369"/>
      <c r="DX73" s="369"/>
      <c r="DY73" s="369"/>
      <c r="DZ73" s="369"/>
      <c r="EA73" s="369"/>
      <c r="EB73" s="369"/>
      <c r="EC73" s="369"/>
      <c r="ED73" s="369"/>
      <c r="EE73" s="369"/>
      <c r="EF73" s="369"/>
      <c r="EG73" s="369"/>
      <c r="EH73" s="369"/>
      <c r="EI73" s="369"/>
      <c r="EJ73" s="369"/>
      <c r="EK73" s="369"/>
      <c r="EL73" s="369"/>
      <c r="EM73" s="369"/>
      <c r="EN73" s="369"/>
      <c r="EO73" s="369"/>
      <c r="EP73" s="369"/>
      <c r="EQ73" s="369"/>
      <c r="ER73" s="369"/>
      <c r="ES73" s="369"/>
      <c r="ET73" s="369"/>
      <c r="EU73" s="369"/>
      <c r="EV73" s="369"/>
      <c r="EW73" s="369"/>
      <c r="EX73" s="369"/>
      <c r="EY73" s="369"/>
      <c r="EZ73" s="369"/>
      <c r="FA73" s="369"/>
      <c r="FB73" s="369"/>
      <c r="FC73" s="369"/>
      <c r="FD73" s="369"/>
      <c r="FE73" s="369"/>
      <c r="FF73" s="369"/>
      <c r="FG73" s="369"/>
      <c r="FH73" s="369"/>
      <c r="FI73" s="369"/>
      <c r="FJ73" s="369"/>
      <c r="FK73" s="369"/>
      <c r="FL73" s="369"/>
      <c r="FM73" s="369"/>
      <c r="FN73" s="369"/>
      <c r="FO73" s="369"/>
      <c r="FP73" s="369"/>
      <c r="FQ73" s="369"/>
      <c r="FR73" s="369"/>
      <c r="FS73" s="369"/>
      <c r="FT73" s="369"/>
      <c r="FU73" s="369"/>
      <c r="FV73" s="369"/>
      <c r="FW73" s="369"/>
      <c r="FX73" s="369"/>
      <c r="FY73" s="369"/>
      <c r="FZ73" s="369"/>
      <c r="GA73" s="369"/>
      <c r="GB73" s="369"/>
      <c r="GC73" s="369"/>
      <c r="GD73" s="369"/>
      <c r="GE73" s="369"/>
      <c r="GF73" s="369"/>
      <c r="GG73" s="369"/>
      <c r="GH73" s="369"/>
      <c r="GI73" s="369"/>
      <c r="GJ73" s="369"/>
      <c r="GK73" s="369"/>
      <c r="GL73" s="369"/>
      <c r="GM73" s="369"/>
      <c r="GN73" s="369"/>
      <c r="GO73" s="369"/>
      <c r="GP73" s="369"/>
      <c r="GQ73" s="369"/>
      <c r="GR73" s="369"/>
      <c r="GS73" s="369"/>
      <c r="GT73" s="369"/>
      <c r="GU73" s="369"/>
      <c r="GV73" s="369"/>
      <c r="GW73" s="369"/>
      <c r="GX73" s="369"/>
      <c r="GY73" s="369"/>
      <c r="GZ73" s="369"/>
      <c r="HA73" s="369"/>
      <c r="HB73" s="369"/>
      <c r="HC73" s="369"/>
      <c r="HD73" s="369"/>
      <c r="HE73" s="369"/>
      <c r="HF73" s="369"/>
      <c r="HG73" s="369"/>
      <c r="HH73" s="369"/>
      <c r="HI73" s="369"/>
      <c r="HJ73" s="369"/>
      <c r="HK73" s="369"/>
      <c r="HL73" s="369"/>
      <c r="HM73" s="369"/>
      <c r="HN73" s="369"/>
      <c r="HO73" s="369"/>
      <c r="HP73" s="369"/>
      <c r="HQ73" s="369"/>
      <c r="HR73" s="369"/>
      <c r="HS73" s="369"/>
      <c r="HT73" s="369"/>
      <c r="HU73" s="369"/>
      <c r="HV73" s="369"/>
      <c r="HW73" s="369"/>
      <c r="HX73" s="369"/>
      <c r="HY73" s="369"/>
      <c r="HZ73" s="369"/>
      <c r="IA73" s="369"/>
      <c r="IB73" s="369"/>
      <c r="IC73" s="369"/>
      <c r="ID73" s="369"/>
      <c r="IE73" s="369"/>
      <c r="IF73" s="369"/>
      <c r="IG73" s="369"/>
      <c r="IH73" s="369"/>
      <c r="II73" s="369"/>
      <c r="IJ73" s="369"/>
      <c r="IK73" s="369"/>
      <c r="IL73" s="369"/>
      <c r="IM73" s="369"/>
      <c r="IN73" s="369"/>
      <c r="IO73" s="369"/>
      <c r="IP73" s="369"/>
      <c r="IQ73" s="369"/>
      <c r="IR73" s="369"/>
      <c r="IS73" s="369"/>
      <c r="IT73" s="369"/>
      <c r="IU73" s="369"/>
      <c r="IV73" s="369"/>
      <c r="IW73" s="369"/>
      <c r="IX73" s="369"/>
      <c r="IY73" s="369"/>
      <c r="IZ73" s="369"/>
      <c r="JA73" s="369"/>
      <c r="JB73" s="369"/>
      <c r="JC73" s="369"/>
      <c r="JD73" s="369"/>
      <c r="JE73" s="369"/>
    </row>
    <row r="74" spans="1:265" s="588" customFormat="1" x14ac:dyDescent="0.2">
      <c r="A74" s="364" t="s">
        <v>3732</v>
      </c>
      <c r="B74" s="365"/>
      <c r="C74" s="370" t="s">
        <v>4092</v>
      </c>
      <c r="D74" s="369"/>
      <c r="E74" s="372" t="s">
        <v>4093</v>
      </c>
      <c r="F74" s="364"/>
      <c r="G74" s="364" t="s">
        <v>2557</v>
      </c>
      <c r="H74" s="602">
        <v>814002011991</v>
      </c>
      <c r="I74" s="371"/>
      <c r="J74" s="371"/>
      <c r="K74" s="371"/>
      <c r="L74" s="475" t="s">
        <v>975</v>
      </c>
      <c r="M74" s="367"/>
      <c r="N74" s="516">
        <v>34.99</v>
      </c>
      <c r="O74" s="368"/>
      <c r="P74" s="368">
        <v>10</v>
      </c>
      <c r="Q74" s="366">
        <f>5.5/16</f>
        <v>0.34375</v>
      </c>
      <c r="R74" s="603" t="s">
        <v>4094</v>
      </c>
      <c r="S74" s="366">
        <v>1.25</v>
      </c>
      <c r="T74" s="603">
        <v>1.25</v>
      </c>
      <c r="U74" s="366">
        <v>0.4</v>
      </c>
      <c r="V74" s="366">
        <v>11.4</v>
      </c>
      <c r="W74" s="366">
        <v>1.6</v>
      </c>
      <c r="X74" s="366">
        <v>1.4</v>
      </c>
      <c r="Y74" s="604"/>
      <c r="Z74" s="366"/>
      <c r="AA74" s="366"/>
      <c r="AB74" s="605"/>
      <c r="AC74" s="366"/>
      <c r="AD74" s="366"/>
      <c r="AE74" s="366"/>
      <c r="AF74" s="605"/>
      <c r="AG74" s="366"/>
      <c r="AH74" s="606"/>
      <c r="AI74" s="607"/>
      <c r="AJ74" s="606"/>
      <c r="AK74" s="606"/>
      <c r="AL74" s="606"/>
      <c r="AM74" s="369"/>
      <c r="AN74" s="369"/>
      <c r="AO74" s="369"/>
      <c r="AP74" s="392"/>
      <c r="AQ74" s="369"/>
      <c r="AR74" s="369"/>
      <c r="AS74" s="369"/>
      <c r="AT74" s="369"/>
      <c r="AU74" s="369"/>
      <c r="AV74" s="369"/>
      <c r="AW74" s="369"/>
      <c r="AX74" s="369"/>
      <c r="AY74" s="369"/>
      <c r="AZ74" s="369"/>
      <c r="BA74" s="369"/>
      <c r="BB74" s="369"/>
      <c r="BC74" s="369"/>
      <c r="BD74" s="369"/>
      <c r="BE74" s="369"/>
      <c r="BF74" s="369"/>
      <c r="BG74" s="369"/>
      <c r="BH74" s="369"/>
      <c r="BI74" s="369"/>
      <c r="BJ74" s="369"/>
      <c r="BK74" s="369"/>
      <c r="BL74" s="369"/>
      <c r="BM74" s="369"/>
      <c r="BN74" s="369"/>
      <c r="BO74" s="369"/>
      <c r="BP74" s="369"/>
      <c r="BQ74" s="369"/>
      <c r="BR74" s="369"/>
      <c r="BS74" s="369"/>
      <c r="BT74" s="369"/>
      <c r="BU74" s="369"/>
      <c r="BV74" s="369"/>
      <c r="BW74" s="369"/>
      <c r="BX74" s="369"/>
      <c r="BY74" s="369"/>
      <c r="BZ74" s="369"/>
      <c r="CA74" s="369"/>
      <c r="CB74" s="369"/>
      <c r="CC74" s="369"/>
      <c r="CD74" s="369"/>
      <c r="CE74" s="369"/>
      <c r="CF74" s="369"/>
      <c r="CG74" s="369"/>
      <c r="CH74" s="369"/>
      <c r="CI74" s="369"/>
      <c r="CJ74" s="369"/>
      <c r="CK74" s="369"/>
      <c r="CL74" s="369"/>
      <c r="CM74" s="369"/>
      <c r="CN74" s="369"/>
      <c r="CO74" s="369"/>
      <c r="CP74" s="369"/>
      <c r="CQ74" s="369"/>
      <c r="CR74" s="369"/>
      <c r="CS74" s="369"/>
      <c r="CT74" s="369"/>
      <c r="CU74" s="369"/>
      <c r="CV74" s="369"/>
      <c r="CW74" s="369"/>
      <c r="CX74" s="369"/>
      <c r="CY74" s="369"/>
      <c r="CZ74" s="369"/>
      <c r="DA74" s="369"/>
      <c r="DB74" s="369"/>
      <c r="DC74" s="369"/>
      <c r="DD74" s="369"/>
      <c r="DE74" s="369"/>
      <c r="DF74" s="369"/>
      <c r="DG74" s="369"/>
      <c r="DH74" s="369"/>
      <c r="DI74" s="369"/>
      <c r="DJ74" s="369"/>
      <c r="DK74" s="369"/>
      <c r="DL74" s="369"/>
      <c r="DM74" s="369"/>
      <c r="DN74" s="369"/>
      <c r="DO74" s="369"/>
      <c r="DP74" s="369"/>
      <c r="DQ74" s="369"/>
      <c r="DR74" s="369"/>
      <c r="DS74" s="369"/>
      <c r="DT74" s="369"/>
      <c r="DU74" s="369"/>
      <c r="DV74" s="369"/>
      <c r="DW74" s="369"/>
      <c r="DX74" s="369"/>
      <c r="DY74" s="369"/>
      <c r="DZ74" s="369"/>
      <c r="EA74" s="369"/>
      <c r="EB74" s="369"/>
      <c r="EC74" s="369"/>
      <c r="ED74" s="369"/>
      <c r="EE74" s="369"/>
      <c r="EF74" s="369"/>
      <c r="EG74" s="369"/>
      <c r="EH74" s="369"/>
      <c r="EI74" s="369"/>
      <c r="EJ74" s="369"/>
      <c r="EK74" s="369"/>
      <c r="EL74" s="369"/>
      <c r="EM74" s="369"/>
      <c r="EN74" s="369"/>
      <c r="EO74" s="369"/>
      <c r="EP74" s="369"/>
      <c r="EQ74" s="369"/>
      <c r="ER74" s="369"/>
      <c r="ES74" s="369"/>
      <c r="ET74" s="369"/>
      <c r="EU74" s="369"/>
      <c r="EV74" s="369"/>
      <c r="EW74" s="369"/>
      <c r="EX74" s="369"/>
      <c r="EY74" s="369"/>
      <c r="EZ74" s="369"/>
      <c r="FA74" s="369"/>
      <c r="FB74" s="369"/>
      <c r="FC74" s="369"/>
      <c r="FD74" s="369"/>
      <c r="FE74" s="369"/>
      <c r="FF74" s="369"/>
      <c r="FG74" s="369"/>
      <c r="FH74" s="369"/>
      <c r="FI74" s="369"/>
      <c r="FJ74" s="369"/>
      <c r="FK74" s="369"/>
      <c r="FL74" s="369"/>
      <c r="FM74" s="369"/>
      <c r="FN74" s="369"/>
      <c r="FO74" s="369"/>
      <c r="FP74" s="369"/>
      <c r="FQ74" s="369"/>
      <c r="FR74" s="369"/>
      <c r="FS74" s="369"/>
      <c r="FT74" s="369"/>
      <c r="FU74" s="369"/>
      <c r="FV74" s="369"/>
      <c r="FW74" s="369"/>
      <c r="FX74" s="369"/>
      <c r="FY74" s="369"/>
      <c r="FZ74" s="369"/>
      <c r="GA74" s="369"/>
      <c r="GB74" s="369"/>
      <c r="GC74" s="369"/>
      <c r="GD74" s="369"/>
      <c r="GE74" s="369"/>
      <c r="GF74" s="369"/>
      <c r="GG74" s="369"/>
      <c r="GH74" s="369"/>
      <c r="GI74" s="369"/>
      <c r="GJ74" s="369"/>
      <c r="GK74" s="369"/>
      <c r="GL74" s="369"/>
      <c r="GM74" s="369"/>
      <c r="GN74" s="369"/>
      <c r="GO74" s="369"/>
      <c r="GP74" s="369"/>
      <c r="GQ74" s="369"/>
      <c r="GR74" s="369"/>
      <c r="GS74" s="369"/>
      <c r="GT74" s="369"/>
      <c r="GU74" s="369"/>
      <c r="GV74" s="369"/>
      <c r="GW74" s="369"/>
      <c r="GX74" s="369"/>
      <c r="GY74" s="369"/>
      <c r="GZ74" s="369"/>
      <c r="HA74" s="369"/>
      <c r="HB74" s="369"/>
      <c r="HC74" s="369"/>
      <c r="HD74" s="369"/>
      <c r="HE74" s="369"/>
      <c r="HF74" s="369"/>
      <c r="HG74" s="369"/>
      <c r="HH74" s="369"/>
      <c r="HI74" s="369"/>
      <c r="HJ74" s="369"/>
      <c r="HK74" s="369"/>
      <c r="HL74" s="369"/>
      <c r="HM74" s="369"/>
      <c r="HN74" s="369"/>
      <c r="HO74" s="369"/>
      <c r="HP74" s="369"/>
      <c r="HQ74" s="369"/>
      <c r="HR74" s="369"/>
      <c r="HS74" s="369"/>
      <c r="HT74" s="369"/>
      <c r="HU74" s="369"/>
      <c r="HV74" s="369"/>
      <c r="HW74" s="369"/>
      <c r="HX74" s="369"/>
      <c r="HY74" s="369"/>
      <c r="HZ74" s="369"/>
      <c r="IA74" s="369"/>
      <c r="IB74" s="369"/>
      <c r="IC74" s="369"/>
      <c r="ID74" s="369"/>
      <c r="IE74" s="369"/>
      <c r="IF74" s="369"/>
      <c r="IG74" s="369"/>
      <c r="IH74" s="369"/>
      <c r="II74" s="369"/>
      <c r="IJ74" s="369"/>
      <c r="IK74" s="369"/>
      <c r="IL74" s="369"/>
      <c r="IM74" s="369"/>
      <c r="IN74" s="369"/>
      <c r="IO74" s="369"/>
      <c r="IP74" s="369"/>
      <c r="IQ74" s="369"/>
      <c r="IR74" s="369"/>
      <c r="IS74" s="369"/>
      <c r="IT74" s="369"/>
      <c r="IU74" s="369"/>
      <c r="IV74" s="369"/>
      <c r="IW74" s="369"/>
      <c r="IX74" s="369"/>
      <c r="IY74" s="369"/>
      <c r="IZ74" s="369"/>
      <c r="JA74" s="369"/>
      <c r="JB74" s="369"/>
      <c r="JC74" s="369"/>
      <c r="JD74" s="369"/>
      <c r="JE74" s="369"/>
    </row>
    <row r="75" spans="1:265" s="588" customFormat="1" x14ac:dyDescent="0.2">
      <c r="A75" s="364" t="s">
        <v>3732</v>
      </c>
      <c r="B75" s="365"/>
      <c r="C75" s="370" t="s">
        <v>4095</v>
      </c>
      <c r="D75" s="369"/>
      <c r="E75" s="372" t="s">
        <v>4096</v>
      </c>
      <c r="F75" s="364"/>
      <c r="G75" s="364" t="s">
        <v>2557</v>
      </c>
      <c r="H75" s="602">
        <v>814002012332</v>
      </c>
      <c r="I75" s="371"/>
      <c r="J75" s="371"/>
      <c r="K75" s="371"/>
      <c r="L75" s="475" t="s">
        <v>975</v>
      </c>
      <c r="M75" s="367"/>
      <c r="N75" s="516">
        <v>34.99</v>
      </c>
      <c r="O75" s="368"/>
      <c r="P75" s="368">
        <v>40</v>
      </c>
      <c r="Q75" s="366">
        <f>12.5/16</f>
        <v>0.78125</v>
      </c>
      <c r="R75" s="603" t="s">
        <v>4097</v>
      </c>
      <c r="S75" s="366">
        <v>1.5</v>
      </c>
      <c r="T75" s="603">
        <v>1.5</v>
      </c>
      <c r="U75" s="366">
        <v>1.05</v>
      </c>
      <c r="V75" s="366">
        <v>21.18</v>
      </c>
      <c r="W75" s="366">
        <v>3.78</v>
      </c>
      <c r="X75" s="366">
        <v>3.7</v>
      </c>
      <c r="Y75" s="604"/>
      <c r="Z75" s="366"/>
      <c r="AA75" s="366"/>
      <c r="AB75" s="605"/>
      <c r="AC75" s="366"/>
      <c r="AD75" s="366"/>
      <c r="AE75" s="366"/>
      <c r="AF75" s="605"/>
      <c r="AG75" s="366"/>
      <c r="AH75" s="606"/>
      <c r="AI75" s="607"/>
      <c r="AJ75" s="606"/>
      <c r="AK75" s="606"/>
      <c r="AL75" s="606"/>
      <c r="AM75" s="369"/>
      <c r="AN75" s="369"/>
      <c r="AO75" s="369"/>
      <c r="AP75" s="392"/>
      <c r="AQ75" s="369"/>
      <c r="AR75" s="369"/>
      <c r="AS75" s="369"/>
      <c r="AT75" s="369"/>
      <c r="AU75" s="369"/>
      <c r="AV75" s="369"/>
      <c r="AW75" s="369"/>
      <c r="AX75" s="369"/>
      <c r="AY75" s="369"/>
      <c r="AZ75" s="369"/>
      <c r="BA75" s="369"/>
      <c r="BB75" s="369"/>
      <c r="BC75" s="369"/>
      <c r="BD75" s="369"/>
      <c r="BE75" s="369"/>
      <c r="BF75" s="369"/>
      <c r="BG75" s="369"/>
      <c r="BH75" s="369"/>
      <c r="BI75" s="369"/>
      <c r="BJ75" s="369"/>
      <c r="BK75" s="369"/>
      <c r="BL75" s="369"/>
      <c r="BM75" s="369"/>
      <c r="BN75" s="369"/>
      <c r="BO75" s="369"/>
      <c r="BP75" s="369"/>
      <c r="BQ75" s="369"/>
      <c r="BR75" s="369"/>
      <c r="BS75" s="369"/>
      <c r="BT75" s="369"/>
      <c r="BU75" s="369"/>
      <c r="BV75" s="369"/>
      <c r="BW75" s="369"/>
      <c r="BX75" s="369"/>
      <c r="BY75" s="369"/>
      <c r="BZ75" s="369"/>
      <c r="CA75" s="369"/>
      <c r="CB75" s="369"/>
      <c r="CC75" s="369"/>
      <c r="CD75" s="369"/>
      <c r="CE75" s="369"/>
      <c r="CF75" s="369"/>
      <c r="CG75" s="369"/>
      <c r="CH75" s="369"/>
      <c r="CI75" s="369"/>
      <c r="CJ75" s="369"/>
      <c r="CK75" s="369"/>
      <c r="CL75" s="369"/>
      <c r="CM75" s="369"/>
      <c r="CN75" s="369"/>
      <c r="CO75" s="369"/>
      <c r="CP75" s="369"/>
      <c r="CQ75" s="369"/>
      <c r="CR75" s="369"/>
      <c r="CS75" s="369"/>
      <c r="CT75" s="369"/>
      <c r="CU75" s="369"/>
      <c r="CV75" s="369"/>
      <c r="CW75" s="369"/>
      <c r="CX75" s="369"/>
      <c r="CY75" s="369"/>
      <c r="CZ75" s="369"/>
      <c r="DA75" s="369"/>
      <c r="DB75" s="369"/>
      <c r="DC75" s="369"/>
      <c r="DD75" s="369"/>
      <c r="DE75" s="369"/>
      <c r="DF75" s="369"/>
      <c r="DG75" s="369"/>
      <c r="DH75" s="369"/>
      <c r="DI75" s="369"/>
      <c r="DJ75" s="369"/>
      <c r="DK75" s="369"/>
      <c r="DL75" s="369"/>
      <c r="DM75" s="369"/>
      <c r="DN75" s="369"/>
      <c r="DO75" s="369"/>
      <c r="DP75" s="369"/>
      <c r="DQ75" s="369"/>
      <c r="DR75" s="369"/>
      <c r="DS75" s="369"/>
      <c r="DT75" s="369"/>
      <c r="DU75" s="369"/>
      <c r="DV75" s="369"/>
      <c r="DW75" s="369"/>
      <c r="DX75" s="369"/>
      <c r="DY75" s="369"/>
      <c r="DZ75" s="369"/>
      <c r="EA75" s="369"/>
      <c r="EB75" s="369"/>
      <c r="EC75" s="369"/>
      <c r="ED75" s="369"/>
      <c r="EE75" s="369"/>
      <c r="EF75" s="369"/>
      <c r="EG75" s="369"/>
      <c r="EH75" s="369"/>
      <c r="EI75" s="369"/>
      <c r="EJ75" s="369"/>
      <c r="EK75" s="369"/>
      <c r="EL75" s="369"/>
      <c r="EM75" s="369"/>
      <c r="EN75" s="369"/>
      <c r="EO75" s="369"/>
      <c r="EP75" s="369"/>
      <c r="EQ75" s="369"/>
      <c r="ER75" s="369"/>
      <c r="ES75" s="369"/>
      <c r="ET75" s="369"/>
      <c r="EU75" s="369"/>
      <c r="EV75" s="369"/>
      <c r="EW75" s="369"/>
      <c r="EX75" s="369"/>
      <c r="EY75" s="369"/>
      <c r="EZ75" s="369"/>
      <c r="FA75" s="369"/>
      <c r="FB75" s="369"/>
      <c r="FC75" s="369"/>
      <c r="FD75" s="369"/>
      <c r="FE75" s="369"/>
      <c r="FF75" s="369"/>
      <c r="FG75" s="369"/>
      <c r="FH75" s="369"/>
      <c r="FI75" s="369"/>
      <c r="FJ75" s="369"/>
      <c r="FK75" s="369"/>
      <c r="FL75" s="369"/>
      <c r="FM75" s="369"/>
      <c r="FN75" s="369"/>
      <c r="FO75" s="369"/>
      <c r="FP75" s="369"/>
      <c r="FQ75" s="369"/>
      <c r="FR75" s="369"/>
      <c r="FS75" s="369"/>
      <c r="FT75" s="369"/>
      <c r="FU75" s="369"/>
      <c r="FV75" s="369"/>
      <c r="FW75" s="369"/>
      <c r="FX75" s="369"/>
      <c r="FY75" s="369"/>
      <c r="FZ75" s="369"/>
      <c r="GA75" s="369"/>
      <c r="GB75" s="369"/>
      <c r="GC75" s="369"/>
      <c r="GD75" s="369"/>
      <c r="GE75" s="369"/>
      <c r="GF75" s="369"/>
      <c r="GG75" s="369"/>
      <c r="GH75" s="369"/>
      <c r="GI75" s="369"/>
      <c r="GJ75" s="369"/>
      <c r="GK75" s="369"/>
      <c r="GL75" s="369"/>
      <c r="GM75" s="369"/>
      <c r="GN75" s="369"/>
      <c r="GO75" s="369"/>
      <c r="GP75" s="369"/>
      <c r="GQ75" s="369"/>
      <c r="GR75" s="369"/>
      <c r="GS75" s="369"/>
      <c r="GT75" s="369"/>
      <c r="GU75" s="369"/>
      <c r="GV75" s="369"/>
      <c r="GW75" s="369"/>
      <c r="GX75" s="369"/>
      <c r="GY75" s="369"/>
      <c r="GZ75" s="369"/>
      <c r="HA75" s="369"/>
      <c r="HB75" s="369"/>
      <c r="HC75" s="369"/>
      <c r="HD75" s="369"/>
      <c r="HE75" s="369"/>
      <c r="HF75" s="369"/>
      <c r="HG75" s="369"/>
      <c r="HH75" s="369"/>
      <c r="HI75" s="369"/>
      <c r="HJ75" s="369"/>
      <c r="HK75" s="369"/>
      <c r="HL75" s="369"/>
      <c r="HM75" s="369"/>
      <c r="HN75" s="369"/>
      <c r="HO75" s="369"/>
      <c r="HP75" s="369"/>
      <c r="HQ75" s="369"/>
      <c r="HR75" s="369"/>
      <c r="HS75" s="369"/>
      <c r="HT75" s="369"/>
      <c r="HU75" s="369"/>
      <c r="HV75" s="369"/>
      <c r="HW75" s="369"/>
      <c r="HX75" s="369"/>
      <c r="HY75" s="369"/>
      <c r="HZ75" s="369"/>
      <c r="IA75" s="369"/>
      <c r="IB75" s="369"/>
      <c r="IC75" s="369"/>
      <c r="ID75" s="369"/>
      <c r="IE75" s="369"/>
      <c r="IF75" s="369"/>
      <c r="IG75" s="369"/>
      <c r="IH75" s="369"/>
      <c r="II75" s="369"/>
      <c r="IJ75" s="369"/>
      <c r="IK75" s="369"/>
      <c r="IL75" s="369"/>
      <c r="IM75" s="369"/>
      <c r="IN75" s="369"/>
      <c r="IO75" s="369"/>
      <c r="IP75" s="369"/>
      <c r="IQ75" s="369"/>
      <c r="IR75" s="369"/>
      <c r="IS75" s="369"/>
      <c r="IT75" s="369"/>
      <c r="IU75" s="369"/>
      <c r="IV75" s="369"/>
      <c r="IW75" s="369"/>
      <c r="IX75" s="369"/>
      <c r="IY75" s="369"/>
      <c r="IZ75" s="369"/>
      <c r="JA75" s="369"/>
      <c r="JB75" s="369"/>
      <c r="JC75" s="369"/>
      <c r="JD75" s="369"/>
      <c r="JE75" s="369"/>
    </row>
    <row r="76" spans="1:265" s="88" customFormat="1" x14ac:dyDescent="0.2">
      <c r="A76" s="18" t="s">
        <v>3732</v>
      </c>
      <c r="B76" s="37"/>
      <c r="C76" s="22" t="s">
        <v>3805</v>
      </c>
      <c r="D76" s="37"/>
      <c r="E76" s="57" t="s">
        <v>4384</v>
      </c>
      <c r="F76" s="37"/>
      <c r="G76" s="18" t="s">
        <v>4042</v>
      </c>
      <c r="H76" s="63">
        <v>54269002091</v>
      </c>
      <c r="I76" s="140"/>
      <c r="J76" s="140"/>
      <c r="K76" s="533"/>
      <c r="L76" s="219" t="s">
        <v>975</v>
      </c>
      <c r="M76" s="5"/>
      <c r="N76" s="504">
        <v>49.99</v>
      </c>
      <c r="O76" s="37"/>
      <c r="P76" s="35">
        <v>10</v>
      </c>
      <c r="Q76" s="33">
        <v>0.04</v>
      </c>
      <c r="R76" s="33">
        <v>1.89</v>
      </c>
      <c r="S76" s="33">
        <v>1.89</v>
      </c>
      <c r="T76" s="87">
        <v>0.5</v>
      </c>
      <c r="U76" s="354"/>
      <c r="V76" s="140"/>
      <c r="W76" s="140"/>
      <c r="X76" s="354"/>
      <c r="Y76" s="545">
        <v>0.7</v>
      </c>
      <c r="Z76" s="37">
        <v>6</v>
      </c>
      <c r="AA76" s="37">
        <v>5</v>
      </c>
      <c r="AB76" s="552">
        <v>4</v>
      </c>
      <c r="AC76" s="26" t="s">
        <v>259</v>
      </c>
      <c r="AD76" s="26" t="s">
        <v>259</v>
      </c>
      <c r="AE76" s="26" t="s">
        <v>259</v>
      </c>
      <c r="AF76" s="26" t="s">
        <v>259</v>
      </c>
      <c r="AG76" s="354"/>
      <c r="AH76" s="140"/>
      <c r="AI76" s="140"/>
      <c r="AJ76" s="140"/>
      <c r="AK76" s="140"/>
      <c r="AL76" s="140"/>
      <c r="AM76" s="37"/>
      <c r="AN76" s="37"/>
      <c r="AO76" s="37"/>
      <c r="AP76" s="140"/>
      <c r="AQ76" s="140"/>
      <c r="AR76" s="14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c r="IW76" s="20"/>
      <c r="IX76" s="20"/>
      <c r="IY76" s="20"/>
      <c r="IZ76" s="20"/>
      <c r="JA76" s="20"/>
      <c r="JB76" s="20"/>
      <c r="JC76" s="20"/>
      <c r="JD76" s="20"/>
      <c r="JE76" s="20"/>
    </row>
    <row r="77" spans="1:265" s="88" customFormat="1" x14ac:dyDescent="0.2">
      <c r="A77" s="18" t="s">
        <v>3732</v>
      </c>
      <c r="B77" s="37"/>
      <c r="C77" s="22" t="s">
        <v>3806</v>
      </c>
      <c r="D77" s="37"/>
      <c r="E77" s="57" t="s">
        <v>4383</v>
      </c>
      <c r="F77" s="37"/>
      <c r="G77" s="18" t="s">
        <v>4042</v>
      </c>
      <c r="H77" s="63">
        <v>54269002107</v>
      </c>
      <c r="I77" s="140"/>
      <c r="J77" s="140"/>
      <c r="K77" s="533"/>
      <c r="L77" s="219" t="s">
        <v>975</v>
      </c>
      <c r="M77" s="5"/>
      <c r="N77" s="504">
        <v>59.99</v>
      </c>
      <c r="O77" s="37"/>
      <c r="P77" s="35">
        <v>10</v>
      </c>
      <c r="Q77" s="33">
        <v>0.13</v>
      </c>
      <c r="R77" s="33">
        <v>2.35</v>
      </c>
      <c r="S77" s="33">
        <v>2.35</v>
      </c>
      <c r="T77" s="87">
        <v>0.92</v>
      </c>
      <c r="U77" s="354"/>
      <c r="V77" s="140"/>
      <c r="W77" s="140"/>
      <c r="X77" s="354"/>
      <c r="Y77" s="545">
        <v>1.7</v>
      </c>
      <c r="Z77" s="37">
        <v>7.25</v>
      </c>
      <c r="AA77" s="37">
        <v>5.25</v>
      </c>
      <c r="AB77" s="552">
        <v>5.25</v>
      </c>
      <c r="AC77" s="26" t="s">
        <v>259</v>
      </c>
      <c r="AD77" s="26" t="s">
        <v>259</v>
      </c>
      <c r="AE77" s="26" t="s">
        <v>259</v>
      </c>
      <c r="AF77" s="26" t="s">
        <v>259</v>
      </c>
      <c r="AG77" s="354"/>
      <c r="AH77" s="140"/>
      <c r="AI77" s="140"/>
      <c r="AJ77" s="140"/>
      <c r="AK77" s="140"/>
      <c r="AL77" s="140"/>
      <c r="AM77" s="37"/>
      <c r="AN77" s="37"/>
      <c r="AO77" s="37"/>
      <c r="AP77" s="140"/>
      <c r="AQ77" s="140"/>
      <c r="AR77" s="14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c r="JA77" s="20"/>
      <c r="JB77" s="20"/>
      <c r="JC77" s="20"/>
      <c r="JD77" s="20"/>
      <c r="JE77" s="20"/>
    </row>
    <row r="78" spans="1:265" s="88" customFormat="1" x14ac:dyDescent="0.2">
      <c r="A78" s="18" t="s">
        <v>3732</v>
      </c>
      <c r="B78" s="37"/>
      <c r="C78" s="22" t="s">
        <v>3807</v>
      </c>
      <c r="D78" s="37"/>
      <c r="E78" s="57" t="s">
        <v>4382</v>
      </c>
      <c r="F78" s="37" t="s">
        <v>222</v>
      </c>
      <c r="G78" s="18" t="s">
        <v>4042</v>
      </c>
      <c r="H78" s="63">
        <v>54269002114</v>
      </c>
      <c r="I78" s="140"/>
      <c r="J78" s="140"/>
      <c r="K78" s="533"/>
      <c r="L78" s="219" t="s">
        <v>975</v>
      </c>
      <c r="M78" s="5"/>
      <c r="N78" s="504">
        <v>49.99</v>
      </c>
      <c r="O78" s="37"/>
      <c r="P78" s="35">
        <v>10</v>
      </c>
      <c r="Q78" s="33">
        <f>0.6/16</f>
        <v>3.7499999999999999E-2</v>
      </c>
      <c r="R78" s="33">
        <v>1.89</v>
      </c>
      <c r="S78" s="33">
        <v>1.89</v>
      </c>
      <c r="T78" s="87">
        <v>0.5</v>
      </c>
      <c r="U78" s="354"/>
      <c r="V78" s="140"/>
      <c r="W78" s="140"/>
      <c r="X78" s="354"/>
      <c r="Y78" s="545">
        <v>0.7</v>
      </c>
      <c r="Z78" s="37">
        <v>6</v>
      </c>
      <c r="AA78" s="37">
        <v>5</v>
      </c>
      <c r="AB78" s="552">
        <v>4</v>
      </c>
      <c r="AC78" s="26" t="s">
        <v>259</v>
      </c>
      <c r="AD78" s="26" t="s">
        <v>259</v>
      </c>
      <c r="AE78" s="26" t="s">
        <v>259</v>
      </c>
      <c r="AF78" s="26" t="s">
        <v>259</v>
      </c>
      <c r="AG78" s="354"/>
      <c r="AH78" s="140"/>
      <c r="AI78" s="140"/>
      <c r="AJ78" s="140"/>
      <c r="AK78" s="140"/>
      <c r="AL78" s="140"/>
      <c r="AM78" s="37"/>
      <c r="AN78" s="37"/>
      <c r="AO78" s="37"/>
      <c r="AP78" s="463"/>
      <c r="AQ78" s="140"/>
      <c r="AR78" s="14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c r="IZ78" s="20"/>
      <c r="JA78" s="20"/>
      <c r="JB78" s="20"/>
      <c r="JC78" s="20"/>
      <c r="JD78" s="20"/>
      <c r="JE78" s="20"/>
    </row>
    <row r="79" spans="1:265" s="88" customFormat="1" x14ac:dyDescent="0.2">
      <c r="A79" s="18" t="s">
        <v>3732</v>
      </c>
      <c r="B79" s="37"/>
      <c r="C79" s="22" t="s">
        <v>3808</v>
      </c>
      <c r="D79" s="37"/>
      <c r="E79" s="57" t="s">
        <v>4381</v>
      </c>
      <c r="F79" s="37" t="s">
        <v>1488</v>
      </c>
      <c r="G79" s="18" t="s">
        <v>4042</v>
      </c>
      <c r="H79" s="63">
        <v>54269002121</v>
      </c>
      <c r="I79" s="140"/>
      <c r="J79" s="140"/>
      <c r="K79" s="533"/>
      <c r="L79" s="219" t="s">
        <v>975</v>
      </c>
      <c r="M79" s="5"/>
      <c r="N79" s="504">
        <v>49.99</v>
      </c>
      <c r="O79" s="37"/>
      <c r="P79" s="35">
        <v>10</v>
      </c>
      <c r="Q79" s="33">
        <v>0.04</v>
      </c>
      <c r="R79" s="33">
        <v>1.89</v>
      </c>
      <c r="S79" s="33">
        <v>1.89</v>
      </c>
      <c r="T79" s="87">
        <v>0.5</v>
      </c>
      <c r="U79" s="354"/>
      <c r="V79" s="140"/>
      <c r="W79" s="140"/>
      <c r="X79" s="354"/>
      <c r="Y79" s="545">
        <v>0.7</v>
      </c>
      <c r="Z79" s="37">
        <v>6</v>
      </c>
      <c r="AA79" s="37">
        <v>5</v>
      </c>
      <c r="AB79" s="552">
        <v>4</v>
      </c>
      <c r="AC79" s="26" t="s">
        <v>259</v>
      </c>
      <c r="AD79" s="26" t="s">
        <v>259</v>
      </c>
      <c r="AE79" s="26" t="s">
        <v>259</v>
      </c>
      <c r="AF79" s="26" t="s">
        <v>259</v>
      </c>
      <c r="AG79" s="354"/>
      <c r="AH79" s="140"/>
      <c r="AI79" s="140"/>
      <c r="AJ79" s="140"/>
      <c r="AK79" s="140"/>
      <c r="AL79" s="140"/>
      <c r="AM79" s="37"/>
      <c r="AN79" s="37"/>
      <c r="AO79" s="37"/>
      <c r="AP79" s="140"/>
      <c r="AQ79" s="140"/>
      <c r="AR79" s="14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c r="IW79" s="20"/>
      <c r="IX79" s="20"/>
      <c r="IY79" s="20"/>
      <c r="IZ79" s="20"/>
      <c r="JA79" s="20"/>
      <c r="JB79" s="20"/>
      <c r="JC79" s="20"/>
      <c r="JD79" s="20"/>
      <c r="JE79" s="20"/>
    </row>
    <row r="80" spans="1:265" s="588" customFormat="1" x14ac:dyDescent="0.2">
      <c r="A80" s="364" t="s">
        <v>3732</v>
      </c>
      <c r="B80" s="369"/>
      <c r="C80" s="370" t="s">
        <v>3809</v>
      </c>
      <c r="D80" s="369"/>
      <c r="E80" s="372" t="s">
        <v>3811</v>
      </c>
      <c r="F80" s="369"/>
      <c r="G80" s="364" t="s">
        <v>4042</v>
      </c>
      <c r="H80" s="601">
        <v>54269002138</v>
      </c>
      <c r="I80" s="369"/>
      <c r="J80" s="369"/>
      <c r="K80" s="420"/>
      <c r="L80" s="475" t="s">
        <v>975</v>
      </c>
      <c r="M80" s="367"/>
      <c r="N80" s="516">
        <v>99.99</v>
      </c>
      <c r="O80" s="369"/>
      <c r="P80" s="368">
        <v>10</v>
      </c>
      <c r="Q80" s="366">
        <f>1.3/16</f>
        <v>8.1250000000000003E-2</v>
      </c>
      <c r="R80" s="366">
        <v>2.35</v>
      </c>
      <c r="S80" s="366">
        <v>2.35</v>
      </c>
      <c r="T80" s="588">
        <v>1.33</v>
      </c>
      <c r="U80" s="373"/>
      <c r="V80" s="369"/>
      <c r="W80" s="369"/>
      <c r="X80" s="373"/>
      <c r="Y80" s="589"/>
      <c r="Z80" s="369"/>
      <c r="AA80" s="369"/>
      <c r="AB80" s="590"/>
      <c r="AC80" s="373" t="s">
        <v>259</v>
      </c>
      <c r="AD80" s="373" t="s">
        <v>259</v>
      </c>
      <c r="AE80" s="373" t="s">
        <v>259</v>
      </c>
      <c r="AF80" s="373" t="s">
        <v>259</v>
      </c>
      <c r="AG80" s="373"/>
      <c r="AH80" s="369"/>
      <c r="AI80" s="369"/>
      <c r="AJ80" s="369"/>
      <c r="AK80" s="369"/>
      <c r="AL80" s="369"/>
      <c r="AM80" s="369"/>
      <c r="AN80" s="369"/>
      <c r="AO80" s="369"/>
      <c r="AP80" s="369"/>
      <c r="AQ80" s="369"/>
      <c r="AR80" s="369"/>
      <c r="AS80" s="369"/>
      <c r="AT80" s="369"/>
      <c r="AU80" s="369"/>
      <c r="AV80" s="369"/>
      <c r="AW80" s="369"/>
      <c r="AX80" s="369"/>
      <c r="AY80" s="369"/>
      <c r="AZ80" s="369"/>
      <c r="BA80" s="369"/>
      <c r="BB80" s="369"/>
      <c r="BC80" s="369"/>
      <c r="BD80" s="369"/>
      <c r="BE80" s="369"/>
      <c r="BF80" s="369"/>
      <c r="BG80" s="369"/>
      <c r="BH80" s="369"/>
      <c r="BI80" s="369"/>
      <c r="BJ80" s="369"/>
      <c r="BK80" s="369"/>
      <c r="BL80" s="369"/>
      <c r="BM80" s="369"/>
      <c r="BN80" s="369"/>
      <c r="BO80" s="369"/>
      <c r="BP80" s="369"/>
      <c r="BQ80" s="369"/>
      <c r="BR80" s="369"/>
      <c r="BS80" s="369"/>
      <c r="BT80" s="369"/>
      <c r="BU80" s="369"/>
      <c r="BV80" s="369"/>
      <c r="BW80" s="369"/>
      <c r="BX80" s="369"/>
      <c r="BY80" s="369"/>
      <c r="BZ80" s="369"/>
      <c r="CA80" s="369"/>
      <c r="CB80" s="369"/>
      <c r="CC80" s="369"/>
      <c r="CD80" s="369"/>
      <c r="CE80" s="369"/>
      <c r="CF80" s="369"/>
      <c r="CG80" s="369"/>
      <c r="CH80" s="369"/>
      <c r="CI80" s="369"/>
      <c r="CJ80" s="369"/>
      <c r="CK80" s="369"/>
      <c r="CL80" s="369"/>
      <c r="CM80" s="369"/>
      <c r="CN80" s="369"/>
      <c r="CO80" s="369"/>
      <c r="CP80" s="369"/>
      <c r="CQ80" s="369"/>
      <c r="CR80" s="369"/>
      <c r="CS80" s="369"/>
      <c r="CT80" s="369"/>
      <c r="CU80" s="369"/>
      <c r="CV80" s="369"/>
      <c r="CW80" s="369"/>
      <c r="CX80" s="369"/>
      <c r="CY80" s="369"/>
      <c r="CZ80" s="369"/>
      <c r="DA80" s="369"/>
      <c r="DB80" s="369"/>
      <c r="DC80" s="369"/>
      <c r="DD80" s="369"/>
      <c r="DE80" s="369"/>
      <c r="DF80" s="369"/>
      <c r="DG80" s="369"/>
      <c r="DH80" s="369"/>
      <c r="DI80" s="369"/>
      <c r="DJ80" s="369"/>
      <c r="DK80" s="369"/>
      <c r="DL80" s="369"/>
      <c r="DM80" s="369"/>
      <c r="DN80" s="369"/>
      <c r="DO80" s="369"/>
      <c r="DP80" s="369"/>
      <c r="DQ80" s="369"/>
      <c r="DR80" s="369"/>
      <c r="DS80" s="369"/>
      <c r="DT80" s="369"/>
      <c r="DU80" s="369"/>
      <c r="DV80" s="369"/>
      <c r="DW80" s="369"/>
      <c r="DX80" s="369"/>
      <c r="DY80" s="369"/>
      <c r="DZ80" s="369"/>
      <c r="EA80" s="369"/>
      <c r="EB80" s="369"/>
      <c r="EC80" s="369"/>
      <c r="ED80" s="369"/>
      <c r="EE80" s="369"/>
      <c r="EF80" s="369"/>
      <c r="EG80" s="369"/>
      <c r="EH80" s="369"/>
      <c r="EI80" s="369"/>
      <c r="EJ80" s="369"/>
      <c r="EK80" s="369"/>
      <c r="EL80" s="369"/>
      <c r="EM80" s="369"/>
      <c r="EN80" s="369"/>
      <c r="EO80" s="369"/>
      <c r="EP80" s="369"/>
      <c r="EQ80" s="369"/>
      <c r="ER80" s="369"/>
      <c r="ES80" s="369"/>
      <c r="ET80" s="369"/>
      <c r="EU80" s="369"/>
      <c r="EV80" s="369"/>
      <c r="EW80" s="369"/>
      <c r="EX80" s="369"/>
      <c r="EY80" s="369"/>
      <c r="EZ80" s="369"/>
      <c r="FA80" s="369"/>
      <c r="FB80" s="369"/>
      <c r="FC80" s="369"/>
      <c r="FD80" s="369"/>
      <c r="FE80" s="369"/>
      <c r="FF80" s="369"/>
      <c r="FG80" s="369"/>
      <c r="FH80" s="369"/>
      <c r="FI80" s="369"/>
      <c r="FJ80" s="369"/>
      <c r="FK80" s="369"/>
      <c r="FL80" s="369"/>
      <c r="FM80" s="369"/>
      <c r="FN80" s="369"/>
      <c r="FO80" s="369"/>
      <c r="FP80" s="369"/>
      <c r="FQ80" s="369"/>
      <c r="FR80" s="369"/>
      <c r="FS80" s="369"/>
      <c r="FT80" s="369"/>
      <c r="FU80" s="369"/>
      <c r="FV80" s="369"/>
      <c r="FW80" s="369"/>
      <c r="FX80" s="369"/>
      <c r="FY80" s="369"/>
      <c r="FZ80" s="369"/>
      <c r="GA80" s="369"/>
      <c r="GB80" s="369"/>
      <c r="GC80" s="369"/>
      <c r="GD80" s="369"/>
      <c r="GE80" s="369"/>
      <c r="GF80" s="369"/>
      <c r="GG80" s="369"/>
      <c r="GH80" s="369"/>
      <c r="GI80" s="369"/>
      <c r="GJ80" s="369"/>
      <c r="GK80" s="369"/>
      <c r="GL80" s="369"/>
      <c r="GM80" s="369"/>
      <c r="GN80" s="369"/>
      <c r="GO80" s="369"/>
      <c r="GP80" s="369"/>
      <c r="GQ80" s="369"/>
      <c r="GR80" s="369"/>
      <c r="GS80" s="369"/>
      <c r="GT80" s="369"/>
      <c r="GU80" s="369"/>
      <c r="GV80" s="369"/>
      <c r="GW80" s="369"/>
      <c r="GX80" s="369"/>
      <c r="GY80" s="369"/>
      <c r="GZ80" s="369"/>
      <c r="HA80" s="369"/>
      <c r="HB80" s="369"/>
      <c r="HC80" s="369"/>
      <c r="HD80" s="369"/>
      <c r="HE80" s="369"/>
      <c r="HF80" s="369"/>
      <c r="HG80" s="369"/>
      <c r="HH80" s="369"/>
      <c r="HI80" s="369"/>
      <c r="HJ80" s="369"/>
      <c r="HK80" s="369"/>
      <c r="HL80" s="369"/>
      <c r="HM80" s="369"/>
      <c r="HN80" s="369"/>
      <c r="HO80" s="369"/>
      <c r="HP80" s="369"/>
      <c r="HQ80" s="369"/>
      <c r="HR80" s="369"/>
      <c r="HS80" s="369"/>
      <c r="HT80" s="369"/>
      <c r="HU80" s="369"/>
      <c r="HV80" s="369"/>
      <c r="HW80" s="369"/>
      <c r="HX80" s="369"/>
      <c r="HY80" s="369"/>
      <c r="HZ80" s="369"/>
      <c r="IA80" s="369"/>
      <c r="IB80" s="369"/>
      <c r="IC80" s="369"/>
      <c r="ID80" s="369"/>
      <c r="IE80" s="369"/>
      <c r="IF80" s="369"/>
      <c r="IG80" s="369"/>
      <c r="IH80" s="369"/>
      <c r="II80" s="369"/>
      <c r="IJ80" s="369"/>
      <c r="IK80" s="369"/>
      <c r="IL80" s="369"/>
      <c r="IM80" s="369"/>
      <c r="IN80" s="369"/>
      <c r="IO80" s="369"/>
      <c r="IP80" s="369"/>
      <c r="IQ80" s="369"/>
      <c r="IR80" s="369"/>
      <c r="IS80" s="369"/>
      <c r="IT80" s="369"/>
      <c r="IU80" s="369"/>
      <c r="IV80" s="369"/>
      <c r="IW80" s="369"/>
      <c r="IX80" s="369"/>
      <c r="IY80" s="369"/>
      <c r="IZ80" s="369"/>
      <c r="JA80" s="369"/>
      <c r="JB80" s="369"/>
      <c r="JC80" s="369"/>
      <c r="JD80" s="369"/>
      <c r="JE80" s="369"/>
    </row>
    <row r="81" spans="1:265" s="88" customFormat="1" x14ac:dyDescent="0.2">
      <c r="A81" s="18" t="s">
        <v>3732</v>
      </c>
      <c r="B81" s="20"/>
      <c r="C81" s="22" t="s">
        <v>4098</v>
      </c>
      <c r="D81" s="20"/>
      <c r="E81" s="57" t="s">
        <v>4099</v>
      </c>
      <c r="F81" s="37"/>
      <c r="G81" s="18" t="s">
        <v>4042</v>
      </c>
      <c r="H81" s="497">
        <v>814002011229</v>
      </c>
      <c r="I81" s="140"/>
      <c r="J81" s="140"/>
      <c r="K81" s="533"/>
      <c r="L81" s="219" t="s">
        <v>975</v>
      </c>
      <c r="M81" s="5"/>
      <c r="N81" s="504">
        <v>24.99</v>
      </c>
      <c r="O81" s="20"/>
      <c r="P81" s="35">
        <v>64</v>
      </c>
      <c r="Q81" s="33">
        <f>3.7/16</f>
        <v>0.23125000000000001</v>
      </c>
      <c r="R81" s="33">
        <v>3</v>
      </c>
      <c r="S81" s="33">
        <v>2.4700000000000002</v>
      </c>
      <c r="T81" s="88">
        <v>1.9</v>
      </c>
      <c r="U81" s="33">
        <v>0.32</v>
      </c>
      <c r="V81" s="33">
        <v>7.5</v>
      </c>
      <c r="W81" s="33">
        <v>4.7</v>
      </c>
      <c r="X81" s="33">
        <v>2.8</v>
      </c>
      <c r="Y81" s="544"/>
      <c r="Z81" s="20"/>
      <c r="AA81" s="20"/>
      <c r="AB81" s="551"/>
      <c r="AC81" s="26"/>
      <c r="AD81" s="20"/>
      <c r="AE81" s="20"/>
      <c r="AF81" s="551"/>
      <c r="AG81" s="26"/>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c r="IW81" s="20"/>
      <c r="IX81" s="20"/>
      <c r="IY81" s="20"/>
      <c r="IZ81" s="20"/>
      <c r="JA81" s="20"/>
      <c r="JB81" s="20"/>
      <c r="JC81" s="20"/>
      <c r="JD81" s="20"/>
      <c r="JE81" s="20"/>
    </row>
    <row r="82" spans="1:265" x14ac:dyDescent="0.2">
      <c r="A82" s="18" t="s">
        <v>3732</v>
      </c>
      <c r="C82" s="22" t="s">
        <v>4100</v>
      </c>
      <c r="E82" s="57" t="s">
        <v>4101</v>
      </c>
      <c r="F82" s="37"/>
      <c r="G82" s="18" t="s">
        <v>3896</v>
      </c>
      <c r="H82" s="497">
        <v>814002010246</v>
      </c>
      <c r="I82" s="140"/>
      <c r="J82" s="140"/>
      <c r="K82" s="533"/>
      <c r="L82" s="219" t="s">
        <v>975</v>
      </c>
      <c r="M82" s="5"/>
      <c r="N82" s="504">
        <v>19.989999999999998</v>
      </c>
      <c r="P82" s="35">
        <v>10</v>
      </c>
      <c r="Q82" s="88">
        <f>5.1/16</f>
        <v>0.31874999999999998</v>
      </c>
      <c r="R82" s="243">
        <v>3.5</v>
      </c>
      <c r="S82" s="243">
        <v>1.75</v>
      </c>
      <c r="T82" s="88">
        <v>5.75</v>
      </c>
      <c r="U82" s="87">
        <v>0.26</v>
      </c>
      <c r="V82" s="87">
        <v>5.7</v>
      </c>
      <c r="W82" s="87">
        <v>3.8</v>
      </c>
      <c r="X82" s="87">
        <v>1.7</v>
      </c>
      <c r="Y82" s="544"/>
      <c r="AB82" s="551"/>
      <c r="AF82" s="551"/>
    </row>
    <row r="83" spans="1:265" x14ac:dyDescent="0.2">
      <c r="A83" s="18" t="s">
        <v>3732</v>
      </c>
      <c r="C83" s="22" t="s">
        <v>4102</v>
      </c>
      <c r="E83" s="57" t="s">
        <v>4103</v>
      </c>
      <c r="F83" s="37"/>
      <c r="G83" s="18" t="s">
        <v>4042</v>
      </c>
      <c r="H83" s="497">
        <v>814002010659</v>
      </c>
      <c r="I83" s="140"/>
      <c r="J83" s="140"/>
      <c r="K83" s="533"/>
      <c r="L83" s="219" t="s">
        <v>975</v>
      </c>
      <c r="M83" s="5"/>
      <c r="N83" s="504">
        <v>6.99</v>
      </c>
      <c r="P83" s="35">
        <v>10</v>
      </c>
      <c r="Q83" s="88">
        <f>0.8/16</f>
        <v>0.05</v>
      </c>
      <c r="R83" s="243">
        <v>1.5</v>
      </c>
      <c r="S83" s="243">
        <v>0.5</v>
      </c>
      <c r="T83" s="88">
        <v>0.19</v>
      </c>
      <c r="U83" s="87">
        <v>0.05</v>
      </c>
      <c r="V83" s="87">
        <v>4</v>
      </c>
      <c r="W83" s="87">
        <v>3.5</v>
      </c>
      <c r="X83" s="87">
        <v>0.3</v>
      </c>
      <c r="Y83" s="544"/>
      <c r="AB83" s="551"/>
      <c r="AF83" s="551"/>
    </row>
    <row r="84" spans="1:265" s="88" customFormat="1" x14ac:dyDescent="0.2">
      <c r="A84" s="18" t="s">
        <v>3732</v>
      </c>
      <c r="B84" s="20"/>
      <c r="C84" s="22" t="s">
        <v>4104</v>
      </c>
      <c r="D84" s="20"/>
      <c r="E84" s="57" t="s">
        <v>4105</v>
      </c>
      <c r="F84" s="37"/>
      <c r="G84" s="18" t="s">
        <v>4042</v>
      </c>
      <c r="H84" s="497">
        <v>814002011168</v>
      </c>
      <c r="I84" s="140"/>
      <c r="J84" s="140"/>
      <c r="K84" s="533"/>
      <c r="L84" s="219" t="s">
        <v>975</v>
      </c>
      <c r="M84" s="5"/>
      <c r="N84" s="504">
        <v>11.99</v>
      </c>
      <c r="O84" s="20"/>
      <c r="P84" s="35">
        <v>10</v>
      </c>
      <c r="Q84" s="33">
        <v>0.01</v>
      </c>
      <c r="R84" s="33">
        <v>1.5</v>
      </c>
      <c r="S84" s="33">
        <v>0.7</v>
      </c>
      <c r="T84" s="88">
        <v>0.04</v>
      </c>
      <c r="U84" s="33">
        <v>0.3</v>
      </c>
      <c r="V84" s="33">
        <v>2.2000000000000002</v>
      </c>
      <c r="W84" s="33">
        <v>2</v>
      </c>
      <c r="X84" s="33">
        <v>0.1</v>
      </c>
      <c r="Y84" s="544"/>
      <c r="Z84" s="20"/>
      <c r="AA84" s="20"/>
      <c r="AB84" s="551"/>
      <c r="AC84" s="26"/>
      <c r="AD84" s="20"/>
      <c r="AE84" s="20"/>
      <c r="AF84" s="551"/>
      <c r="AG84" s="26"/>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row>
    <row r="85" spans="1:265" s="88" customFormat="1" x14ac:dyDescent="0.2">
      <c r="A85" s="18" t="s">
        <v>3732</v>
      </c>
      <c r="B85" s="20"/>
      <c r="C85" s="22" t="s">
        <v>4106</v>
      </c>
      <c r="D85" s="20"/>
      <c r="E85" s="57" t="s">
        <v>4107</v>
      </c>
      <c r="F85" s="37"/>
      <c r="G85" s="18" t="s">
        <v>4042</v>
      </c>
      <c r="H85" s="497">
        <v>814002011670</v>
      </c>
      <c r="I85" s="140"/>
      <c r="J85" s="140"/>
      <c r="K85" s="533"/>
      <c r="L85" s="219" t="s">
        <v>975</v>
      </c>
      <c r="M85" s="5"/>
      <c r="N85" s="504">
        <v>4.99</v>
      </c>
      <c r="O85" s="20"/>
      <c r="P85" s="35">
        <v>10</v>
      </c>
      <c r="Q85" s="33">
        <f>0.42/16</f>
        <v>2.6249999999999999E-2</v>
      </c>
      <c r="R85" s="33">
        <v>3.1</v>
      </c>
      <c r="S85" s="33">
        <v>1</v>
      </c>
      <c r="T85" s="88">
        <v>0.6</v>
      </c>
      <c r="U85" s="33">
        <v>0.03</v>
      </c>
      <c r="V85" s="33">
        <v>3.2</v>
      </c>
      <c r="W85" s="33">
        <v>0.9</v>
      </c>
      <c r="X85" s="33">
        <v>0.5</v>
      </c>
      <c r="Y85" s="544"/>
      <c r="Z85" s="20"/>
      <c r="AA85" s="20"/>
      <c r="AB85" s="551"/>
      <c r="AC85" s="26"/>
      <c r="AD85" s="20"/>
      <c r="AE85" s="20"/>
      <c r="AF85" s="551"/>
      <c r="AG85" s="26"/>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row>
    <row r="86" spans="1:265" s="88" customFormat="1" x14ac:dyDescent="0.2">
      <c r="A86" s="18" t="s">
        <v>3732</v>
      </c>
      <c r="B86" s="20"/>
      <c r="C86" s="22" t="s">
        <v>4108</v>
      </c>
      <c r="D86" s="20"/>
      <c r="E86" s="57" t="s">
        <v>4109</v>
      </c>
      <c r="F86" s="37"/>
      <c r="G86" s="18" t="s">
        <v>4042</v>
      </c>
      <c r="H86" s="497">
        <v>814002010864</v>
      </c>
      <c r="I86" s="140"/>
      <c r="J86" s="140"/>
      <c r="K86" s="533"/>
      <c r="L86" s="219" t="s">
        <v>975</v>
      </c>
      <c r="M86" s="5"/>
      <c r="N86" s="504">
        <v>19.989999999999998</v>
      </c>
      <c r="O86" s="20"/>
      <c r="P86" s="35">
        <v>10</v>
      </c>
      <c r="Q86" s="33">
        <v>0.25</v>
      </c>
      <c r="R86" s="33">
        <v>5.7</v>
      </c>
      <c r="S86" s="33">
        <v>4.7</v>
      </c>
      <c r="T86" s="88">
        <v>1.3</v>
      </c>
      <c r="U86" s="33">
        <v>0.25</v>
      </c>
      <c r="V86" s="20"/>
      <c r="W86" s="20"/>
      <c r="X86" s="26"/>
      <c r="Y86" s="544"/>
      <c r="Z86" s="20"/>
      <c r="AA86" s="20"/>
      <c r="AB86" s="551"/>
      <c r="AC86" s="26"/>
      <c r="AD86" s="20"/>
      <c r="AE86" s="20"/>
      <c r="AF86" s="551"/>
      <c r="AG86" s="26"/>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row>
    <row r="87" spans="1:265" s="88" customFormat="1" x14ac:dyDescent="0.2">
      <c r="A87" s="18" t="s">
        <v>3732</v>
      </c>
      <c r="B87" s="20"/>
      <c r="C87" s="22" t="s">
        <v>4110</v>
      </c>
      <c r="D87" s="20"/>
      <c r="E87" s="57" t="s">
        <v>4111</v>
      </c>
      <c r="F87" s="37"/>
      <c r="G87" s="18" t="s">
        <v>4042</v>
      </c>
      <c r="H87" s="497">
        <v>814002010215</v>
      </c>
      <c r="I87" s="140"/>
      <c r="J87" s="140"/>
      <c r="K87" s="533"/>
      <c r="L87" s="219" t="s">
        <v>975</v>
      </c>
      <c r="M87" s="5"/>
      <c r="N87" s="504">
        <v>2.99</v>
      </c>
      <c r="O87" s="20"/>
      <c r="P87" s="35">
        <v>10</v>
      </c>
      <c r="Q87" s="33">
        <v>0.01</v>
      </c>
      <c r="R87" s="33">
        <v>2.6</v>
      </c>
      <c r="S87" s="33">
        <v>1</v>
      </c>
      <c r="T87" s="88">
        <v>0.04</v>
      </c>
      <c r="U87" s="33">
        <v>0.01</v>
      </c>
      <c r="V87" s="33">
        <v>4</v>
      </c>
      <c r="W87" s="33">
        <v>2.75</v>
      </c>
      <c r="X87" s="33">
        <v>0.05</v>
      </c>
      <c r="Y87" s="544"/>
      <c r="Z87" s="20"/>
      <c r="AA87" s="20"/>
      <c r="AB87" s="551"/>
      <c r="AC87" s="26"/>
      <c r="AD87" s="20"/>
      <c r="AE87" s="20"/>
      <c r="AF87" s="551"/>
      <c r="AG87" s="26"/>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row>
    <row r="88" spans="1:265" s="88" customFormat="1" x14ac:dyDescent="0.2">
      <c r="A88" s="18" t="s">
        <v>3732</v>
      </c>
      <c r="B88" s="20"/>
      <c r="C88" s="22" t="s">
        <v>4112</v>
      </c>
      <c r="D88" s="20"/>
      <c r="E88" s="57" t="s">
        <v>4113</v>
      </c>
      <c r="F88" s="37"/>
      <c r="G88" s="18" t="s">
        <v>3897</v>
      </c>
      <c r="H88" s="497">
        <v>814002011243</v>
      </c>
      <c r="I88" s="140"/>
      <c r="J88" s="140"/>
      <c r="K88" s="533"/>
      <c r="L88" s="219" t="s">
        <v>975</v>
      </c>
      <c r="M88" s="5"/>
      <c r="N88" s="504">
        <v>9.99</v>
      </c>
      <c r="O88" s="20"/>
      <c r="P88" s="35">
        <v>10</v>
      </c>
      <c r="Q88" s="33">
        <f>1.3/16</f>
        <v>8.1250000000000003E-2</v>
      </c>
      <c r="R88" s="33">
        <v>4</v>
      </c>
      <c r="S88" s="33">
        <v>3</v>
      </c>
      <c r="T88" s="88">
        <v>2.8</v>
      </c>
      <c r="U88" s="33">
        <v>0.1</v>
      </c>
      <c r="V88" s="33">
        <v>4.4000000000000004</v>
      </c>
      <c r="W88" s="33">
        <v>3.7</v>
      </c>
      <c r="X88" s="33">
        <v>2.6</v>
      </c>
      <c r="Y88" s="544"/>
      <c r="Z88" s="20"/>
      <c r="AA88" s="20"/>
      <c r="AB88" s="551"/>
      <c r="AC88" s="26"/>
      <c r="AD88" s="20"/>
      <c r="AE88" s="20"/>
      <c r="AF88" s="551"/>
      <c r="AG88" s="26"/>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row>
    <row r="89" spans="1:265" s="88" customFormat="1" x14ac:dyDescent="0.2">
      <c r="A89" s="18" t="s">
        <v>3732</v>
      </c>
      <c r="B89" s="20"/>
      <c r="C89" s="22" t="s">
        <v>4114</v>
      </c>
      <c r="D89" s="20"/>
      <c r="E89" s="57" t="s">
        <v>4115</v>
      </c>
      <c r="F89" s="37"/>
      <c r="G89" s="18" t="s">
        <v>4116</v>
      </c>
      <c r="H89" s="497">
        <v>855712000264</v>
      </c>
      <c r="I89" s="140"/>
      <c r="J89" s="140"/>
      <c r="K89" s="533"/>
      <c r="L89" s="219" t="s">
        <v>975</v>
      </c>
      <c r="M89" s="5"/>
      <c r="N89" s="504">
        <v>7.99</v>
      </c>
      <c r="O89" s="20"/>
      <c r="P89" s="35">
        <v>10</v>
      </c>
      <c r="Q89" s="33">
        <f>1.6/16</f>
        <v>0.1</v>
      </c>
      <c r="R89" s="33">
        <v>4.0999999999999996</v>
      </c>
      <c r="S89" s="33">
        <v>2.95</v>
      </c>
      <c r="T89" s="88">
        <v>1.77</v>
      </c>
      <c r="U89" s="33">
        <v>0.13</v>
      </c>
      <c r="V89" s="33">
        <v>7.1</v>
      </c>
      <c r="W89" s="33">
        <v>3.9</v>
      </c>
      <c r="X89" s="33">
        <v>1.6</v>
      </c>
      <c r="Y89" s="544"/>
      <c r="Z89" s="20"/>
      <c r="AA89" s="20"/>
      <c r="AB89" s="551"/>
      <c r="AC89" s="26"/>
      <c r="AD89" s="20"/>
      <c r="AE89" s="20"/>
      <c r="AF89" s="551"/>
      <c r="AG89" s="26"/>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c r="IW89" s="20"/>
      <c r="IX89" s="20"/>
      <c r="IY89" s="20"/>
      <c r="IZ89" s="20"/>
      <c r="JA89" s="20"/>
      <c r="JB89" s="20"/>
      <c r="JC89" s="20"/>
      <c r="JD89" s="20"/>
      <c r="JE89" s="20"/>
    </row>
    <row r="90" spans="1:265" s="88" customFormat="1" x14ac:dyDescent="0.2">
      <c r="A90" s="18" t="s">
        <v>3732</v>
      </c>
      <c r="B90" s="20"/>
      <c r="C90" s="22" t="s">
        <v>4117</v>
      </c>
      <c r="D90" s="20"/>
      <c r="E90" s="57" t="s">
        <v>4118</v>
      </c>
      <c r="F90" s="37"/>
      <c r="G90" s="18" t="s">
        <v>4116</v>
      </c>
      <c r="H90" s="497">
        <v>855712000219</v>
      </c>
      <c r="I90" s="140"/>
      <c r="J90" s="140"/>
      <c r="K90" s="533"/>
      <c r="L90" s="219" t="s">
        <v>975</v>
      </c>
      <c r="M90" s="5"/>
      <c r="N90" s="504">
        <v>9.99</v>
      </c>
      <c r="O90" s="20"/>
      <c r="P90" s="35">
        <v>10</v>
      </c>
      <c r="Q90" s="33">
        <v>0.25</v>
      </c>
      <c r="R90" s="33">
        <v>5.0999999999999996</v>
      </c>
      <c r="S90" s="33">
        <v>3.9</v>
      </c>
      <c r="T90" s="88">
        <v>2</v>
      </c>
      <c r="U90" s="33">
        <v>0.31</v>
      </c>
      <c r="V90" s="33">
        <v>7.9</v>
      </c>
      <c r="W90" s="33">
        <v>3.9</v>
      </c>
      <c r="X90" s="33">
        <v>2.2000000000000002</v>
      </c>
      <c r="Y90" s="544"/>
      <c r="Z90" s="20"/>
      <c r="AA90" s="20"/>
      <c r="AB90" s="551"/>
      <c r="AC90" s="26"/>
      <c r="AD90" s="20"/>
      <c r="AE90" s="20"/>
      <c r="AF90" s="551"/>
      <c r="AG90" s="26"/>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row>
    <row r="91" spans="1:265" s="88" customFormat="1" x14ac:dyDescent="0.2">
      <c r="A91" s="18" t="s">
        <v>3732</v>
      </c>
      <c r="B91" s="20"/>
      <c r="C91" s="22" t="s">
        <v>4119</v>
      </c>
      <c r="D91" s="20"/>
      <c r="E91" s="57" t="s">
        <v>4120</v>
      </c>
      <c r="F91" s="37"/>
      <c r="G91" s="18" t="s">
        <v>4116</v>
      </c>
      <c r="H91" s="497">
        <v>855712000288</v>
      </c>
      <c r="I91" s="140"/>
      <c r="J91" s="140"/>
      <c r="K91" s="533"/>
      <c r="L91" s="219" t="s">
        <v>975</v>
      </c>
      <c r="M91" s="5"/>
      <c r="N91" s="504">
        <v>14.99</v>
      </c>
      <c r="O91" s="20"/>
      <c r="P91" s="35">
        <v>10</v>
      </c>
      <c r="Q91" s="33">
        <f>8.8/16</f>
        <v>0.55000000000000004</v>
      </c>
      <c r="R91" s="33">
        <v>6.7</v>
      </c>
      <c r="S91" s="33">
        <v>5.5</v>
      </c>
      <c r="T91" s="88">
        <v>2.75</v>
      </c>
      <c r="U91" s="33">
        <v>0.62</v>
      </c>
      <c r="V91" s="33">
        <v>9.1</v>
      </c>
      <c r="W91" s="33">
        <v>5.2</v>
      </c>
      <c r="X91" s="33">
        <v>2.6</v>
      </c>
      <c r="Y91" s="544"/>
      <c r="Z91" s="20"/>
      <c r="AA91" s="20"/>
      <c r="AB91" s="551"/>
      <c r="AC91" s="26"/>
      <c r="AD91" s="20"/>
      <c r="AE91" s="20"/>
      <c r="AF91" s="551"/>
      <c r="AG91" s="26"/>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c r="IZ91" s="20"/>
      <c r="JA91" s="20"/>
      <c r="JB91" s="20"/>
      <c r="JC91" s="20"/>
      <c r="JD91" s="20"/>
      <c r="JE91" s="20"/>
    </row>
    <row r="92" spans="1:265" s="88" customFormat="1" x14ac:dyDescent="0.2">
      <c r="A92" s="18" t="s">
        <v>3732</v>
      </c>
      <c r="B92" s="20"/>
      <c r="C92" s="22" t="s">
        <v>4121</v>
      </c>
      <c r="D92" s="20"/>
      <c r="E92" s="57" t="s">
        <v>4122</v>
      </c>
      <c r="F92" s="37"/>
      <c r="G92" s="18" t="s">
        <v>4116</v>
      </c>
      <c r="H92" s="497">
        <v>855712000963</v>
      </c>
      <c r="I92" s="140"/>
      <c r="J92" s="140"/>
      <c r="K92" s="533"/>
      <c r="L92" s="219" t="s">
        <v>975</v>
      </c>
      <c r="M92" s="5"/>
      <c r="N92" s="504">
        <v>19.989999999999998</v>
      </c>
      <c r="O92" s="20"/>
      <c r="P92" s="35">
        <v>10</v>
      </c>
      <c r="Q92" s="33">
        <f>4.8/16</f>
        <v>0.3</v>
      </c>
      <c r="R92" s="33">
        <v>5.0999999999999996</v>
      </c>
      <c r="S92" s="33">
        <v>4.7</v>
      </c>
      <c r="T92" s="88">
        <v>2.75</v>
      </c>
      <c r="U92" s="33">
        <v>0.3</v>
      </c>
      <c r="V92" s="33">
        <v>5.0999999999999996</v>
      </c>
      <c r="W92" s="33">
        <v>4.7</v>
      </c>
      <c r="X92" s="33">
        <v>2.75</v>
      </c>
      <c r="Y92" s="544"/>
      <c r="Z92" s="20"/>
      <c r="AA92" s="20"/>
      <c r="AB92" s="551"/>
      <c r="AC92" s="26"/>
      <c r="AD92" s="20"/>
      <c r="AE92" s="20"/>
      <c r="AF92" s="551"/>
      <c r="AG92" s="26"/>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row>
    <row r="93" spans="1:265" s="88" customFormat="1" x14ac:dyDescent="0.2">
      <c r="A93" s="18"/>
      <c r="B93" s="20"/>
      <c r="C93" s="22"/>
      <c r="D93" s="20"/>
      <c r="E93" s="57"/>
      <c r="F93" s="37"/>
      <c r="G93" s="18"/>
      <c r="H93" s="497"/>
      <c r="I93" s="37"/>
      <c r="J93" s="37"/>
      <c r="K93" s="253"/>
      <c r="L93" s="219"/>
      <c r="M93" s="5"/>
      <c r="N93" s="504"/>
      <c r="O93" s="20"/>
      <c r="P93" s="35"/>
      <c r="Q93" s="33"/>
      <c r="R93" s="33"/>
      <c r="S93" s="33"/>
      <c r="U93" s="33"/>
      <c r="V93" s="33"/>
      <c r="W93" s="33"/>
      <c r="X93" s="33"/>
      <c r="Y93" s="544"/>
      <c r="Z93" s="20"/>
      <c r="AA93" s="20"/>
      <c r="AB93" s="551"/>
      <c r="AC93" s="26"/>
      <c r="AD93" s="20"/>
      <c r="AE93" s="20"/>
      <c r="AF93" s="551"/>
      <c r="AG93" s="26"/>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row>
    <row r="94" spans="1:265" s="88" customFormat="1" ht="15.75" x14ac:dyDescent="0.25">
      <c r="A94" s="105" t="s">
        <v>4385</v>
      </c>
      <c r="B94" s="20"/>
      <c r="C94" s="22"/>
      <c r="D94" s="20"/>
      <c r="E94" s="57"/>
      <c r="F94" s="37"/>
      <c r="G94" s="18"/>
      <c r="H94" s="497"/>
      <c r="I94" s="37"/>
      <c r="J94" s="37"/>
      <c r="K94" s="253"/>
      <c r="L94" s="219"/>
      <c r="M94" s="5"/>
      <c r="N94" s="504"/>
      <c r="O94" s="20"/>
      <c r="P94" s="35"/>
      <c r="Q94" s="33"/>
      <c r="R94" s="33"/>
      <c r="S94" s="33"/>
      <c r="U94" s="33"/>
      <c r="V94" s="33"/>
      <c r="W94" s="33"/>
      <c r="X94" s="33"/>
      <c r="Y94" s="544"/>
      <c r="Z94" s="20"/>
      <c r="AA94" s="20"/>
      <c r="AB94" s="551"/>
      <c r="AC94" s="26"/>
      <c r="AD94" s="20"/>
      <c r="AE94" s="20"/>
      <c r="AF94" s="551"/>
      <c r="AG94" s="26"/>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row>
    <row r="95" spans="1:265" s="14" customFormat="1" x14ac:dyDescent="0.2">
      <c r="A95" s="18" t="s">
        <v>3732</v>
      </c>
      <c r="B95" s="125"/>
      <c r="C95" s="19" t="s">
        <v>186</v>
      </c>
      <c r="E95" s="24" t="s">
        <v>3112</v>
      </c>
      <c r="F95" s="14" t="s">
        <v>484</v>
      </c>
      <c r="G95" s="14" t="s">
        <v>2558</v>
      </c>
      <c r="H95" s="644" t="s">
        <v>560</v>
      </c>
      <c r="I95" s="226"/>
      <c r="J95" s="226"/>
      <c r="K95" s="55" t="s">
        <v>3113</v>
      </c>
      <c r="L95" s="27" t="s">
        <v>976</v>
      </c>
      <c r="M95" s="4"/>
      <c r="N95" s="514">
        <v>19.989999999999998</v>
      </c>
      <c r="O95" s="123">
        <v>12</v>
      </c>
      <c r="P95" s="188">
        <v>24</v>
      </c>
      <c r="Q95" s="33">
        <f>3/16</f>
        <v>0.1875</v>
      </c>
      <c r="R95" s="33">
        <v>7</v>
      </c>
      <c r="S95" s="33">
        <v>1.25</v>
      </c>
      <c r="T95" s="70">
        <v>2.25</v>
      </c>
      <c r="U95" s="33">
        <f>5.1/16</f>
        <v>0.31874999999999998</v>
      </c>
      <c r="V95" s="33">
        <v>4.875</v>
      </c>
      <c r="W95" s="33">
        <v>2.125</v>
      </c>
      <c r="X95" s="33">
        <v>8.75</v>
      </c>
      <c r="Y95" s="120"/>
      <c r="Z95" s="121"/>
      <c r="AA95" s="121"/>
      <c r="AB95" s="121"/>
      <c r="AC95" s="120"/>
      <c r="AD95" s="121"/>
      <c r="AE95" s="121"/>
      <c r="AF95" s="122"/>
      <c r="AG95" s="15">
        <f>AD95*AE95*AF95/(12^3)</f>
        <v>0</v>
      </c>
      <c r="AH95" s="24" t="s">
        <v>561</v>
      </c>
      <c r="AI95" s="24" t="s">
        <v>169</v>
      </c>
      <c r="AJ95" s="14" t="s">
        <v>563</v>
      </c>
      <c r="AK95" s="14" t="s">
        <v>564</v>
      </c>
      <c r="AL95" s="22" t="s">
        <v>562</v>
      </c>
      <c r="AM95" s="20" t="s">
        <v>565</v>
      </c>
      <c r="AN95" s="20"/>
    </row>
    <row r="96" spans="1:265" s="14" customFormat="1" x14ac:dyDescent="0.2">
      <c r="A96" s="18" t="s">
        <v>3732</v>
      </c>
      <c r="B96" s="125"/>
      <c r="C96" s="19" t="s">
        <v>733</v>
      </c>
      <c r="D96" s="18"/>
      <c r="E96" s="24" t="s">
        <v>2709</v>
      </c>
      <c r="F96" s="18" t="s">
        <v>484</v>
      </c>
      <c r="G96" s="18" t="s">
        <v>2547</v>
      </c>
      <c r="H96" s="645" t="s">
        <v>735</v>
      </c>
      <c r="I96" s="226"/>
      <c r="J96" s="226"/>
      <c r="K96" s="55" t="s">
        <v>879</v>
      </c>
      <c r="L96" s="36" t="s">
        <v>975</v>
      </c>
      <c r="M96" s="5"/>
      <c r="N96" s="514">
        <f>IF($C96="","",VLOOKUP($C96,'2017 Pricelist'!$C:$I,7,FALSE))</f>
        <v>9.99</v>
      </c>
      <c r="O96" s="35">
        <v>20</v>
      </c>
      <c r="P96" s="187">
        <v>200</v>
      </c>
      <c r="Q96" s="33">
        <f>0.8/16</f>
        <v>0.05</v>
      </c>
      <c r="R96" s="33">
        <v>2</v>
      </c>
      <c r="S96" s="33">
        <v>1.25</v>
      </c>
      <c r="T96" s="70">
        <v>3.625</v>
      </c>
      <c r="U96" s="121">
        <v>0.1</v>
      </c>
      <c r="V96" s="121">
        <v>5.5</v>
      </c>
      <c r="W96" s="121">
        <v>1</v>
      </c>
      <c r="X96" s="121">
        <v>7.6</v>
      </c>
      <c r="Y96" s="120"/>
      <c r="Z96" s="121"/>
      <c r="AA96" s="121"/>
      <c r="AB96" s="121"/>
      <c r="AC96" s="120"/>
      <c r="AD96" s="33">
        <f>CONVERT(0.38,"m","in")</f>
        <v>14.960629921259843</v>
      </c>
      <c r="AE96" s="33">
        <f>CONVERT(0.431,"m","in")</f>
        <v>16.968503937007874</v>
      </c>
      <c r="AF96" s="70">
        <f>CONVERT(0.785,"m","in")</f>
        <v>30.905511811023622</v>
      </c>
      <c r="AG96" s="33">
        <f>AD96*AE96*AF96/(12^3)</f>
        <v>4.5403113507816402</v>
      </c>
      <c r="AH96" s="24" t="s">
        <v>737</v>
      </c>
      <c r="AI96" s="24" t="s">
        <v>736</v>
      </c>
      <c r="AJ96" s="18" t="s">
        <v>738</v>
      </c>
      <c r="AK96" s="18" t="s">
        <v>739</v>
      </c>
      <c r="AL96" s="19"/>
      <c r="AM96" s="37" t="s">
        <v>734</v>
      </c>
      <c r="AN96" s="37"/>
      <c r="AO96" s="18"/>
    </row>
    <row r="97" spans="1:41" s="14" customFormat="1" x14ac:dyDescent="0.2">
      <c r="A97" s="18" t="s">
        <v>3732</v>
      </c>
      <c r="B97" s="125"/>
      <c r="C97" s="14" t="s">
        <v>1838</v>
      </c>
      <c r="E97" s="34" t="s">
        <v>2717</v>
      </c>
      <c r="F97" s="14" t="s">
        <v>484</v>
      </c>
      <c r="G97" s="14" t="s">
        <v>2558</v>
      </c>
      <c r="H97" s="646" t="s">
        <v>1868</v>
      </c>
      <c r="I97" s="252"/>
      <c r="J97" s="252"/>
      <c r="K97" s="55" t="s">
        <v>879</v>
      </c>
      <c r="L97" s="31" t="s">
        <v>976</v>
      </c>
      <c r="M97" s="4"/>
      <c r="N97" s="514">
        <f>IF($C97="","",VLOOKUP($C97,'2017 Pricelist'!$C:$I,7,FALSE))</f>
        <v>29.990000000000002</v>
      </c>
      <c r="O97" s="123">
        <v>1</v>
      </c>
      <c r="P97" s="188"/>
      <c r="Q97" s="33">
        <f>5.9/16</f>
        <v>0.36875000000000002</v>
      </c>
      <c r="R97" s="33">
        <v>2.375</v>
      </c>
      <c r="S97" s="33">
        <v>2.375</v>
      </c>
      <c r="T97" s="70">
        <v>3.625</v>
      </c>
      <c r="U97" s="33">
        <f>6.9/16</f>
        <v>0.43125000000000002</v>
      </c>
      <c r="V97" s="33">
        <v>2.5625</v>
      </c>
      <c r="W97" s="33">
        <v>2.625</v>
      </c>
      <c r="X97" s="33">
        <v>5.75</v>
      </c>
      <c r="Y97" s="120"/>
      <c r="Z97" s="121"/>
      <c r="AA97" s="121"/>
      <c r="AB97" s="121"/>
      <c r="AC97" s="120"/>
      <c r="AD97" s="121"/>
      <c r="AE97" s="121"/>
      <c r="AF97" s="122"/>
      <c r="AG97" s="33">
        <f t="shared" ref="AG97:AG114" si="1">AD97*AE97*AF97/(12^3)</f>
        <v>0</v>
      </c>
      <c r="AH97" s="22" t="s">
        <v>1795</v>
      </c>
      <c r="AI97" s="22" t="s">
        <v>1796</v>
      </c>
      <c r="AJ97" s="22" t="s">
        <v>1797</v>
      </c>
      <c r="AK97" s="20" t="s">
        <v>1798</v>
      </c>
      <c r="AL97" s="20" t="s">
        <v>1799</v>
      </c>
      <c r="AM97" s="39"/>
      <c r="AN97" s="20"/>
    </row>
    <row r="98" spans="1:41" s="14" customFormat="1" x14ac:dyDescent="0.2">
      <c r="A98" s="18" t="s">
        <v>3732</v>
      </c>
      <c r="B98" s="125"/>
      <c r="C98" s="14" t="s">
        <v>2675</v>
      </c>
      <c r="E98" s="34" t="s">
        <v>2676</v>
      </c>
      <c r="F98" s="14" t="s">
        <v>484</v>
      </c>
      <c r="G98" s="14" t="s">
        <v>2674</v>
      </c>
      <c r="H98" s="526" t="s">
        <v>3949</v>
      </c>
      <c r="I98" s="502" t="s">
        <v>3950</v>
      </c>
      <c r="J98" s="502">
        <v>20054269002217</v>
      </c>
      <c r="K98" s="297"/>
      <c r="L98" s="297"/>
      <c r="M98" s="5"/>
      <c r="N98" s="514">
        <f>IF($C98="","",VLOOKUP($C98,'2017 Pricelist'!$C:$I,7,FALSE))</f>
        <v>24.990000000000002</v>
      </c>
      <c r="O98" s="35">
        <v>6</v>
      </c>
      <c r="P98" s="187">
        <v>48</v>
      </c>
      <c r="Q98" s="33">
        <f>4/16</f>
        <v>0.25</v>
      </c>
      <c r="R98" s="33">
        <v>3.25</v>
      </c>
      <c r="S98" s="33">
        <v>1.25</v>
      </c>
      <c r="T98" s="70">
        <v>2.375</v>
      </c>
      <c r="U98" s="121"/>
      <c r="V98" s="121"/>
      <c r="W98" s="121"/>
      <c r="X98" s="121"/>
      <c r="Y98" s="120"/>
      <c r="Z98" s="121"/>
      <c r="AA98" s="121"/>
      <c r="AB98" s="121"/>
      <c r="AC98" s="120"/>
      <c r="AD98" s="121"/>
      <c r="AE98" s="121"/>
      <c r="AF98" s="122"/>
      <c r="AG98" s="33">
        <f t="shared" si="1"/>
        <v>0</v>
      </c>
      <c r="AH98" s="22"/>
      <c r="AI98" s="22"/>
      <c r="AJ98" s="22"/>
      <c r="AK98" s="20"/>
      <c r="AL98" s="20"/>
      <c r="AM98" s="39"/>
      <c r="AN98" s="20"/>
    </row>
    <row r="99" spans="1:41" s="14" customFormat="1" x14ac:dyDescent="0.2">
      <c r="A99" s="18" t="s">
        <v>3732</v>
      </c>
      <c r="B99" s="125"/>
      <c r="C99" s="14" t="s">
        <v>3761</v>
      </c>
      <c r="E99" s="34" t="s">
        <v>2677</v>
      </c>
      <c r="F99" s="14" t="s">
        <v>484</v>
      </c>
      <c r="G99" s="14" t="s">
        <v>2674</v>
      </c>
      <c r="H99" s="647">
        <v>54269000899</v>
      </c>
      <c r="I99" s="301">
        <v>10054269000896</v>
      </c>
      <c r="J99" s="301">
        <v>20054269000893</v>
      </c>
      <c r="K99" s="297"/>
      <c r="L99" s="297"/>
      <c r="M99" s="5"/>
      <c r="N99" s="514">
        <v>29.99</v>
      </c>
      <c r="O99" s="35">
        <v>6</v>
      </c>
      <c r="P99" s="187">
        <v>48</v>
      </c>
      <c r="Q99" s="33">
        <f>5/16</f>
        <v>0.3125</v>
      </c>
      <c r="R99" s="121"/>
      <c r="S99" s="121"/>
      <c r="T99" s="122"/>
      <c r="U99" s="121"/>
      <c r="V99" s="121"/>
      <c r="W99" s="121"/>
      <c r="X99" s="121"/>
      <c r="Y99" s="120"/>
      <c r="Z99" s="121"/>
      <c r="AA99" s="121"/>
      <c r="AB99" s="121"/>
      <c r="AC99" s="120"/>
      <c r="AD99" s="121"/>
      <c r="AE99" s="121"/>
      <c r="AF99" s="122"/>
      <c r="AG99" s="33">
        <f t="shared" si="1"/>
        <v>0</v>
      </c>
      <c r="AH99" s="22"/>
      <c r="AI99" s="22"/>
      <c r="AJ99" s="22"/>
      <c r="AK99" s="20"/>
      <c r="AL99" s="20"/>
      <c r="AM99" s="39"/>
      <c r="AN99" s="20"/>
    </row>
    <row r="100" spans="1:41" s="14" customFormat="1" x14ac:dyDescent="0.2">
      <c r="A100" s="18" t="s">
        <v>3732</v>
      </c>
      <c r="B100" s="125"/>
      <c r="C100" s="16" t="s">
        <v>79</v>
      </c>
      <c r="E100" s="34" t="s">
        <v>2710</v>
      </c>
      <c r="F100" s="14" t="s">
        <v>484</v>
      </c>
      <c r="G100" s="14" t="s">
        <v>2547</v>
      </c>
      <c r="H100" s="644" t="s">
        <v>66</v>
      </c>
      <c r="I100" s="47">
        <v>10016869050206</v>
      </c>
      <c r="J100" s="47">
        <v>20016869050203</v>
      </c>
      <c r="K100" s="55" t="s">
        <v>879</v>
      </c>
      <c r="L100" s="55" t="s">
        <v>975</v>
      </c>
      <c r="M100" s="4"/>
      <c r="N100" s="514">
        <f>IF($C100="","",VLOOKUP($C100,'2017 Pricelist'!$C:$I,7,FALSE))</f>
        <v>29.990000000000002</v>
      </c>
      <c r="O100" s="35">
        <v>6</v>
      </c>
      <c r="P100" s="187">
        <v>48</v>
      </c>
      <c r="Q100" s="33">
        <f>5.5/16</f>
        <v>0.34375</v>
      </c>
      <c r="R100" s="33">
        <v>3</v>
      </c>
      <c r="S100" s="33">
        <v>1.625</v>
      </c>
      <c r="T100" s="70">
        <v>5.5</v>
      </c>
      <c r="U100" s="121">
        <v>0.45</v>
      </c>
      <c r="V100" s="121">
        <v>3.5</v>
      </c>
      <c r="W100" s="121">
        <v>1.5</v>
      </c>
      <c r="X100" s="121">
        <v>9</v>
      </c>
      <c r="Y100" s="120">
        <v>2.95</v>
      </c>
      <c r="Z100" s="121">
        <v>10</v>
      </c>
      <c r="AA100" s="121">
        <v>9.25</v>
      </c>
      <c r="AB100" s="121">
        <v>7.25</v>
      </c>
      <c r="AC100" s="44">
        <f>CONVERT(11000,"g","lbm")</f>
        <v>24.250848840336534</v>
      </c>
      <c r="AD100" s="33">
        <f>CONVERT(0.415,"m","in")</f>
        <v>16.338582677165356</v>
      </c>
      <c r="AE100" s="33">
        <f>CONVERT(0.395,"m","in")</f>
        <v>15.551181102362206</v>
      </c>
      <c r="AF100" s="70">
        <f>CONVERT(0.505,"m","in")</f>
        <v>19.881889763779526</v>
      </c>
      <c r="AG100" s="33">
        <f t="shared" si="1"/>
        <v>2.9234231548716085</v>
      </c>
      <c r="AH100" s="24" t="s">
        <v>1483</v>
      </c>
      <c r="AI100" s="24" t="s">
        <v>1484</v>
      </c>
      <c r="AJ100" s="19" t="s">
        <v>1068</v>
      </c>
      <c r="AK100" s="19" t="s">
        <v>1485</v>
      </c>
      <c r="AL100" s="19" t="s">
        <v>1486</v>
      </c>
      <c r="AM100" s="20" t="s">
        <v>152</v>
      </c>
      <c r="AN100" s="20"/>
    </row>
    <row r="101" spans="1:41" s="18" customFormat="1" x14ac:dyDescent="0.2">
      <c r="A101" s="18" t="s">
        <v>3732</v>
      </c>
      <c r="B101" s="125"/>
      <c r="C101" s="16" t="s">
        <v>399</v>
      </c>
      <c r="D101" s="14"/>
      <c r="E101" s="34" t="s">
        <v>2711</v>
      </c>
      <c r="F101" s="14" t="s">
        <v>484</v>
      </c>
      <c r="G101" s="14" t="s">
        <v>2547</v>
      </c>
      <c r="H101" s="648" t="s">
        <v>1153</v>
      </c>
      <c r="I101" s="501">
        <v>10054269000292</v>
      </c>
      <c r="J101" s="501">
        <v>20054269000299</v>
      </c>
      <c r="K101" s="55" t="s">
        <v>879</v>
      </c>
      <c r="L101" s="55" t="s">
        <v>976</v>
      </c>
      <c r="M101" s="4"/>
      <c r="N101" s="514">
        <f>IF($C101="","",VLOOKUP($C101,'2017 Pricelist'!$C:$I,7,FALSE))</f>
        <v>34.99</v>
      </c>
      <c r="O101" s="35">
        <v>6</v>
      </c>
      <c r="P101" s="187">
        <v>48</v>
      </c>
      <c r="Q101" s="33">
        <f>6.5/16</f>
        <v>0.40625</v>
      </c>
      <c r="R101" s="33">
        <v>4</v>
      </c>
      <c r="S101" s="33">
        <v>1.625</v>
      </c>
      <c r="T101" s="70">
        <v>6.125</v>
      </c>
      <c r="U101" s="121">
        <v>0.5</v>
      </c>
      <c r="V101" s="121">
        <v>4.5</v>
      </c>
      <c r="W101" s="121">
        <v>1.5</v>
      </c>
      <c r="X101" s="121">
        <v>9</v>
      </c>
      <c r="Y101" s="120"/>
      <c r="Z101" s="121"/>
      <c r="AA101" s="121"/>
      <c r="AB101" s="121"/>
      <c r="AC101" s="120"/>
      <c r="AD101" s="121"/>
      <c r="AE101" s="121"/>
      <c r="AF101" s="122"/>
      <c r="AG101" s="15">
        <f t="shared" si="1"/>
        <v>0</v>
      </c>
      <c r="AH101" s="22" t="s">
        <v>401</v>
      </c>
      <c r="AI101" s="14" t="s">
        <v>402</v>
      </c>
      <c r="AJ101" s="22" t="s">
        <v>151</v>
      </c>
      <c r="AK101" s="22" t="s">
        <v>400</v>
      </c>
      <c r="AL101" s="22" t="s">
        <v>661</v>
      </c>
      <c r="AM101" s="20" t="s">
        <v>403</v>
      </c>
      <c r="AN101" s="20"/>
      <c r="AO101" s="14"/>
    </row>
    <row r="102" spans="1:41" s="14" customFormat="1" x14ac:dyDescent="0.2">
      <c r="A102" s="18" t="s">
        <v>3732</v>
      </c>
      <c r="B102" s="125"/>
      <c r="C102" s="16" t="s">
        <v>1063</v>
      </c>
      <c r="E102" s="37" t="s">
        <v>2712</v>
      </c>
      <c r="F102" s="14" t="s">
        <v>484</v>
      </c>
      <c r="G102" s="14" t="s">
        <v>2547</v>
      </c>
      <c r="H102" s="649" t="s">
        <v>1065</v>
      </c>
      <c r="I102" s="66">
        <v>10054269000445</v>
      </c>
      <c r="J102" s="66">
        <v>20054269000442</v>
      </c>
      <c r="K102" s="55" t="s">
        <v>879</v>
      </c>
      <c r="L102" s="27" t="s">
        <v>975</v>
      </c>
      <c r="M102" s="7"/>
      <c r="N102" s="514">
        <f>IF($C102="","",VLOOKUP($C102,'2017 Pricelist'!$C:$I,7,FALSE))</f>
        <v>29.990000000000002</v>
      </c>
      <c r="O102" s="35">
        <v>6</v>
      </c>
      <c r="P102" s="187">
        <v>48</v>
      </c>
      <c r="Q102" s="33">
        <f>5.5/16</f>
        <v>0.34375</v>
      </c>
      <c r="R102" s="33">
        <v>3</v>
      </c>
      <c r="S102" s="33">
        <v>1.625</v>
      </c>
      <c r="T102" s="70">
        <v>5.5</v>
      </c>
      <c r="U102" s="33">
        <f>6.9/16</f>
        <v>0.43125000000000002</v>
      </c>
      <c r="V102" s="33">
        <v>6.6875</v>
      </c>
      <c r="W102" s="33">
        <v>1.5</v>
      </c>
      <c r="X102" s="33">
        <v>8.6875</v>
      </c>
      <c r="Y102" s="120">
        <v>3.15</v>
      </c>
      <c r="Z102" s="121">
        <v>10</v>
      </c>
      <c r="AA102" s="121">
        <v>9.5</v>
      </c>
      <c r="AB102" s="121">
        <v>7</v>
      </c>
      <c r="AC102" s="44">
        <f>CONVERT(12160,"g","lbm")</f>
        <v>26.808211081681112</v>
      </c>
      <c r="AD102" s="33">
        <f>CONVERT(0.523,"m","in")</f>
        <v>20.590551181102363</v>
      </c>
      <c r="AE102" s="33">
        <f>CONVERT(0.383,"m","in")</f>
        <v>15.078740157480315</v>
      </c>
      <c r="AF102" s="70">
        <f>CONVERT(0.504,"m","in")</f>
        <v>19.84251968503937</v>
      </c>
      <c r="AG102" s="15">
        <f t="shared" si="1"/>
        <v>3.5652181704625883</v>
      </c>
      <c r="AH102" s="20" t="s">
        <v>1066</v>
      </c>
      <c r="AI102" s="20" t="s">
        <v>1073</v>
      </c>
      <c r="AJ102" s="20" t="s">
        <v>1068</v>
      </c>
      <c r="AK102" s="20" t="s">
        <v>1074</v>
      </c>
      <c r="AL102" s="20" t="s">
        <v>1075</v>
      </c>
      <c r="AM102" s="20" t="s">
        <v>1076</v>
      </c>
      <c r="AN102" s="20"/>
      <c r="AO102" s="20"/>
    </row>
    <row r="103" spans="1:41" s="18" customFormat="1" x14ac:dyDescent="0.2">
      <c r="A103" s="18" t="s">
        <v>3732</v>
      </c>
      <c r="B103" s="312"/>
      <c r="C103" s="16" t="s">
        <v>768</v>
      </c>
      <c r="D103" s="14"/>
      <c r="E103" s="34" t="s">
        <v>2713</v>
      </c>
      <c r="F103" s="14" t="s">
        <v>484</v>
      </c>
      <c r="G103" s="14" t="s">
        <v>2547</v>
      </c>
      <c r="H103" s="650" t="s">
        <v>1154</v>
      </c>
      <c r="I103" s="66">
        <v>10054269000520</v>
      </c>
      <c r="J103" s="66">
        <v>20054269000527</v>
      </c>
      <c r="K103" s="55" t="s">
        <v>879</v>
      </c>
      <c r="L103" s="55" t="s">
        <v>975</v>
      </c>
      <c r="M103" s="4"/>
      <c r="N103" s="514">
        <f>IF($C103="","",VLOOKUP($C103,'2017 Pricelist'!$C:$I,7,FALSE))</f>
        <v>49.99</v>
      </c>
      <c r="O103" s="35">
        <v>6</v>
      </c>
      <c r="P103" s="187">
        <v>24</v>
      </c>
      <c r="Q103" s="33">
        <f>9.1/16</f>
        <v>0.56874999999999998</v>
      </c>
      <c r="R103" s="33">
        <v>6</v>
      </c>
      <c r="S103" s="33">
        <v>1.75</v>
      </c>
      <c r="T103" s="70">
        <v>5.125</v>
      </c>
      <c r="U103" s="33">
        <f>10.8/16</f>
        <v>0.67500000000000004</v>
      </c>
      <c r="V103" s="33">
        <v>6.75</v>
      </c>
      <c r="W103" s="33">
        <v>1.75</v>
      </c>
      <c r="X103" s="33">
        <v>12.625</v>
      </c>
      <c r="Y103" s="120"/>
      <c r="Z103" s="121"/>
      <c r="AA103" s="121"/>
      <c r="AB103" s="121"/>
      <c r="AC103" s="44">
        <f>CONVERT(9700,"g","lbm")</f>
        <v>21.384839431933123</v>
      </c>
      <c r="AD103" s="33">
        <f>CONVERT(0.53,"m","in")</f>
        <v>20.866141732283463</v>
      </c>
      <c r="AE103" s="33">
        <f>CONVERT(0.36,"m","in")</f>
        <v>14.173228346456693</v>
      </c>
      <c r="AF103" s="70">
        <f>CONVERT(0.42,"m","in")</f>
        <v>16.535433070866141</v>
      </c>
      <c r="AG103" s="15">
        <f t="shared" si="1"/>
        <v>2.8299761323932096</v>
      </c>
      <c r="AH103" s="22" t="s">
        <v>771</v>
      </c>
      <c r="AI103" s="14" t="s">
        <v>772</v>
      </c>
      <c r="AJ103" s="22" t="s">
        <v>151</v>
      </c>
      <c r="AK103" s="22" t="s">
        <v>773</v>
      </c>
      <c r="AL103" s="22" t="s">
        <v>661</v>
      </c>
      <c r="AM103" s="20" t="s">
        <v>770</v>
      </c>
      <c r="AN103" s="20"/>
      <c r="AO103" s="14"/>
    </row>
    <row r="104" spans="1:41" s="14" customFormat="1" x14ac:dyDescent="0.2">
      <c r="A104" s="18" t="s">
        <v>3732</v>
      </c>
      <c r="B104" s="312"/>
      <c r="C104" s="16" t="s">
        <v>1481</v>
      </c>
      <c r="E104" s="34" t="s">
        <v>2714</v>
      </c>
      <c r="F104" s="14" t="s">
        <v>484</v>
      </c>
      <c r="G104" s="14" t="s">
        <v>2520</v>
      </c>
      <c r="H104" s="651" t="s">
        <v>1580</v>
      </c>
      <c r="I104" s="299"/>
      <c r="J104" s="299"/>
      <c r="K104" s="55" t="s">
        <v>879</v>
      </c>
      <c r="L104" s="31" t="s">
        <v>975</v>
      </c>
      <c r="M104" s="4"/>
      <c r="N104" s="514">
        <v>29.99</v>
      </c>
      <c r="O104" s="35">
        <v>1</v>
      </c>
      <c r="P104" s="187">
        <v>50</v>
      </c>
      <c r="Q104" s="33">
        <f>5.5/16</f>
        <v>0.34375</v>
      </c>
      <c r="R104" s="33">
        <v>3</v>
      </c>
      <c r="S104" s="33">
        <v>1.625</v>
      </c>
      <c r="T104" s="70">
        <v>5.5</v>
      </c>
      <c r="U104" s="33">
        <f>5.5/16</f>
        <v>0.34375</v>
      </c>
      <c r="V104" s="33">
        <v>3</v>
      </c>
      <c r="W104" s="33">
        <v>1.625</v>
      </c>
      <c r="X104" s="70">
        <v>5.5</v>
      </c>
      <c r="Y104" s="120"/>
      <c r="Z104" s="121"/>
      <c r="AA104" s="121"/>
      <c r="AB104" s="121"/>
      <c r="AC104" s="120">
        <v>20.2</v>
      </c>
      <c r="AD104" s="121">
        <v>18</v>
      </c>
      <c r="AE104" s="121">
        <v>13.5</v>
      </c>
      <c r="AF104" s="122">
        <v>8.5</v>
      </c>
      <c r="AG104" s="15">
        <f t="shared" si="1"/>
        <v>1.1953125</v>
      </c>
      <c r="AH104" s="24" t="s">
        <v>1483</v>
      </c>
      <c r="AI104" s="24" t="s">
        <v>1484</v>
      </c>
      <c r="AJ104" s="19" t="s">
        <v>1068</v>
      </c>
      <c r="AK104" s="19" t="s">
        <v>1485</v>
      </c>
      <c r="AL104" s="19" t="s">
        <v>1486</v>
      </c>
      <c r="AM104" s="20" t="s">
        <v>152</v>
      </c>
      <c r="AN104" s="20"/>
    </row>
    <row r="105" spans="1:41" s="14" customFormat="1" x14ac:dyDescent="0.2">
      <c r="A105" s="18" t="s">
        <v>3732</v>
      </c>
      <c r="B105" s="312"/>
      <c r="C105" s="16" t="s">
        <v>1062</v>
      </c>
      <c r="E105" s="37" t="s">
        <v>2715</v>
      </c>
      <c r="F105" s="14" t="s">
        <v>484</v>
      </c>
      <c r="G105" s="14" t="s">
        <v>2547</v>
      </c>
      <c r="H105" s="649" t="s">
        <v>1064</v>
      </c>
      <c r="I105" s="66">
        <v>10054269000438</v>
      </c>
      <c r="J105" s="66">
        <v>20054269000435</v>
      </c>
      <c r="K105" s="55" t="s">
        <v>879</v>
      </c>
      <c r="L105" s="27" t="s">
        <v>975</v>
      </c>
      <c r="M105" s="7"/>
      <c r="N105" s="514">
        <f>IF($C105="","",VLOOKUP($C105,'2017 Pricelist'!$C:$I,7,FALSE))</f>
        <v>12.99</v>
      </c>
      <c r="O105" s="35">
        <v>6</v>
      </c>
      <c r="P105" s="187">
        <v>48</v>
      </c>
      <c r="Q105" s="33">
        <f>2/16</f>
        <v>0.125</v>
      </c>
      <c r="R105" s="33">
        <v>1.625</v>
      </c>
      <c r="S105" s="33">
        <v>1.5</v>
      </c>
      <c r="T105" s="70">
        <v>3.75</v>
      </c>
      <c r="U105" s="33">
        <f>2.5/16</f>
        <v>0.15625</v>
      </c>
      <c r="V105" s="33">
        <v>4.5</v>
      </c>
      <c r="W105" s="139">
        <v>1.5</v>
      </c>
      <c r="X105" s="139">
        <v>6.625</v>
      </c>
      <c r="Y105" s="120">
        <v>1.25</v>
      </c>
      <c r="Z105" s="121">
        <v>10</v>
      </c>
      <c r="AA105" s="121">
        <v>7</v>
      </c>
      <c r="AB105" s="121">
        <v>5</v>
      </c>
      <c r="AC105" s="44">
        <f>CONVERT(5630,"g","lbm")</f>
        <v>12.412025361008608</v>
      </c>
      <c r="AD105" s="33">
        <f>CONVERT(0.52,"m","in")</f>
        <v>20.472440944881889</v>
      </c>
      <c r="AE105" s="33">
        <f>CONVERT(0.266,"m","in")</f>
        <v>10.472440944881889</v>
      </c>
      <c r="AF105" s="70">
        <f>CONVERT(0.39,"m","in")</f>
        <v>15.354330708661417</v>
      </c>
      <c r="AG105" s="15">
        <f t="shared" si="1"/>
        <v>1.9050426333573574</v>
      </c>
      <c r="AH105" s="20" t="s">
        <v>1066</v>
      </c>
      <c r="AI105" s="20" t="s">
        <v>1067</v>
      </c>
      <c r="AJ105" s="20" t="s">
        <v>1068</v>
      </c>
      <c r="AK105" s="20" t="s">
        <v>1069</v>
      </c>
      <c r="AL105" s="20" t="s">
        <v>1070</v>
      </c>
      <c r="AM105" s="20" t="s">
        <v>1071</v>
      </c>
      <c r="AN105" s="20"/>
      <c r="AO105" s="20"/>
    </row>
    <row r="106" spans="1:41" s="14" customFormat="1" x14ac:dyDescent="0.2">
      <c r="A106" s="18" t="s">
        <v>3732</v>
      </c>
      <c r="B106" s="125"/>
      <c r="C106" s="16" t="s">
        <v>1482</v>
      </c>
      <c r="E106" s="34" t="s">
        <v>2716</v>
      </c>
      <c r="F106" s="14" t="s">
        <v>484</v>
      </c>
      <c r="G106" s="14" t="s">
        <v>2520</v>
      </c>
      <c r="H106" s="651" t="s">
        <v>1580</v>
      </c>
      <c r="I106" s="299"/>
      <c r="J106" s="299"/>
      <c r="K106" s="55" t="s">
        <v>879</v>
      </c>
      <c r="L106" s="31" t="s">
        <v>975</v>
      </c>
      <c r="M106" s="4"/>
      <c r="N106" s="514">
        <v>12.99</v>
      </c>
      <c r="O106" s="35">
        <v>1</v>
      </c>
      <c r="P106" s="187">
        <v>100</v>
      </c>
      <c r="Q106" s="33">
        <f t="shared" ref="Q106:Q107" si="2">2/16</f>
        <v>0.125</v>
      </c>
      <c r="R106" s="33">
        <v>1.625</v>
      </c>
      <c r="S106" s="33">
        <v>1.25</v>
      </c>
      <c r="T106" s="70">
        <v>3.3125</v>
      </c>
      <c r="U106" s="33">
        <v>0.12566348944538022</v>
      </c>
      <c r="V106" s="33">
        <v>1.625</v>
      </c>
      <c r="W106" s="33">
        <v>1.25</v>
      </c>
      <c r="X106" s="70">
        <v>3.3125</v>
      </c>
      <c r="Y106" s="120"/>
      <c r="Z106" s="121"/>
      <c r="AA106" s="121"/>
      <c r="AB106" s="121"/>
      <c r="AC106" s="44">
        <f>CONVERT(6050,"g","lbm")</f>
        <v>13.337966862185093</v>
      </c>
      <c r="AD106" s="33">
        <f>CONVERT(0.488,"m","in")</f>
        <v>19.212598425196852</v>
      </c>
      <c r="AE106" s="33">
        <f>CONVERT(0.278,"m","in")</f>
        <v>10.944881889763781</v>
      </c>
      <c r="AF106" s="70">
        <f>CONVERT(0.175,"m","in")</f>
        <v>6.8897637795275593</v>
      </c>
      <c r="AG106" s="15">
        <f t="shared" si="1"/>
        <v>0.83841256556820509</v>
      </c>
      <c r="AH106" s="24" t="s">
        <v>1487</v>
      </c>
      <c r="AI106" s="24" t="s">
        <v>1484</v>
      </c>
      <c r="AJ106" s="19" t="s">
        <v>1068</v>
      </c>
      <c r="AK106" s="19"/>
      <c r="AL106" s="19"/>
      <c r="AM106" s="37" t="s">
        <v>178</v>
      </c>
      <c r="AN106" s="20"/>
      <c r="AO106" s="18"/>
    </row>
    <row r="107" spans="1:41" s="14" customFormat="1" x14ac:dyDescent="0.2">
      <c r="A107" s="18" t="s">
        <v>3732</v>
      </c>
      <c r="B107" s="125"/>
      <c r="C107" s="19" t="s">
        <v>176</v>
      </c>
      <c r="D107" s="18"/>
      <c r="E107" s="24" t="s">
        <v>2718</v>
      </c>
      <c r="F107" s="18" t="s">
        <v>484</v>
      </c>
      <c r="G107" s="14" t="s">
        <v>2547</v>
      </c>
      <c r="H107" s="645" t="s">
        <v>177</v>
      </c>
      <c r="I107" s="47">
        <v>10016869030208</v>
      </c>
      <c r="J107" s="47">
        <v>20016869030205</v>
      </c>
      <c r="K107" s="55" t="s">
        <v>879</v>
      </c>
      <c r="L107" s="55" t="s">
        <v>975</v>
      </c>
      <c r="M107" s="5"/>
      <c r="N107" s="514">
        <f>IF($C107="","",VLOOKUP($C107,'2017 Pricelist'!$C:$I,7,FALSE))</f>
        <v>12.99</v>
      </c>
      <c r="O107" s="35">
        <v>6</v>
      </c>
      <c r="P107" s="187">
        <v>48</v>
      </c>
      <c r="Q107" s="33">
        <f t="shared" si="2"/>
        <v>0.125</v>
      </c>
      <c r="R107" s="33">
        <v>1.625</v>
      </c>
      <c r="S107" s="33">
        <v>1.25</v>
      </c>
      <c r="T107" s="70">
        <v>3.3125</v>
      </c>
      <c r="U107" s="33">
        <f>2.3/16</f>
        <v>0.14374999999999999</v>
      </c>
      <c r="V107" s="33">
        <v>4.5</v>
      </c>
      <c r="W107" s="139">
        <v>1.5</v>
      </c>
      <c r="X107" s="139">
        <v>6.625</v>
      </c>
      <c r="Y107" s="120">
        <v>1.1499999999999999</v>
      </c>
      <c r="Z107" s="121">
        <v>10</v>
      </c>
      <c r="AA107" s="121">
        <v>7</v>
      </c>
      <c r="AB107" s="121">
        <v>5</v>
      </c>
      <c r="AC107" s="44">
        <f>CONVERT(5630,"g","lbm")</f>
        <v>12.412025361008608</v>
      </c>
      <c r="AD107" s="33">
        <f>CONVERT(0.52,"m","in")</f>
        <v>20.472440944881889</v>
      </c>
      <c r="AE107" s="33">
        <f>CONVERT(0.266,"m","in")</f>
        <v>10.472440944881889</v>
      </c>
      <c r="AF107" s="70">
        <f>CONVERT(0.39,"m","in")</f>
        <v>15.354330708661417</v>
      </c>
      <c r="AG107" s="33">
        <f t="shared" si="1"/>
        <v>1.9050426333573574</v>
      </c>
      <c r="AH107" s="24" t="s">
        <v>1487</v>
      </c>
      <c r="AI107" s="24" t="s">
        <v>1484</v>
      </c>
      <c r="AJ107" s="19" t="s">
        <v>1068</v>
      </c>
      <c r="AK107" s="19"/>
      <c r="AL107" s="19"/>
      <c r="AM107" s="37" t="s">
        <v>178</v>
      </c>
      <c r="AN107" s="37"/>
      <c r="AO107" s="18"/>
    </row>
    <row r="108" spans="1:41" s="14" customFormat="1" x14ac:dyDescent="0.2">
      <c r="A108" s="18" t="s">
        <v>3732</v>
      </c>
      <c r="B108" s="125"/>
      <c r="C108" s="19" t="s">
        <v>554</v>
      </c>
      <c r="E108" s="19" t="s">
        <v>2708</v>
      </c>
      <c r="F108" s="14" t="s">
        <v>484</v>
      </c>
      <c r="G108" s="14" t="s">
        <v>2547</v>
      </c>
      <c r="H108" s="644" t="s">
        <v>361</v>
      </c>
      <c r="I108" s="226"/>
      <c r="J108" s="47">
        <v>20016869010207</v>
      </c>
      <c r="K108" s="55" t="s">
        <v>879</v>
      </c>
      <c r="L108" s="55" t="s">
        <v>976</v>
      </c>
      <c r="M108" s="4"/>
      <c r="N108" s="514">
        <f>IF($C108="","",VLOOKUP($C108,'2017 Pricelist'!$C:$I,7,FALSE))</f>
        <v>14.99</v>
      </c>
      <c r="O108" s="35">
        <v>1</v>
      </c>
      <c r="P108" s="187">
        <v>100</v>
      </c>
      <c r="Q108" s="33">
        <f>2/16</f>
        <v>0.125</v>
      </c>
      <c r="R108" s="33">
        <v>4</v>
      </c>
      <c r="S108" s="33">
        <v>1</v>
      </c>
      <c r="T108" s="70">
        <v>1.25</v>
      </c>
      <c r="U108" s="33">
        <f>2.7/16</f>
        <v>0.16875000000000001</v>
      </c>
      <c r="V108" s="33">
        <v>8</v>
      </c>
      <c r="W108" s="33">
        <v>1.5</v>
      </c>
      <c r="X108" s="33">
        <v>5.8125</v>
      </c>
      <c r="Y108" s="120"/>
      <c r="Z108" s="121"/>
      <c r="AA108" s="121"/>
      <c r="AB108" s="121"/>
      <c r="AC108" s="120">
        <v>18.3</v>
      </c>
      <c r="AD108" s="121">
        <v>17.5</v>
      </c>
      <c r="AE108" s="121">
        <v>28.75</v>
      </c>
      <c r="AF108" s="122">
        <v>9.5</v>
      </c>
      <c r="AG108" s="15">
        <f t="shared" si="1"/>
        <v>2.7660228587962963</v>
      </c>
      <c r="AH108" s="22" t="s">
        <v>254</v>
      </c>
      <c r="AI108" s="22" t="s">
        <v>255</v>
      </c>
      <c r="AJ108" s="22" t="s">
        <v>256</v>
      </c>
      <c r="AK108" s="22" t="s">
        <v>257</v>
      </c>
      <c r="AL108" s="22" t="s">
        <v>661</v>
      </c>
      <c r="AM108" s="23" t="s">
        <v>52</v>
      </c>
      <c r="AN108" s="20"/>
    </row>
    <row r="109" spans="1:41" s="14" customFormat="1" x14ac:dyDescent="0.2">
      <c r="A109" s="18" t="s">
        <v>3732</v>
      </c>
      <c r="B109" s="125"/>
      <c r="C109" s="16" t="s">
        <v>1793</v>
      </c>
      <c r="D109" s="15"/>
      <c r="E109" s="34" t="s">
        <v>165</v>
      </c>
      <c r="F109" s="14" t="s">
        <v>484</v>
      </c>
      <c r="G109" s="14" t="s">
        <v>2674</v>
      </c>
      <c r="H109" s="644" t="s">
        <v>175</v>
      </c>
      <c r="I109" s="226"/>
      <c r="J109" s="300"/>
      <c r="K109" s="55" t="s">
        <v>879</v>
      </c>
      <c r="L109" s="55" t="s">
        <v>976</v>
      </c>
      <c r="M109" s="4"/>
      <c r="N109" s="514">
        <v>14.99</v>
      </c>
      <c r="O109" s="35">
        <v>6</v>
      </c>
      <c r="P109" s="188"/>
      <c r="Q109" s="33">
        <f>0.7/16</f>
        <v>4.3749999999999997E-2</v>
      </c>
      <c r="R109" s="121"/>
      <c r="S109" s="121"/>
      <c r="T109" s="122"/>
      <c r="U109" s="121">
        <v>0.1</v>
      </c>
      <c r="V109" s="121">
        <v>5</v>
      </c>
      <c r="W109" s="121">
        <v>3</v>
      </c>
      <c r="X109" s="121">
        <v>1.25</v>
      </c>
      <c r="Y109" s="120"/>
      <c r="Z109" s="121"/>
      <c r="AA109" s="121"/>
      <c r="AB109" s="121"/>
      <c r="AC109" s="220" t="s">
        <v>529</v>
      </c>
      <c r="AD109" s="121"/>
      <c r="AE109" s="121"/>
      <c r="AF109" s="122"/>
      <c r="AG109" s="15">
        <f t="shared" si="1"/>
        <v>0</v>
      </c>
      <c r="AH109" s="22" t="s">
        <v>187</v>
      </c>
      <c r="AI109" s="22" t="s">
        <v>188</v>
      </c>
      <c r="AJ109" s="22" t="s">
        <v>189</v>
      </c>
      <c r="AK109" s="20"/>
      <c r="AL109" s="20"/>
      <c r="AM109" s="39" t="s">
        <v>167</v>
      </c>
      <c r="AN109" s="20"/>
    </row>
    <row r="110" spans="1:41" s="14" customFormat="1" x14ac:dyDescent="0.2">
      <c r="A110" s="18" t="s">
        <v>3732</v>
      </c>
      <c r="B110" s="125"/>
      <c r="C110" s="19" t="s">
        <v>555</v>
      </c>
      <c r="E110" s="24" t="s">
        <v>2705</v>
      </c>
      <c r="F110" s="14" t="s">
        <v>484</v>
      </c>
      <c r="G110" s="14" t="s">
        <v>2547</v>
      </c>
      <c r="H110" s="652" t="s">
        <v>253</v>
      </c>
      <c r="I110" s="300"/>
      <c r="J110" s="8">
        <v>20016869020107</v>
      </c>
      <c r="K110" s="55" t="s">
        <v>879</v>
      </c>
      <c r="L110" s="55" t="s">
        <v>976</v>
      </c>
      <c r="M110" s="4"/>
      <c r="N110" s="514">
        <f>IF($C110="","",VLOOKUP($C110,'2017 Pricelist'!$C:$I,7,FALSE))</f>
        <v>24.990000000000002</v>
      </c>
      <c r="O110" s="35">
        <v>1</v>
      </c>
      <c r="P110" s="187">
        <v>48</v>
      </c>
      <c r="Q110" s="33">
        <f>4.2/16</f>
        <v>0.26250000000000001</v>
      </c>
      <c r="R110" s="33">
        <v>7</v>
      </c>
      <c r="S110" s="33">
        <v>2</v>
      </c>
      <c r="T110" s="70">
        <v>2</v>
      </c>
      <c r="U110" s="33">
        <f>5.4/16</f>
        <v>0.33750000000000002</v>
      </c>
      <c r="V110" s="121">
        <v>2.25</v>
      </c>
      <c r="W110" s="121">
        <v>8.6300000000000008</v>
      </c>
      <c r="X110" s="121">
        <v>7.5</v>
      </c>
      <c r="Y110" s="120"/>
      <c r="Z110" s="121"/>
      <c r="AA110" s="121"/>
      <c r="AB110" s="121"/>
      <c r="AC110" s="120"/>
      <c r="AD110" s="121">
        <v>16.25</v>
      </c>
      <c r="AE110" s="121">
        <v>31</v>
      </c>
      <c r="AF110" s="122">
        <v>9.5</v>
      </c>
      <c r="AG110" s="15">
        <f t="shared" si="1"/>
        <v>2.7694589120370372</v>
      </c>
      <c r="AH110" s="25" t="s">
        <v>254</v>
      </c>
      <c r="AI110" s="22" t="s">
        <v>255</v>
      </c>
      <c r="AJ110" s="22" t="s">
        <v>256</v>
      </c>
      <c r="AK110" s="22" t="s">
        <v>660</v>
      </c>
      <c r="AL110" s="22" t="s">
        <v>661</v>
      </c>
      <c r="AM110" s="23" t="s">
        <v>662</v>
      </c>
      <c r="AN110" s="20"/>
    </row>
    <row r="111" spans="1:41" s="14" customFormat="1" x14ac:dyDescent="0.2">
      <c r="A111" s="18" t="s">
        <v>3732</v>
      </c>
      <c r="B111" s="125"/>
      <c r="C111" s="16" t="s">
        <v>1794</v>
      </c>
      <c r="D111" s="15"/>
      <c r="E111" s="34" t="s">
        <v>166</v>
      </c>
      <c r="F111" s="14" t="s">
        <v>484</v>
      </c>
      <c r="G111" s="14" t="s">
        <v>2674</v>
      </c>
      <c r="H111" s="651" t="s">
        <v>672</v>
      </c>
      <c r="I111" s="299"/>
      <c r="J111" s="299"/>
      <c r="K111" s="55" t="s">
        <v>879</v>
      </c>
      <c r="L111" s="55" t="s">
        <v>976</v>
      </c>
      <c r="M111" s="4"/>
      <c r="N111" s="514">
        <v>14.99</v>
      </c>
      <c r="O111" s="35">
        <v>6</v>
      </c>
      <c r="P111" s="188"/>
      <c r="Q111" s="33">
        <f>0.7/16</f>
        <v>4.3749999999999997E-2</v>
      </c>
      <c r="R111" s="121"/>
      <c r="S111" s="121"/>
      <c r="T111" s="122"/>
      <c r="U111" s="121">
        <v>0.1</v>
      </c>
      <c r="V111" s="121">
        <v>5</v>
      </c>
      <c r="W111" s="121">
        <v>3</v>
      </c>
      <c r="X111" s="121">
        <v>1.25</v>
      </c>
      <c r="Y111" s="120"/>
      <c r="Z111" s="121"/>
      <c r="AA111" s="121"/>
      <c r="AB111" s="121"/>
      <c r="AC111" s="120"/>
      <c r="AD111" s="121"/>
      <c r="AE111" s="121"/>
      <c r="AF111" s="122"/>
      <c r="AG111" s="15">
        <f t="shared" si="1"/>
        <v>0</v>
      </c>
      <c r="AH111" s="22" t="s">
        <v>451</v>
      </c>
      <c r="AI111" s="22" t="s">
        <v>188</v>
      </c>
      <c r="AJ111" s="22" t="s">
        <v>189</v>
      </c>
      <c r="AK111" s="20"/>
      <c r="AL111" s="20"/>
      <c r="AM111" s="39" t="s">
        <v>452</v>
      </c>
      <c r="AN111" s="20"/>
    </row>
    <row r="112" spans="1:41" s="14" customFormat="1" x14ac:dyDescent="0.2">
      <c r="A112" s="18" t="s">
        <v>3732</v>
      </c>
      <c r="B112" s="125"/>
      <c r="C112" s="16" t="s">
        <v>1151</v>
      </c>
      <c r="E112" s="34" t="s">
        <v>2706</v>
      </c>
      <c r="F112" s="14" t="s">
        <v>1077</v>
      </c>
      <c r="G112" s="14" t="s">
        <v>2547</v>
      </c>
      <c r="H112" s="646" t="s">
        <v>1078</v>
      </c>
      <c r="I112" s="301">
        <v>10054269000933</v>
      </c>
      <c r="J112" s="301">
        <v>20054269000930</v>
      </c>
      <c r="K112" s="55" t="s">
        <v>879</v>
      </c>
      <c r="L112" s="27" t="s">
        <v>975</v>
      </c>
      <c r="M112" s="7"/>
      <c r="N112" s="514">
        <v>14.99</v>
      </c>
      <c r="O112" s="35">
        <v>6</v>
      </c>
      <c r="P112" s="187">
        <v>24</v>
      </c>
      <c r="Q112" s="33">
        <f>2/16</f>
        <v>0.125</v>
      </c>
      <c r="R112" s="33">
        <v>6</v>
      </c>
      <c r="S112" s="33">
        <v>1.5</v>
      </c>
      <c r="T112" s="70">
        <v>1.5</v>
      </c>
      <c r="U112" s="33">
        <f>2.9/16</f>
        <v>0.18124999999999999</v>
      </c>
      <c r="V112" s="139">
        <v>8.5625</v>
      </c>
      <c r="W112" s="139">
        <v>1.25</v>
      </c>
      <c r="X112" s="139">
        <v>6.125</v>
      </c>
      <c r="Y112" s="44">
        <f>CONVERT(650,"g","lbm")</f>
        <v>1.4330047042017042</v>
      </c>
      <c r="Z112" s="33">
        <f>CONVERT(0.23,"m","in")</f>
        <v>9.0551181102362204</v>
      </c>
      <c r="AA112" s="33">
        <f>CONVERT(0.16,"m","in")</f>
        <v>6.2992125984251972</v>
      </c>
      <c r="AB112" s="33">
        <f>CONVERT(0.12,"m","in")</f>
        <v>4.7244094488188972</v>
      </c>
      <c r="AC112" s="44">
        <f>CONVERT(4000,"g","lbm")</f>
        <v>8.8184904873951027</v>
      </c>
      <c r="AD112" s="33">
        <f>CONVERT(0.34,"m","in")</f>
        <v>13.385826771653544</v>
      </c>
      <c r="AE112" s="33">
        <f>CONVERT(0.26,"m","in")</f>
        <v>10.236220472440944</v>
      </c>
      <c r="AF112" s="70">
        <f>CONVERT(0.25,"m","in")</f>
        <v>9.8425196850393704</v>
      </c>
      <c r="AG112" s="15">
        <f t="shared" si="1"/>
        <v>0.78045413454489798</v>
      </c>
      <c r="AH112" s="20" t="s">
        <v>1104</v>
      </c>
      <c r="AI112" s="20" t="s">
        <v>1108</v>
      </c>
      <c r="AJ112" s="20" t="s">
        <v>1105</v>
      </c>
      <c r="AK112" s="20" t="s">
        <v>1107</v>
      </c>
      <c r="AL112" s="20" t="s">
        <v>1106</v>
      </c>
      <c r="AM112" s="20" t="s">
        <v>1533</v>
      </c>
      <c r="AN112" s="20"/>
      <c r="AO112" s="20"/>
    </row>
    <row r="113" spans="1:265" s="14" customFormat="1" x14ac:dyDescent="0.2">
      <c r="A113" s="18" t="s">
        <v>3732</v>
      </c>
      <c r="B113" s="125"/>
      <c r="C113" s="16" t="s">
        <v>2703</v>
      </c>
      <c r="E113" s="34" t="s">
        <v>2704</v>
      </c>
      <c r="F113" s="14" t="s">
        <v>484</v>
      </c>
      <c r="G113" s="14" t="s">
        <v>2547</v>
      </c>
      <c r="H113" s="644" t="s">
        <v>2724</v>
      </c>
      <c r="I113" s="301">
        <v>10054269001565</v>
      </c>
      <c r="J113" s="301">
        <v>20054269001562</v>
      </c>
      <c r="K113" s="55" t="s">
        <v>879</v>
      </c>
      <c r="L113" s="27" t="s">
        <v>975</v>
      </c>
      <c r="M113" s="7"/>
      <c r="N113" s="514">
        <f>IF($C113="","",VLOOKUP($C113,'2017 Pricelist'!$C:$I,7,FALSE))</f>
        <v>24.990000000000002</v>
      </c>
      <c r="O113" s="35">
        <v>6</v>
      </c>
      <c r="P113" s="187">
        <v>24</v>
      </c>
      <c r="Q113" s="33">
        <f>3.2/16</f>
        <v>0.2</v>
      </c>
      <c r="R113" s="33">
        <v>7.25</v>
      </c>
      <c r="S113" s="33">
        <v>2</v>
      </c>
      <c r="T113" s="70">
        <v>2.25</v>
      </c>
      <c r="U113" s="33">
        <f>CONVERT(140,"g","lbm")</f>
        <v>0.30864716705882861</v>
      </c>
      <c r="V113" s="139">
        <v>9.375</v>
      </c>
      <c r="W113" s="139">
        <v>2</v>
      </c>
      <c r="X113" s="139">
        <v>6.5</v>
      </c>
      <c r="Y113" s="120"/>
      <c r="Z113" s="121"/>
      <c r="AA113" s="121"/>
      <c r="AB113" s="121"/>
      <c r="AC113" s="120"/>
      <c r="AD113" s="121"/>
      <c r="AE113" s="121"/>
      <c r="AF113" s="122"/>
      <c r="AG113" s="15">
        <f t="shared" si="1"/>
        <v>0</v>
      </c>
      <c r="AH113" s="20"/>
      <c r="AI113" s="20"/>
      <c r="AJ113" s="20"/>
      <c r="AK113" s="20"/>
      <c r="AL113" s="20"/>
      <c r="AM113" s="20"/>
      <c r="AN113" s="20"/>
      <c r="AO113" s="20"/>
    </row>
    <row r="114" spans="1:265" s="14" customFormat="1" x14ac:dyDescent="0.2">
      <c r="A114" s="18" t="s">
        <v>3732</v>
      </c>
      <c r="B114" s="125"/>
      <c r="C114" s="19" t="s">
        <v>1589</v>
      </c>
      <c r="D114" s="19" t="s">
        <v>370</v>
      </c>
      <c r="E114" s="19" t="s">
        <v>2707</v>
      </c>
      <c r="F114" s="14" t="s">
        <v>217</v>
      </c>
      <c r="G114" s="14" t="s">
        <v>2547</v>
      </c>
      <c r="H114" s="644" t="s">
        <v>250</v>
      </c>
      <c r="I114" s="226"/>
      <c r="J114" s="226"/>
      <c r="K114" s="55" t="s">
        <v>879</v>
      </c>
      <c r="L114" s="55" t="s">
        <v>976</v>
      </c>
      <c r="M114" s="4"/>
      <c r="N114" s="514">
        <f>IF($C114="","",VLOOKUP($C114,'2017 Pricelist'!$C:$I,7,FALSE))</f>
        <v>14.99</v>
      </c>
      <c r="O114" s="35">
        <v>1</v>
      </c>
      <c r="P114" s="187">
        <v>50</v>
      </c>
      <c r="Q114" s="33">
        <f>2/16</f>
        <v>0.125</v>
      </c>
      <c r="R114" s="33">
        <v>4</v>
      </c>
      <c r="S114" s="33">
        <v>1</v>
      </c>
      <c r="T114" s="70">
        <v>1.25</v>
      </c>
      <c r="U114" s="33">
        <f>2.7/16</f>
        <v>0.16875000000000001</v>
      </c>
      <c r="V114" s="33">
        <v>8</v>
      </c>
      <c r="W114" s="33">
        <v>1.5</v>
      </c>
      <c r="X114" s="33">
        <v>5.8125</v>
      </c>
      <c r="Y114" s="120"/>
      <c r="Z114" s="121"/>
      <c r="AA114" s="121"/>
      <c r="AB114" s="121"/>
      <c r="AC114" s="120"/>
      <c r="AD114" s="121">
        <v>12</v>
      </c>
      <c r="AE114" s="121">
        <v>18</v>
      </c>
      <c r="AF114" s="122">
        <v>9.5</v>
      </c>
      <c r="AG114" s="15">
        <f t="shared" si="1"/>
        <v>1.1875</v>
      </c>
      <c r="AH114" s="22" t="s">
        <v>254</v>
      </c>
      <c r="AI114" s="22" t="s">
        <v>255</v>
      </c>
      <c r="AJ114" s="22" t="s">
        <v>256</v>
      </c>
      <c r="AK114" s="22" t="s">
        <v>257</v>
      </c>
      <c r="AL114" s="22" t="s">
        <v>258</v>
      </c>
      <c r="AM114" s="23" t="s">
        <v>453</v>
      </c>
      <c r="AN114" s="20"/>
    </row>
    <row r="115" spans="1:265" s="14" customFormat="1" x14ac:dyDescent="0.2">
      <c r="B115" s="125"/>
      <c r="C115" s="19"/>
      <c r="D115" s="19"/>
      <c r="E115" s="19"/>
      <c r="H115" s="29"/>
      <c r="I115" s="226"/>
      <c r="J115" s="226"/>
      <c r="K115" s="55"/>
      <c r="L115" s="55"/>
      <c r="M115" s="4"/>
      <c r="N115" s="514"/>
      <c r="O115" s="35"/>
      <c r="P115" s="35"/>
      <c r="Q115" s="33"/>
      <c r="R115" s="33"/>
      <c r="S115" s="33"/>
      <c r="T115" s="33"/>
      <c r="U115" s="33"/>
      <c r="V115" s="33"/>
      <c r="W115" s="33"/>
      <c r="X115" s="33"/>
      <c r="Y115" s="121"/>
      <c r="Z115" s="121"/>
      <c r="AA115" s="121"/>
      <c r="AB115" s="121"/>
      <c r="AC115" s="121"/>
      <c r="AD115" s="121"/>
      <c r="AE115" s="121"/>
      <c r="AF115" s="121"/>
      <c r="AG115" s="15"/>
      <c r="AH115" s="22"/>
      <c r="AI115" s="22"/>
      <c r="AJ115" s="22"/>
      <c r="AK115" s="22"/>
      <c r="AL115" s="22"/>
      <c r="AM115" s="23"/>
      <c r="AN115" s="20"/>
    </row>
    <row r="116" spans="1:265" s="88" customFormat="1" ht="15.75" x14ac:dyDescent="0.25">
      <c r="A116" s="105" t="s">
        <v>4123</v>
      </c>
      <c r="B116" s="105"/>
      <c r="C116" s="20"/>
      <c r="D116" s="20"/>
      <c r="E116" s="37"/>
      <c r="F116" s="37"/>
      <c r="G116" s="20"/>
      <c r="H116" s="20"/>
      <c r="I116" s="20"/>
      <c r="J116" s="20"/>
      <c r="K116" s="10"/>
      <c r="L116" s="45"/>
      <c r="M116" s="20"/>
      <c r="N116" s="503"/>
      <c r="O116" s="20"/>
      <c r="P116" s="26"/>
      <c r="Q116" s="33"/>
      <c r="R116" s="33"/>
      <c r="S116" s="33"/>
      <c r="U116" s="26"/>
      <c r="V116" s="20"/>
      <c r="W116" s="20"/>
      <c r="X116" s="26"/>
      <c r="Y116" s="544"/>
      <c r="Z116" s="20"/>
      <c r="AA116" s="20"/>
      <c r="AB116" s="551"/>
      <c r="AC116" s="26"/>
      <c r="AD116" s="20"/>
      <c r="AE116" s="20"/>
      <c r="AF116" s="551"/>
      <c r="AG116" s="26"/>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c r="JC116" s="20"/>
      <c r="JD116" s="20"/>
      <c r="JE116" s="20"/>
    </row>
    <row r="117" spans="1:265" s="588" customFormat="1" x14ac:dyDescent="0.2">
      <c r="A117" s="364" t="s">
        <v>3732</v>
      </c>
      <c r="B117" s="369"/>
      <c r="C117" s="370" t="s">
        <v>4124</v>
      </c>
      <c r="D117" s="369"/>
      <c r="E117" s="372" t="s">
        <v>4125</v>
      </c>
      <c r="F117" s="369"/>
      <c r="G117" s="364" t="s">
        <v>3897</v>
      </c>
      <c r="H117" s="602">
        <v>855712000844</v>
      </c>
      <c r="I117" s="369"/>
      <c r="J117" s="369"/>
      <c r="K117" s="420"/>
      <c r="L117" s="372" t="s">
        <v>975</v>
      </c>
      <c r="M117" s="367"/>
      <c r="N117" s="516">
        <v>24.99</v>
      </c>
      <c r="O117" s="369"/>
      <c r="P117" s="368">
        <v>10</v>
      </c>
      <c r="Q117" s="366">
        <f>0.6/16</f>
        <v>3.7499999999999999E-2</v>
      </c>
      <c r="R117" s="366">
        <v>27.6</v>
      </c>
      <c r="S117" s="366"/>
      <c r="U117" s="588">
        <f>0.9/16</f>
        <v>5.6250000000000001E-2</v>
      </c>
      <c r="V117" s="366">
        <v>4.9000000000000004</v>
      </c>
      <c r="W117" s="366">
        <v>4.2</v>
      </c>
      <c r="X117" s="366">
        <v>0.9</v>
      </c>
      <c r="Y117" s="589"/>
      <c r="Z117" s="369"/>
      <c r="AA117" s="369"/>
      <c r="AB117" s="590"/>
      <c r="AC117" s="373"/>
      <c r="AD117" s="369"/>
      <c r="AE117" s="369"/>
      <c r="AF117" s="590"/>
      <c r="AG117" s="373"/>
      <c r="AH117" s="369"/>
      <c r="AI117" s="369"/>
      <c r="AJ117" s="369"/>
      <c r="AK117" s="369"/>
      <c r="AL117" s="369"/>
      <c r="AM117" s="369"/>
      <c r="AN117" s="369"/>
      <c r="AO117" s="369"/>
      <c r="AP117" s="369"/>
      <c r="AQ117" s="369"/>
      <c r="AR117" s="369"/>
      <c r="AS117" s="369"/>
      <c r="AT117" s="369"/>
      <c r="AU117" s="369"/>
      <c r="AV117" s="369"/>
      <c r="AW117" s="369"/>
      <c r="AX117" s="369"/>
      <c r="AY117" s="369"/>
      <c r="AZ117" s="369"/>
      <c r="BA117" s="369"/>
      <c r="BB117" s="369"/>
      <c r="BC117" s="369"/>
      <c r="BD117" s="369"/>
      <c r="BE117" s="369"/>
      <c r="BF117" s="369"/>
      <c r="BG117" s="369"/>
      <c r="BH117" s="369"/>
      <c r="BI117" s="369"/>
      <c r="BJ117" s="369"/>
      <c r="BK117" s="369"/>
      <c r="BL117" s="369"/>
      <c r="BM117" s="369"/>
      <c r="BN117" s="369"/>
      <c r="BO117" s="369"/>
      <c r="BP117" s="369"/>
      <c r="BQ117" s="369"/>
      <c r="BR117" s="369"/>
      <c r="BS117" s="369"/>
      <c r="BT117" s="369"/>
      <c r="BU117" s="369"/>
      <c r="BV117" s="369"/>
      <c r="BW117" s="369"/>
      <c r="BX117" s="369"/>
      <c r="BY117" s="369"/>
      <c r="BZ117" s="369"/>
      <c r="CA117" s="369"/>
      <c r="CB117" s="369"/>
      <c r="CC117" s="369"/>
      <c r="CD117" s="369"/>
      <c r="CE117" s="369"/>
      <c r="CF117" s="369"/>
      <c r="CG117" s="369"/>
      <c r="CH117" s="369"/>
      <c r="CI117" s="369"/>
      <c r="CJ117" s="369"/>
      <c r="CK117" s="369"/>
      <c r="CL117" s="369"/>
      <c r="CM117" s="369"/>
      <c r="CN117" s="369"/>
      <c r="CO117" s="369"/>
      <c r="CP117" s="369"/>
      <c r="CQ117" s="369"/>
      <c r="CR117" s="369"/>
      <c r="CS117" s="369"/>
      <c r="CT117" s="369"/>
      <c r="CU117" s="369"/>
      <c r="CV117" s="369"/>
      <c r="CW117" s="369"/>
      <c r="CX117" s="369"/>
      <c r="CY117" s="369"/>
      <c r="CZ117" s="369"/>
      <c r="DA117" s="369"/>
      <c r="DB117" s="369"/>
      <c r="DC117" s="369"/>
      <c r="DD117" s="369"/>
      <c r="DE117" s="369"/>
      <c r="DF117" s="369"/>
      <c r="DG117" s="369"/>
      <c r="DH117" s="369"/>
      <c r="DI117" s="369"/>
      <c r="DJ117" s="369"/>
      <c r="DK117" s="369"/>
      <c r="DL117" s="369"/>
      <c r="DM117" s="369"/>
      <c r="DN117" s="369"/>
      <c r="DO117" s="369"/>
      <c r="DP117" s="369"/>
      <c r="DQ117" s="369"/>
      <c r="DR117" s="369"/>
      <c r="DS117" s="369"/>
      <c r="DT117" s="369"/>
      <c r="DU117" s="369"/>
      <c r="DV117" s="369"/>
      <c r="DW117" s="369"/>
      <c r="DX117" s="369"/>
      <c r="DY117" s="369"/>
      <c r="DZ117" s="369"/>
      <c r="EA117" s="369"/>
      <c r="EB117" s="369"/>
      <c r="EC117" s="369"/>
      <c r="ED117" s="369"/>
      <c r="EE117" s="369"/>
      <c r="EF117" s="369"/>
      <c r="EG117" s="369"/>
      <c r="EH117" s="369"/>
      <c r="EI117" s="369"/>
      <c r="EJ117" s="369"/>
      <c r="EK117" s="369"/>
      <c r="EL117" s="369"/>
      <c r="EM117" s="369"/>
      <c r="EN117" s="369"/>
      <c r="EO117" s="369"/>
      <c r="EP117" s="369"/>
      <c r="EQ117" s="369"/>
      <c r="ER117" s="369"/>
      <c r="ES117" s="369"/>
      <c r="ET117" s="369"/>
      <c r="EU117" s="369"/>
      <c r="EV117" s="369"/>
      <c r="EW117" s="369"/>
      <c r="EX117" s="369"/>
      <c r="EY117" s="369"/>
      <c r="EZ117" s="369"/>
      <c r="FA117" s="369"/>
      <c r="FB117" s="369"/>
      <c r="FC117" s="369"/>
      <c r="FD117" s="369"/>
      <c r="FE117" s="369"/>
      <c r="FF117" s="369"/>
      <c r="FG117" s="369"/>
      <c r="FH117" s="369"/>
      <c r="FI117" s="369"/>
      <c r="FJ117" s="369"/>
      <c r="FK117" s="369"/>
      <c r="FL117" s="369"/>
      <c r="FM117" s="369"/>
      <c r="FN117" s="369"/>
      <c r="FO117" s="369"/>
      <c r="FP117" s="369"/>
      <c r="FQ117" s="369"/>
      <c r="FR117" s="369"/>
      <c r="FS117" s="369"/>
      <c r="FT117" s="369"/>
      <c r="FU117" s="369"/>
      <c r="FV117" s="369"/>
      <c r="FW117" s="369"/>
      <c r="FX117" s="369"/>
      <c r="FY117" s="369"/>
      <c r="FZ117" s="369"/>
      <c r="GA117" s="369"/>
      <c r="GB117" s="369"/>
      <c r="GC117" s="369"/>
      <c r="GD117" s="369"/>
      <c r="GE117" s="369"/>
      <c r="GF117" s="369"/>
      <c r="GG117" s="369"/>
      <c r="GH117" s="369"/>
      <c r="GI117" s="369"/>
      <c r="GJ117" s="369"/>
      <c r="GK117" s="369"/>
      <c r="GL117" s="369"/>
      <c r="GM117" s="369"/>
      <c r="GN117" s="369"/>
      <c r="GO117" s="369"/>
      <c r="GP117" s="369"/>
      <c r="GQ117" s="369"/>
      <c r="GR117" s="369"/>
      <c r="GS117" s="369"/>
      <c r="GT117" s="369"/>
      <c r="GU117" s="369"/>
      <c r="GV117" s="369"/>
      <c r="GW117" s="369"/>
      <c r="GX117" s="369"/>
      <c r="GY117" s="369"/>
      <c r="GZ117" s="369"/>
      <c r="HA117" s="369"/>
      <c r="HB117" s="369"/>
      <c r="HC117" s="369"/>
      <c r="HD117" s="369"/>
      <c r="HE117" s="369"/>
      <c r="HF117" s="369"/>
      <c r="HG117" s="369"/>
      <c r="HH117" s="369"/>
      <c r="HI117" s="369"/>
      <c r="HJ117" s="369"/>
      <c r="HK117" s="369"/>
      <c r="HL117" s="369"/>
      <c r="HM117" s="369"/>
      <c r="HN117" s="369"/>
      <c r="HO117" s="369"/>
      <c r="HP117" s="369"/>
      <c r="HQ117" s="369"/>
      <c r="HR117" s="369"/>
      <c r="HS117" s="369"/>
      <c r="HT117" s="369"/>
      <c r="HU117" s="369"/>
      <c r="HV117" s="369"/>
      <c r="HW117" s="369"/>
      <c r="HX117" s="369"/>
      <c r="HY117" s="369"/>
      <c r="HZ117" s="369"/>
      <c r="IA117" s="369"/>
      <c r="IB117" s="369"/>
      <c r="IC117" s="369"/>
      <c r="ID117" s="369"/>
      <c r="IE117" s="369"/>
      <c r="IF117" s="369"/>
      <c r="IG117" s="369"/>
      <c r="IH117" s="369"/>
      <c r="II117" s="369"/>
      <c r="IJ117" s="369"/>
      <c r="IK117" s="369"/>
      <c r="IL117" s="369"/>
      <c r="IM117" s="369"/>
      <c r="IN117" s="369"/>
      <c r="IO117" s="369"/>
      <c r="IP117" s="369"/>
      <c r="IQ117" s="369"/>
      <c r="IR117" s="369"/>
      <c r="IS117" s="369"/>
      <c r="IT117" s="369"/>
      <c r="IU117" s="369"/>
      <c r="IV117" s="369"/>
      <c r="IW117" s="369"/>
      <c r="IX117" s="369"/>
      <c r="IY117" s="369"/>
      <c r="IZ117" s="369"/>
      <c r="JA117" s="369"/>
      <c r="JB117" s="369"/>
      <c r="JC117" s="369"/>
      <c r="JD117" s="369"/>
      <c r="JE117" s="369"/>
    </row>
    <row r="118" spans="1:265" s="588" customFormat="1" x14ac:dyDescent="0.2">
      <c r="A118" s="364" t="s">
        <v>3732</v>
      </c>
      <c r="B118" s="369"/>
      <c r="C118" s="370" t="s">
        <v>3925</v>
      </c>
      <c r="D118" s="369"/>
      <c r="E118" s="369" t="s">
        <v>4126</v>
      </c>
      <c r="F118" s="369"/>
      <c r="G118" s="364" t="s">
        <v>3897</v>
      </c>
      <c r="H118" s="602">
        <v>814002011984</v>
      </c>
      <c r="I118" s="369"/>
      <c r="J118" s="369"/>
      <c r="K118" s="420"/>
      <c r="L118" s="372" t="s">
        <v>975</v>
      </c>
      <c r="M118" s="367"/>
      <c r="N118" s="516">
        <v>34.99</v>
      </c>
      <c r="O118" s="369"/>
      <c r="P118" s="368">
        <v>10</v>
      </c>
      <c r="Q118" s="366">
        <f>0.3/16</f>
        <v>1.8749999999999999E-2</v>
      </c>
      <c r="R118" s="366">
        <v>19.5</v>
      </c>
      <c r="S118" s="366"/>
      <c r="U118" s="366">
        <v>0.03</v>
      </c>
      <c r="V118" s="366">
        <v>8</v>
      </c>
      <c r="W118" s="366">
        <v>4.8</v>
      </c>
      <c r="X118" s="366">
        <v>0.65</v>
      </c>
      <c r="Y118" s="589"/>
      <c r="Z118" s="369"/>
      <c r="AA118" s="369"/>
      <c r="AB118" s="590"/>
      <c r="AC118" s="373"/>
      <c r="AD118" s="369"/>
      <c r="AE118" s="369"/>
      <c r="AF118" s="590"/>
      <c r="AG118" s="373"/>
      <c r="AH118" s="369"/>
      <c r="AI118" s="369"/>
      <c r="AJ118" s="369"/>
      <c r="AK118" s="369"/>
      <c r="AL118" s="369"/>
      <c r="AM118" s="369"/>
      <c r="AN118" s="369"/>
      <c r="AO118" s="369"/>
      <c r="AP118" s="369"/>
      <c r="AQ118" s="369"/>
      <c r="AR118" s="369"/>
      <c r="AS118" s="369"/>
      <c r="AT118" s="369"/>
      <c r="AU118" s="369"/>
      <c r="AV118" s="369"/>
      <c r="AW118" s="369"/>
      <c r="AX118" s="369"/>
      <c r="AY118" s="369"/>
      <c r="AZ118" s="369"/>
      <c r="BA118" s="369"/>
      <c r="BB118" s="369"/>
      <c r="BC118" s="369"/>
      <c r="BD118" s="369"/>
      <c r="BE118" s="369"/>
      <c r="BF118" s="369"/>
      <c r="BG118" s="369"/>
      <c r="BH118" s="369"/>
      <c r="BI118" s="369"/>
      <c r="BJ118" s="369"/>
      <c r="BK118" s="369"/>
      <c r="BL118" s="369"/>
      <c r="BM118" s="369"/>
      <c r="BN118" s="369"/>
      <c r="BO118" s="369"/>
      <c r="BP118" s="369"/>
      <c r="BQ118" s="369"/>
      <c r="BR118" s="369"/>
      <c r="BS118" s="369"/>
      <c r="BT118" s="369"/>
      <c r="BU118" s="369"/>
      <c r="BV118" s="369"/>
      <c r="BW118" s="369"/>
      <c r="BX118" s="369"/>
      <c r="BY118" s="369"/>
      <c r="BZ118" s="369"/>
      <c r="CA118" s="369"/>
      <c r="CB118" s="369"/>
      <c r="CC118" s="369"/>
      <c r="CD118" s="369"/>
      <c r="CE118" s="369"/>
      <c r="CF118" s="369"/>
      <c r="CG118" s="369"/>
      <c r="CH118" s="369"/>
      <c r="CI118" s="369"/>
      <c r="CJ118" s="369"/>
      <c r="CK118" s="369"/>
      <c r="CL118" s="369"/>
      <c r="CM118" s="369"/>
      <c r="CN118" s="369"/>
      <c r="CO118" s="369"/>
      <c r="CP118" s="369"/>
      <c r="CQ118" s="369"/>
      <c r="CR118" s="369"/>
      <c r="CS118" s="369"/>
      <c r="CT118" s="369"/>
      <c r="CU118" s="369"/>
      <c r="CV118" s="369"/>
      <c r="CW118" s="369"/>
      <c r="CX118" s="369"/>
      <c r="CY118" s="369"/>
      <c r="CZ118" s="369"/>
      <c r="DA118" s="369"/>
      <c r="DB118" s="369"/>
      <c r="DC118" s="369"/>
      <c r="DD118" s="369"/>
      <c r="DE118" s="369"/>
      <c r="DF118" s="369"/>
      <c r="DG118" s="369"/>
      <c r="DH118" s="369"/>
      <c r="DI118" s="369"/>
      <c r="DJ118" s="369"/>
      <c r="DK118" s="369"/>
      <c r="DL118" s="369"/>
      <c r="DM118" s="369"/>
      <c r="DN118" s="369"/>
      <c r="DO118" s="369"/>
      <c r="DP118" s="369"/>
      <c r="DQ118" s="369"/>
      <c r="DR118" s="369"/>
      <c r="DS118" s="369"/>
      <c r="DT118" s="369"/>
      <c r="DU118" s="369"/>
      <c r="DV118" s="369"/>
      <c r="DW118" s="369"/>
      <c r="DX118" s="369"/>
      <c r="DY118" s="369"/>
      <c r="DZ118" s="369"/>
      <c r="EA118" s="369"/>
      <c r="EB118" s="369"/>
      <c r="EC118" s="369"/>
      <c r="ED118" s="369"/>
      <c r="EE118" s="369"/>
      <c r="EF118" s="369"/>
      <c r="EG118" s="369"/>
      <c r="EH118" s="369"/>
      <c r="EI118" s="369"/>
      <c r="EJ118" s="369"/>
      <c r="EK118" s="369"/>
      <c r="EL118" s="369"/>
      <c r="EM118" s="369"/>
      <c r="EN118" s="369"/>
      <c r="EO118" s="369"/>
      <c r="EP118" s="369"/>
      <c r="EQ118" s="369"/>
      <c r="ER118" s="369"/>
      <c r="ES118" s="369"/>
      <c r="ET118" s="369"/>
      <c r="EU118" s="369"/>
      <c r="EV118" s="369"/>
      <c r="EW118" s="369"/>
      <c r="EX118" s="369"/>
      <c r="EY118" s="369"/>
      <c r="EZ118" s="369"/>
      <c r="FA118" s="369"/>
      <c r="FB118" s="369"/>
      <c r="FC118" s="369"/>
      <c r="FD118" s="369"/>
      <c r="FE118" s="369"/>
      <c r="FF118" s="369"/>
      <c r="FG118" s="369"/>
      <c r="FH118" s="369"/>
      <c r="FI118" s="369"/>
      <c r="FJ118" s="369"/>
      <c r="FK118" s="369"/>
      <c r="FL118" s="369"/>
      <c r="FM118" s="369"/>
      <c r="FN118" s="369"/>
      <c r="FO118" s="369"/>
      <c r="FP118" s="369"/>
      <c r="FQ118" s="369"/>
      <c r="FR118" s="369"/>
      <c r="FS118" s="369"/>
      <c r="FT118" s="369"/>
      <c r="FU118" s="369"/>
      <c r="FV118" s="369"/>
      <c r="FW118" s="369"/>
      <c r="FX118" s="369"/>
      <c r="FY118" s="369"/>
      <c r="FZ118" s="369"/>
      <c r="GA118" s="369"/>
      <c r="GB118" s="369"/>
      <c r="GC118" s="369"/>
      <c r="GD118" s="369"/>
      <c r="GE118" s="369"/>
      <c r="GF118" s="369"/>
      <c r="GG118" s="369"/>
      <c r="GH118" s="369"/>
      <c r="GI118" s="369"/>
      <c r="GJ118" s="369"/>
      <c r="GK118" s="369"/>
      <c r="GL118" s="369"/>
      <c r="GM118" s="369"/>
      <c r="GN118" s="369"/>
      <c r="GO118" s="369"/>
      <c r="GP118" s="369"/>
      <c r="GQ118" s="369"/>
      <c r="GR118" s="369"/>
      <c r="GS118" s="369"/>
      <c r="GT118" s="369"/>
      <c r="GU118" s="369"/>
      <c r="GV118" s="369"/>
      <c r="GW118" s="369"/>
      <c r="GX118" s="369"/>
      <c r="GY118" s="369"/>
      <c r="GZ118" s="369"/>
      <c r="HA118" s="369"/>
      <c r="HB118" s="369"/>
      <c r="HC118" s="369"/>
      <c r="HD118" s="369"/>
      <c r="HE118" s="369"/>
      <c r="HF118" s="369"/>
      <c r="HG118" s="369"/>
      <c r="HH118" s="369"/>
      <c r="HI118" s="369"/>
      <c r="HJ118" s="369"/>
      <c r="HK118" s="369"/>
      <c r="HL118" s="369"/>
      <c r="HM118" s="369"/>
      <c r="HN118" s="369"/>
      <c r="HO118" s="369"/>
      <c r="HP118" s="369"/>
      <c r="HQ118" s="369"/>
      <c r="HR118" s="369"/>
      <c r="HS118" s="369"/>
      <c r="HT118" s="369"/>
      <c r="HU118" s="369"/>
      <c r="HV118" s="369"/>
      <c r="HW118" s="369"/>
      <c r="HX118" s="369"/>
      <c r="HY118" s="369"/>
      <c r="HZ118" s="369"/>
      <c r="IA118" s="369"/>
      <c r="IB118" s="369"/>
      <c r="IC118" s="369"/>
      <c r="ID118" s="369"/>
      <c r="IE118" s="369"/>
      <c r="IF118" s="369"/>
      <c r="IG118" s="369"/>
      <c r="IH118" s="369"/>
      <c r="II118" s="369"/>
      <c r="IJ118" s="369"/>
      <c r="IK118" s="369"/>
      <c r="IL118" s="369"/>
      <c r="IM118" s="369"/>
      <c r="IN118" s="369"/>
      <c r="IO118" s="369"/>
      <c r="IP118" s="369"/>
      <c r="IQ118" s="369"/>
      <c r="IR118" s="369"/>
      <c r="IS118" s="369"/>
      <c r="IT118" s="369"/>
      <c r="IU118" s="369"/>
      <c r="IV118" s="369"/>
      <c r="IW118" s="369"/>
      <c r="IX118" s="369"/>
      <c r="IY118" s="369"/>
      <c r="IZ118" s="369"/>
      <c r="JA118" s="369"/>
      <c r="JB118" s="369"/>
      <c r="JC118" s="369"/>
      <c r="JD118" s="369"/>
      <c r="JE118" s="369"/>
    </row>
    <row r="119" spans="1:265" s="588" customFormat="1" x14ac:dyDescent="0.2">
      <c r="A119" s="364" t="s">
        <v>3732</v>
      </c>
      <c r="B119" s="369"/>
      <c r="C119" s="370" t="s">
        <v>4127</v>
      </c>
      <c r="D119" s="369"/>
      <c r="E119" s="369" t="s">
        <v>4128</v>
      </c>
      <c r="F119" s="369"/>
      <c r="G119" s="364" t="s">
        <v>2557</v>
      </c>
      <c r="H119" s="602">
        <v>814002011595</v>
      </c>
      <c r="I119" s="369"/>
      <c r="J119" s="369"/>
      <c r="K119" s="420"/>
      <c r="L119" s="372" t="s">
        <v>975</v>
      </c>
      <c r="M119" s="367"/>
      <c r="N119" s="516">
        <v>14.99</v>
      </c>
      <c r="O119" s="369"/>
      <c r="P119" s="368">
        <v>10</v>
      </c>
      <c r="Q119" s="366">
        <f>0.8/16</f>
        <v>0.05</v>
      </c>
      <c r="R119" s="366">
        <v>1.5</v>
      </c>
      <c r="S119" s="366">
        <v>1.4</v>
      </c>
      <c r="T119" s="588">
        <v>0.44</v>
      </c>
      <c r="U119" s="366">
        <v>0.15</v>
      </c>
      <c r="V119" s="366">
        <v>1.81</v>
      </c>
      <c r="W119" s="366">
        <v>1.73</v>
      </c>
      <c r="X119" s="366">
        <v>0.79</v>
      </c>
      <c r="Y119" s="589"/>
      <c r="Z119" s="369"/>
      <c r="AA119" s="369"/>
      <c r="AB119" s="590"/>
      <c r="AC119" s="373"/>
      <c r="AD119" s="369"/>
      <c r="AE119" s="369"/>
      <c r="AF119" s="590"/>
      <c r="AG119" s="373"/>
      <c r="AH119" s="369"/>
      <c r="AI119" s="369"/>
      <c r="AJ119" s="369"/>
      <c r="AK119" s="369"/>
      <c r="AL119" s="369"/>
      <c r="AM119" s="369"/>
      <c r="AN119" s="369"/>
      <c r="AO119" s="369"/>
      <c r="AP119" s="369"/>
      <c r="AQ119" s="369"/>
      <c r="AR119" s="369"/>
      <c r="AS119" s="369"/>
      <c r="AT119" s="369"/>
      <c r="AU119" s="369"/>
      <c r="AV119" s="369"/>
      <c r="AW119" s="369"/>
      <c r="AX119" s="369"/>
      <c r="AY119" s="369"/>
      <c r="AZ119" s="369"/>
      <c r="BA119" s="369"/>
      <c r="BB119" s="369"/>
      <c r="BC119" s="369"/>
      <c r="BD119" s="369"/>
      <c r="BE119" s="369"/>
      <c r="BF119" s="369"/>
      <c r="BG119" s="369"/>
      <c r="BH119" s="369"/>
      <c r="BI119" s="369"/>
      <c r="BJ119" s="369"/>
      <c r="BK119" s="369"/>
      <c r="BL119" s="369"/>
      <c r="BM119" s="369"/>
      <c r="BN119" s="369"/>
      <c r="BO119" s="369"/>
      <c r="BP119" s="369"/>
      <c r="BQ119" s="369"/>
      <c r="BR119" s="369"/>
      <c r="BS119" s="369"/>
      <c r="BT119" s="369"/>
      <c r="BU119" s="369"/>
      <c r="BV119" s="369"/>
      <c r="BW119" s="369"/>
      <c r="BX119" s="369"/>
      <c r="BY119" s="369"/>
      <c r="BZ119" s="369"/>
      <c r="CA119" s="369"/>
      <c r="CB119" s="369"/>
      <c r="CC119" s="369"/>
      <c r="CD119" s="369"/>
      <c r="CE119" s="369"/>
      <c r="CF119" s="369"/>
      <c r="CG119" s="369"/>
      <c r="CH119" s="369"/>
      <c r="CI119" s="369"/>
      <c r="CJ119" s="369"/>
      <c r="CK119" s="369"/>
      <c r="CL119" s="369"/>
      <c r="CM119" s="369"/>
      <c r="CN119" s="369"/>
      <c r="CO119" s="369"/>
      <c r="CP119" s="369"/>
      <c r="CQ119" s="369"/>
      <c r="CR119" s="369"/>
      <c r="CS119" s="369"/>
      <c r="CT119" s="369"/>
      <c r="CU119" s="369"/>
      <c r="CV119" s="369"/>
      <c r="CW119" s="369"/>
      <c r="CX119" s="369"/>
      <c r="CY119" s="369"/>
      <c r="CZ119" s="369"/>
      <c r="DA119" s="369"/>
      <c r="DB119" s="369"/>
      <c r="DC119" s="369"/>
      <c r="DD119" s="369"/>
      <c r="DE119" s="369"/>
      <c r="DF119" s="369"/>
      <c r="DG119" s="369"/>
      <c r="DH119" s="369"/>
      <c r="DI119" s="369"/>
      <c r="DJ119" s="369"/>
      <c r="DK119" s="369"/>
      <c r="DL119" s="369"/>
      <c r="DM119" s="369"/>
      <c r="DN119" s="369"/>
      <c r="DO119" s="369"/>
      <c r="DP119" s="369"/>
      <c r="DQ119" s="369"/>
      <c r="DR119" s="369"/>
      <c r="DS119" s="369"/>
      <c r="DT119" s="369"/>
      <c r="DU119" s="369"/>
      <c r="DV119" s="369"/>
      <c r="DW119" s="369"/>
      <c r="DX119" s="369"/>
      <c r="DY119" s="369"/>
      <c r="DZ119" s="369"/>
      <c r="EA119" s="369"/>
      <c r="EB119" s="369"/>
      <c r="EC119" s="369"/>
      <c r="ED119" s="369"/>
      <c r="EE119" s="369"/>
      <c r="EF119" s="369"/>
      <c r="EG119" s="369"/>
      <c r="EH119" s="369"/>
      <c r="EI119" s="369"/>
      <c r="EJ119" s="369"/>
      <c r="EK119" s="369"/>
      <c r="EL119" s="369"/>
      <c r="EM119" s="369"/>
      <c r="EN119" s="369"/>
      <c r="EO119" s="369"/>
      <c r="EP119" s="369"/>
      <c r="EQ119" s="369"/>
      <c r="ER119" s="369"/>
      <c r="ES119" s="369"/>
      <c r="ET119" s="369"/>
      <c r="EU119" s="369"/>
      <c r="EV119" s="369"/>
      <c r="EW119" s="369"/>
      <c r="EX119" s="369"/>
      <c r="EY119" s="369"/>
      <c r="EZ119" s="369"/>
      <c r="FA119" s="369"/>
      <c r="FB119" s="369"/>
      <c r="FC119" s="369"/>
      <c r="FD119" s="369"/>
      <c r="FE119" s="369"/>
      <c r="FF119" s="369"/>
      <c r="FG119" s="369"/>
      <c r="FH119" s="369"/>
      <c r="FI119" s="369"/>
      <c r="FJ119" s="369"/>
      <c r="FK119" s="369"/>
      <c r="FL119" s="369"/>
      <c r="FM119" s="369"/>
      <c r="FN119" s="369"/>
      <c r="FO119" s="369"/>
      <c r="FP119" s="369"/>
      <c r="FQ119" s="369"/>
      <c r="FR119" s="369"/>
      <c r="FS119" s="369"/>
      <c r="FT119" s="369"/>
      <c r="FU119" s="369"/>
      <c r="FV119" s="369"/>
      <c r="FW119" s="369"/>
      <c r="FX119" s="369"/>
      <c r="FY119" s="369"/>
      <c r="FZ119" s="369"/>
      <c r="GA119" s="369"/>
      <c r="GB119" s="369"/>
      <c r="GC119" s="369"/>
      <c r="GD119" s="369"/>
      <c r="GE119" s="369"/>
      <c r="GF119" s="369"/>
      <c r="GG119" s="369"/>
      <c r="GH119" s="369"/>
      <c r="GI119" s="369"/>
      <c r="GJ119" s="369"/>
      <c r="GK119" s="369"/>
      <c r="GL119" s="369"/>
      <c r="GM119" s="369"/>
      <c r="GN119" s="369"/>
      <c r="GO119" s="369"/>
      <c r="GP119" s="369"/>
      <c r="GQ119" s="369"/>
      <c r="GR119" s="369"/>
      <c r="GS119" s="369"/>
      <c r="GT119" s="369"/>
      <c r="GU119" s="369"/>
      <c r="GV119" s="369"/>
      <c r="GW119" s="369"/>
      <c r="GX119" s="369"/>
      <c r="GY119" s="369"/>
      <c r="GZ119" s="369"/>
      <c r="HA119" s="369"/>
      <c r="HB119" s="369"/>
      <c r="HC119" s="369"/>
      <c r="HD119" s="369"/>
      <c r="HE119" s="369"/>
      <c r="HF119" s="369"/>
      <c r="HG119" s="369"/>
      <c r="HH119" s="369"/>
      <c r="HI119" s="369"/>
      <c r="HJ119" s="369"/>
      <c r="HK119" s="369"/>
      <c r="HL119" s="369"/>
      <c r="HM119" s="369"/>
      <c r="HN119" s="369"/>
      <c r="HO119" s="369"/>
      <c r="HP119" s="369"/>
      <c r="HQ119" s="369"/>
      <c r="HR119" s="369"/>
      <c r="HS119" s="369"/>
      <c r="HT119" s="369"/>
      <c r="HU119" s="369"/>
      <c r="HV119" s="369"/>
      <c r="HW119" s="369"/>
      <c r="HX119" s="369"/>
      <c r="HY119" s="369"/>
      <c r="HZ119" s="369"/>
      <c r="IA119" s="369"/>
      <c r="IB119" s="369"/>
      <c r="IC119" s="369"/>
      <c r="ID119" s="369"/>
      <c r="IE119" s="369"/>
      <c r="IF119" s="369"/>
      <c r="IG119" s="369"/>
      <c r="IH119" s="369"/>
      <c r="II119" s="369"/>
      <c r="IJ119" s="369"/>
      <c r="IK119" s="369"/>
      <c r="IL119" s="369"/>
      <c r="IM119" s="369"/>
      <c r="IN119" s="369"/>
      <c r="IO119" s="369"/>
      <c r="IP119" s="369"/>
      <c r="IQ119" s="369"/>
      <c r="IR119" s="369"/>
      <c r="IS119" s="369"/>
      <c r="IT119" s="369"/>
      <c r="IU119" s="369"/>
      <c r="IV119" s="369"/>
      <c r="IW119" s="369"/>
      <c r="IX119" s="369"/>
      <c r="IY119" s="369"/>
      <c r="IZ119" s="369"/>
      <c r="JA119" s="369"/>
      <c r="JB119" s="369"/>
      <c r="JC119" s="369"/>
      <c r="JD119" s="369"/>
      <c r="JE119" s="369"/>
    </row>
    <row r="120" spans="1:265" s="588" customFormat="1" x14ac:dyDescent="0.2">
      <c r="A120" s="364" t="s">
        <v>3732</v>
      </c>
      <c r="B120" s="369"/>
      <c r="C120" s="370" t="s">
        <v>4129</v>
      </c>
      <c r="D120" s="369"/>
      <c r="E120" s="369" t="s">
        <v>4130</v>
      </c>
      <c r="F120" s="369"/>
      <c r="G120" s="364" t="s">
        <v>4042</v>
      </c>
      <c r="H120" s="602">
        <v>814002010956</v>
      </c>
      <c r="I120" s="369"/>
      <c r="J120" s="369"/>
      <c r="K120" s="420"/>
      <c r="L120" s="372" t="s">
        <v>975</v>
      </c>
      <c r="M120" s="367"/>
      <c r="N120" s="516">
        <v>49.99</v>
      </c>
      <c r="O120" s="369"/>
      <c r="P120" s="368">
        <v>10</v>
      </c>
      <c r="Q120" s="366">
        <f>0.8/16</f>
        <v>0.05</v>
      </c>
      <c r="R120" s="366">
        <v>2.25</v>
      </c>
      <c r="S120" s="366">
        <v>2.25</v>
      </c>
      <c r="T120" s="588">
        <v>0.39</v>
      </c>
      <c r="U120" s="366">
        <v>0.3</v>
      </c>
      <c r="V120" s="366">
        <v>2</v>
      </c>
      <c r="W120" s="366">
        <v>2</v>
      </c>
      <c r="X120" s="366">
        <v>0.4</v>
      </c>
      <c r="Y120" s="589"/>
      <c r="Z120" s="369"/>
      <c r="AA120" s="369"/>
      <c r="AB120" s="590"/>
      <c r="AC120" s="373"/>
      <c r="AD120" s="369"/>
      <c r="AE120" s="369"/>
      <c r="AF120" s="590"/>
      <c r="AG120" s="373"/>
      <c r="AH120" s="369"/>
      <c r="AI120" s="369"/>
      <c r="AJ120" s="369"/>
      <c r="AK120" s="369"/>
      <c r="AL120" s="369"/>
      <c r="AM120" s="369"/>
      <c r="AN120" s="369"/>
      <c r="AO120" s="369"/>
      <c r="AP120" s="369"/>
      <c r="AQ120" s="369"/>
      <c r="AR120" s="369"/>
      <c r="AS120" s="369"/>
      <c r="AT120" s="369"/>
      <c r="AU120" s="369"/>
      <c r="AV120" s="369"/>
      <c r="AW120" s="369"/>
      <c r="AX120" s="369"/>
      <c r="AY120" s="369"/>
      <c r="AZ120" s="369"/>
      <c r="BA120" s="369"/>
      <c r="BB120" s="369"/>
      <c r="BC120" s="369"/>
      <c r="BD120" s="369"/>
      <c r="BE120" s="369"/>
      <c r="BF120" s="369"/>
      <c r="BG120" s="369"/>
      <c r="BH120" s="369"/>
      <c r="BI120" s="369"/>
      <c r="BJ120" s="369"/>
      <c r="BK120" s="369"/>
      <c r="BL120" s="369"/>
      <c r="BM120" s="369"/>
      <c r="BN120" s="369"/>
      <c r="BO120" s="369"/>
      <c r="BP120" s="369"/>
      <c r="BQ120" s="369"/>
      <c r="BR120" s="369"/>
      <c r="BS120" s="369"/>
      <c r="BT120" s="369"/>
      <c r="BU120" s="369"/>
      <c r="BV120" s="369"/>
      <c r="BW120" s="369"/>
      <c r="BX120" s="369"/>
      <c r="BY120" s="369"/>
      <c r="BZ120" s="369"/>
      <c r="CA120" s="369"/>
      <c r="CB120" s="369"/>
      <c r="CC120" s="369"/>
      <c r="CD120" s="369"/>
      <c r="CE120" s="369"/>
      <c r="CF120" s="369"/>
      <c r="CG120" s="369"/>
      <c r="CH120" s="369"/>
      <c r="CI120" s="369"/>
      <c r="CJ120" s="369"/>
      <c r="CK120" s="369"/>
      <c r="CL120" s="369"/>
      <c r="CM120" s="369"/>
      <c r="CN120" s="369"/>
      <c r="CO120" s="369"/>
      <c r="CP120" s="369"/>
      <c r="CQ120" s="369"/>
      <c r="CR120" s="369"/>
      <c r="CS120" s="369"/>
      <c r="CT120" s="369"/>
      <c r="CU120" s="369"/>
      <c r="CV120" s="369"/>
      <c r="CW120" s="369"/>
      <c r="CX120" s="369"/>
      <c r="CY120" s="369"/>
      <c r="CZ120" s="369"/>
      <c r="DA120" s="369"/>
      <c r="DB120" s="369"/>
      <c r="DC120" s="369"/>
      <c r="DD120" s="369"/>
      <c r="DE120" s="369"/>
      <c r="DF120" s="369"/>
      <c r="DG120" s="369"/>
      <c r="DH120" s="369"/>
      <c r="DI120" s="369"/>
      <c r="DJ120" s="369"/>
      <c r="DK120" s="369"/>
      <c r="DL120" s="369"/>
      <c r="DM120" s="369"/>
      <c r="DN120" s="369"/>
      <c r="DO120" s="369"/>
      <c r="DP120" s="369"/>
      <c r="DQ120" s="369"/>
      <c r="DR120" s="369"/>
      <c r="DS120" s="369"/>
      <c r="DT120" s="369"/>
      <c r="DU120" s="369"/>
      <c r="DV120" s="369"/>
      <c r="DW120" s="369"/>
      <c r="DX120" s="369"/>
      <c r="DY120" s="369"/>
      <c r="DZ120" s="369"/>
      <c r="EA120" s="369"/>
      <c r="EB120" s="369"/>
      <c r="EC120" s="369"/>
      <c r="ED120" s="369"/>
      <c r="EE120" s="369"/>
      <c r="EF120" s="369"/>
      <c r="EG120" s="369"/>
      <c r="EH120" s="369"/>
      <c r="EI120" s="369"/>
      <c r="EJ120" s="369"/>
      <c r="EK120" s="369"/>
      <c r="EL120" s="369"/>
      <c r="EM120" s="369"/>
      <c r="EN120" s="369"/>
      <c r="EO120" s="369"/>
      <c r="EP120" s="369"/>
      <c r="EQ120" s="369"/>
      <c r="ER120" s="369"/>
      <c r="ES120" s="369"/>
      <c r="ET120" s="369"/>
      <c r="EU120" s="369"/>
      <c r="EV120" s="369"/>
      <c r="EW120" s="369"/>
      <c r="EX120" s="369"/>
      <c r="EY120" s="369"/>
      <c r="EZ120" s="369"/>
      <c r="FA120" s="369"/>
      <c r="FB120" s="369"/>
      <c r="FC120" s="369"/>
      <c r="FD120" s="369"/>
      <c r="FE120" s="369"/>
      <c r="FF120" s="369"/>
      <c r="FG120" s="369"/>
      <c r="FH120" s="369"/>
      <c r="FI120" s="369"/>
      <c r="FJ120" s="369"/>
      <c r="FK120" s="369"/>
      <c r="FL120" s="369"/>
      <c r="FM120" s="369"/>
      <c r="FN120" s="369"/>
      <c r="FO120" s="369"/>
      <c r="FP120" s="369"/>
      <c r="FQ120" s="369"/>
      <c r="FR120" s="369"/>
      <c r="FS120" s="369"/>
      <c r="FT120" s="369"/>
      <c r="FU120" s="369"/>
      <c r="FV120" s="369"/>
      <c r="FW120" s="369"/>
      <c r="FX120" s="369"/>
      <c r="FY120" s="369"/>
      <c r="FZ120" s="369"/>
      <c r="GA120" s="369"/>
      <c r="GB120" s="369"/>
      <c r="GC120" s="369"/>
      <c r="GD120" s="369"/>
      <c r="GE120" s="369"/>
      <c r="GF120" s="369"/>
      <c r="GG120" s="369"/>
      <c r="GH120" s="369"/>
      <c r="GI120" s="369"/>
      <c r="GJ120" s="369"/>
      <c r="GK120" s="369"/>
      <c r="GL120" s="369"/>
      <c r="GM120" s="369"/>
      <c r="GN120" s="369"/>
      <c r="GO120" s="369"/>
      <c r="GP120" s="369"/>
      <c r="GQ120" s="369"/>
      <c r="GR120" s="369"/>
      <c r="GS120" s="369"/>
      <c r="GT120" s="369"/>
      <c r="GU120" s="369"/>
      <c r="GV120" s="369"/>
      <c r="GW120" s="369"/>
      <c r="GX120" s="369"/>
      <c r="GY120" s="369"/>
      <c r="GZ120" s="369"/>
      <c r="HA120" s="369"/>
      <c r="HB120" s="369"/>
      <c r="HC120" s="369"/>
      <c r="HD120" s="369"/>
      <c r="HE120" s="369"/>
      <c r="HF120" s="369"/>
      <c r="HG120" s="369"/>
      <c r="HH120" s="369"/>
      <c r="HI120" s="369"/>
      <c r="HJ120" s="369"/>
      <c r="HK120" s="369"/>
      <c r="HL120" s="369"/>
      <c r="HM120" s="369"/>
      <c r="HN120" s="369"/>
      <c r="HO120" s="369"/>
      <c r="HP120" s="369"/>
      <c r="HQ120" s="369"/>
      <c r="HR120" s="369"/>
      <c r="HS120" s="369"/>
      <c r="HT120" s="369"/>
      <c r="HU120" s="369"/>
      <c r="HV120" s="369"/>
      <c r="HW120" s="369"/>
      <c r="HX120" s="369"/>
      <c r="HY120" s="369"/>
      <c r="HZ120" s="369"/>
      <c r="IA120" s="369"/>
      <c r="IB120" s="369"/>
      <c r="IC120" s="369"/>
      <c r="ID120" s="369"/>
      <c r="IE120" s="369"/>
      <c r="IF120" s="369"/>
      <c r="IG120" s="369"/>
      <c r="IH120" s="369"/>
      <c r="II120" s="369"/>
      <c r="IJ120" s="369"/>
      <c r="IK120" s="369"/>
      <c r="IL120" s="369"/>
      <c r="IM120" s="369"/>
      <c r="IN120" s="369"/>
      <c r="IO120" s="369"/>
      <c r="IP120" s="369"/>
      <c r="IQ120" s="369"/>
      <c r="IR120" s="369"/>
      <c r="IS120" s="369"/>
      <c r="IT120" s="369"/>
      <c r="IU120" s="369"/>
      <c r="IV120" s="369"/>
      <c r="IW120" s="369"/>
      <c r="IX120" s="369"/>
      <c r="IY120" s="369"/>
      <c r="IZ120" s="369"/>
      <c r="JA120" s="369"/>
      <c r="JB120" s="369"/>
      <c r="JC120" s="369"/>
      <c r="JD120" s="369"/>
      <c r="JE120" s="369"/>
    </row>
    <row r="121" spans="1:265" s="588" customFormat="1" x14ac:dyDescent="0.2">
      <c r="A121" s="364" t="s">
        <v>3732</v>
      </c>
      <c r="B121" s="369"/>
      <c r="C121" s="370" t="s">
        <v>4131</v>
      </c>
      <c r="D121" s="369"/>
      <c r="E121" s="369" t="s">
        <v>4132</v>
      </c>
      <c r="F121" s="369"/>
      <c r="G121" s="364" t="s">
        <v>4042</v>
      </c>
      <c r="H121" s="602">
        <v>814002011199</v>
      </c>
      <c r="I121" s="369"/>
      <c r="J121" s="369"/>
      <c r="K121" s="420"/>
      <c r="L121" s="372" t="s">
        <v>975</v>
      </c>
      <c r="M121" s="367"/>
      <c r="N121" s="516">
        <v>16.989999999999998</v>
      </c>
      <c r="O121" s="369"/>
      <c r="P121" s="368">
        <v>10</v>
      </c>
      <c r="Q121" s="366">
        <f>0.64/16</f>
        <v>0.04</v>
      </c>
      <c r="R121" s="366">
        <v>2.25</v>
      </c>
      <c r="S121" s="366">
        <v>2.25</v>
      </c>
      <c r="T121" s="588">
        <v>0.39</v>
      </c>
      <c r="U121" s="366">
        <v>0.06</v>
      </c>
      <c r="V121" s="366">
        <v>5.9</v>
      </c>
      <c r="W121" s="366">
        <v>3.5</v>
      </c>
      <c r="X121" s="366">
        <v>0.39</v>
      </c>
      <c r="Y121" s="589"/>
      <c r="Z121" s="369"/>
      <c r="AA121" s="369"/>
      <c r="AB121" s="590"/>
      <c r="AC121" s="373"/>
      <c r="AD121" s="369"/>
      <c r="AE121" s="369"/>
      <c r="AF121" s="590"/>
      <c r="AG121" s="373"/>
      <c r="AH121" s="369"/>
      <c r="AI121" s="369"/>
      <c r="AJ121" s="369"/>
      <c r="AK121" s="369"/>
      <c r="AL121" s="369"/>
      <c r="AM121" s="369"/>
      <c r="AN121" s="369"/>
      <c r="AO121" s="369"/>
      <c r="AP121" s="369"/>
      <c r="AQ121" s="369"/>
      <c r="AR121" s="369"/>
      <c r="AS121" s="369"/>
      <c r="AT121" s="369"/>
      <c r="AU121" s="369"/>
      <c r="AV121" s="369"/>
      <c r="AW121" s="369"/>
      <c r="AX121" s="369"/>
      <c r="AY121" s="369"/>
      <c r="AZ121" s="369"/>
      <c r="BA121" s="369"/>
      <c r="BB121" s="369"/>
      <c r="BC121" s="369"/>
      <c r="BD121" s="369"/>
      <c r="BE121" s="369"/>
      <c r="BF121" s="369"/>
      <c r="BG121" s="369"/>
      <c r="BH121" s="369"/>
      <c r="BI121" s="369"/>
      <c r="BJ121" s="369"/>
      <c r="BK121" s="369"/>
      <c r="BL121" s="369"/>
      <c r="BM121" s="369"/>
      <c r="BN121" s="369"/>
      <c r="BO121" s="369"/>
      <c r="BP121" s="369"/>
      <c r="BQ121" s="369"/>
      <c r="BR121" s="369"/>
      <c r="BS121" s="369"/>
      <c r="BT121" s="369"/>
      <c r="BU121" s="369"/>
      <c r="BV121" s="369"/>
      <c r="BW121" s="369"/>
      <c r="BX121" s="369"/>
      <c r="BY121" s="369"/>
      <c r="BZ121" s="369"/>
      <c r="CA121" s="369"/>
      <c r="CB121" s="369"/>
      <c r="CC121" s="369"/>
      <c r="CD121" s="369"/>
      <c r="CE121" s="369"/>
      <c r="CF121" s="369"/>
      <c r="CG121" s="369"/>
      <c r="CH121" s="369"/>
      <c r="CI121" s="369"/>
      <c r="CJ121" s="369"/>
      <c r="CK121" s="369"/>
      <c r="CL121" s="369"/>
      <c r="CM121" s="369"/>
      <c r="CN121" s="369"/>
      <c r="CO121" s="369"/>
      <c r="CP121" s="369"/>
      <c r="CQ121" s="369"/>
      <c r="CR121" s="369"/>
      <c r="CS121" s="369"/>
      <c r="CT121" s="369"/>
      <c r="CU121" s="369"/>
      <c r="CV121" s="369"/>
      <c r="CW121" s="369"/>
      <c r="CX121" s="369"/>
      <c r="CY121" s="369"/>
      <c r="CZ121" s="369"/>
      <c r="DA121" s="369"/>
      <c r="DB121" s="369"/>
      <c r="DC121" s="369"/>
      <c r="DD121" s="369"/>
      <c r="DE121" s="369"/>
      <c r="DF121" s="369"/>
      <c r="DG121" s="369"/>
      <c r="DH121" s="369"/>
      <c r="DI121" s="369"/>
      <c r="DJ121" s="369"/>
      <c r="DK121" s="369"/>
      <c r="DL121" s="369"/>
      <c r="DM121" s="369"/>
      <c r="DN121" s="369"/>
      <c r="DO121" s="369"/>
      <c r="DP121" s="369"/>
      <c r="DQ121" s="369"/>
      <c r="DR121" s="369"/>
      <c r="DS121" s="369"/>
      <c r="DT121" s="369"/>
      <c r="DU121" s="369"/>
      <c r="DV121" s="369"/>
      <c r="DW121" s="369"/>
      <c r="DX121" s="369"/>
      <c r="DY121" s="369"/>
      <c r="DZ121" s="369"/>
      <c r="EA121" s="369"/>
      <c r="EB121" s="369"/>
      <c r="EC121" s="369"/>
      <c r="ED121" s="369"/>
      <c r="EE121" s="369"/>
      <c r="EF121" s="369"/>
      <c r="EG121" s="369"/>
      <c r="EH121" s="369"/>
      <c r="EI121" s="369"/>
      <c r="EJ121" s="369"/>
      <c r="EK121" s="369"/>
      <c r="EL121" s="369"/>
      <c r="EM121" s="369"/>
      <c r="EN121" s="369"/>
      <c r="EO121" s="369"/>
      <c r="EP121" s="369"/>
      <c r="EQ121" s="369"/>
      <c r="ER121" s="369"/>
      <c r="ES121" s="369"/>
      <c r="ET121" s="369"/>
      <c r="EU121" s="369"/>
      <c r="EV121" s="369"/>
      <c r="EW121" s="369"/>
      <c r="EX121" s="369"/>
      <c r="EY121" s="369"/>
      <c r="EZ121" s="369"/>
      <c r="FA121" s="369"/>
      <c r="FB121" s="369"/>
      <c r="FC121" s="369"/>
      <c r="FD121" s="369"/>
      <c r="FE121" s="369"/>
      <c r="FF121" s="369"/>
      <c r="FG121" s="369"/>
      <c r="FH121" s="369"/>
      <c r="FI121" s="369"/>
      <c r="FJ121" s="369"/>
      <c r="FK121" s="369"/>
      <c r="FL121" s="369"/>
      <c r="FM121" s="369"/>
      <c r="FN121" s="369"/>
      <c r="FO121" s="369"/>
      <c r="FP121" s="369"/>
      <c r="FQ121" s="369"/>
      <c r="FR121" s="369"/>
      <c r="FS121" s="369"/>
      <c r="FT121" s="369"/>
      <c r="FU121" s="369"/>
      <c r="FV121" s="369"/>
      <c r="FW121" s="369"/>
      <c r="FX121" s="369"/>
      <c r="FY121" s="369"/>
      <c r="FZ121" s="369"/>
      <c r="GA121" s="369"/>
      <c r="GB121" s="369"/>
      <c r="GC121" s="369"/>
      <c r="GD121" s="369"/>
      <c r="GE121" s="369"/>
      <c r="GF121" s="369"/>
      <c r="GG121" s="369"/>
      <c r="GH121" s="369"/>
      <c r="GI121" s="369"/>
      <c r="GJ121" s="369"/>
      <c r="GK121" s="369"/>
      <c r="GL121" s="369"/>
      <c r="GM121" s="369"/>
      <c r="GN121" s="369"/>
      <c r="GO121" s="369"/>
      <c r="GP121" s="369"/>
      <c r="GQ121" s="369"/>
      <c r="GR121" s="369"/>
      <c r="GS121" s="369"/>
      <c r="GT121" s="369"/>
      <c r="GU121" s="369"/>
      <c r="GV121" s="369"/>
      <c r="GW121" s="369"/>
      <c r="GX121" s="369"/>
      <c r="GY121" s="369"/>
      <c r="GZ121" s="369"/>
      <c r="HA121" s="369"/>
      <c r="HB121" s="369"/>
      <c r="HC121" s="369"/>
      <c r="HD121" s="369"/>
      <c r="HE121" s="369"/>
      <c r="HF121" s="369"/>
      <c r="HG121" s="369"/>
      <c r="HH121" s="369"/>
      <c r="HI121" s="369"/>
      <c r="HJ121" s="369"/>
      <c r="HK121" s="369"/>
      <c r="HL121" s="369"/>
      <c r="HM121" s="369"/>
      <c r="HN121" s="369"/>
      <c r="HO121" s="369"/>
      <c r="HP121" s="369"/>
      <c r="HQ121" s="369"/>
      <c r="HR121" s="369"/>
      <c r="HS121" s="369"/>
      <c r="HT121" s="369"/>
      <c r="HU121" s="369"/>
      <c r="HV121" s="369"/>
      <c r="HW121" s="369"/>
      <c r="HX121" s="369"/>
      <c r="HY121" s="369"/>
      <c r="HZ121" s="369"/>
      <c r="IA121" s="369"/>
      <c r="IB121" s="369"/>
      <c r="IC121" s="369"/>
      <c r="ID121" s="369"/>
      <c r="IE121" s="369"/>
      <c r="IF121" s="369"/>
      <c r="IG121" s="369"/>
      <c r="IH121" s="369"/>
      <c r="II121" s="369"/>
      <c r="IJ121" s="369"/>
      <c r="IK121" s="369"/>
      <c r="IL121" s="369"/>
      <c r="IM121" s="369"/>
      <c r="IN121" s="369"/>
      <c r="IO121" s="369"/>
      <c r="IP121" s="369"/>
      <c r="IQ121" s="369"/>
      <c r="IR121" s="369"/>
      <c r="IS121" s="369"/>
      <c r="IT121" s="369"/>
      <c r="IU121" s="369"/>
      <c r="IV121" s="369"/>
      <c r="IW121" s="369"/>
      <c r="IX121" s="369"/>
      <c r="IY121" s="369"/>
      <c r="IZ121" s="369"/>
      <c r="JA121" s="369"/>
      <c r="JB121" s="369"/>
      <c r="JC121" s="369"/>
      <c r="JD121" s="369"/>
      <c r="JE121" s="369"/>
    </row>
    <row r="122" spans="1:265" s="588" customFormat="1" x14ac:dyDescent="0.2">
      <c r="A122" s="364" t="s">
        <v>3732</v>
      </c>
      <c r="B122" s="369"/>
      <c r="C122" s="370" t="s">
        <v>4133</v>
      </c>
      <c r="D122" s="369"/>
      <c r="E122" s="369" t="s">
        <v>4134</v>
      </c>
      <c r="F122" s="369"/>
      <c r="G122" s="364" t="s">
        <v>2557</v>
      </c>
      <c r="H122" s="608">
        <v>814002011342</v>
      </c>
      <c r="I122" s="369"/>
      <c r="J122" s="369"/>
      <c r="K122" s="420"/>
      <c r="L122" s="372" t="s">
        <v>975</v>
      </c>
      <c r="M122" s="367"/>
      <c r="N122" s="516">
        <v>59.99</v>
      </c>
      <c r="O122" s="369"/>
      <c r="P122" s="368">
        <v>10</v>
      </c>
      <c r="Q122" s="366">
        <f>2.5/16</f>
        <v>0.15625</v>
      </c>
      <c r="R122" s="366">
        <v>0.75</v>
      </c>
      <c r="S122" s="366">
        <v>0.75</v>
      </c>
      <c r="T122" s="588">
        <v>2.7</v>
      </c>
      <c r="U122" s="366">
        <v>0.15</v>
      </c>
      <c r="V122" s="366">
        <v>3.2</v>
      </c>
      <c r="W122" s="366">
        <v>3.2</v>
      </c>
      <c r="X122" s="366">
        <v>1</v>
      </c>
      <c r="Y122" s="589"/>
      <c r="Z122" s="369"/>
      <c r="AA122" s="369"/>
      <c r="AB122" s="590"/>
      <c r="AC122" s="373"/>
      <c r="AD122" s="369"/>
      <c r="AE122" s="369"/>
      <c r="AF122" s="590"/>
      <c r="AG122" s="373"/>
      <c r="AH122" s="369"/>
      <c r="AI122" s="369"/>
      <c r="AJ122" s="369"/>
      <c r="AK122" s="369"/>
      <c r="AL122" s="369"/>
      <c r="AM122" s="369"/>
      <c r="AN122" s="369"/>
      <c r="AO122" s="369"/>
      <c r="AP122" s="369"/>
      <c r="AQ122" s="369"/>
      <c r="AR122" s="369"/>
      <c r="AS122" s="369"/>
      <c r="AT122" s="369"/>
      <c r="AU122" s="369"/>
      <c r="AV122" s="369"/>
      <c r="AW122" s="369"/>
      <c r="AX122" s="369"/>
      <c r="AY122" s="369"/>
      <c r="AZ122" s="369"/>
      <c r="BA122" s="369"/>
      <c r="BB122" s="369"/>
      <c r="BC122" s="369"/>
      <c r="BD122" s="369"/>
      <c r="BE122" s="369"/>
      <c r="BF122" s="369"/>
      <c r="BG122" s="369"/>
      <c r="BH122" s="369"/>
      <c r="BI122" s="369"/>
      <c r="BJ122" s="369"/>
      <c r="BK122" s="369"/>
      <c r="BL122" s="369"/>
      <c r="BM122" s="369"/>
      <c r="BN122" s="369"/>
      <c r="BO122" s="369"/>
      <c r="BP122" s="369"/>
      <c r="BQ122" s="369"/>
      <c r="BR122" s="369"/>
      <c r="BS122" s="369"/>
      <c r="BT122" s="369"/>
      <c r="BU122" s="369"/>
      <c r="BV122" s="369"/>
      <c r="BW122" s="369"/>
      <c r="BX122" s="369"/>
      <c r="BY122" s="369"/>
      <c r="BZ122" s="369"/>
      <c r="CA122" s="369"/>
      <c r="CB122" s="369"/>
      <c r="CC122" s="369"/>
      <c r="CD122" s="369"/>
      <c r="CE122" s="369"/>
      <c r="CF122" s="369"/>
      <c r="CG122" s="369"/>
      <c r="CH122" s="369"/>
      <c r="CI122" s="369"/>
      <c r="CJ122" s="369"/>
      <c r="CK122" s="369"/>
      <c r="CL122" s="369"/>
      <c r="CM122" s="369"/>
      <c r="CN122" s="369"/>
      <c r="CO122" s="369"/>
      <c r="CP122" s="369"/>
      <c r="CQ122" s="369"/>
      <c r="CR122" s="369"/>
      <c r="CS122" s="369"/>
      <c r="CT122" s="369"/>
      <c r="CU122" s="369"/>
      <c r="CV122" s="369"/>
      <c r="CW122" s="369"/>
      <c r="CX122" s="369"/>
      <c r="CY122" s="369"/>
      <c r="CZ122" s="369"/>
      <c r="DA122" s="369"/>
      <c r="DB122" s="369"/>
      <c r="DC122" s="369"/>
      <c r="DD122" s="369"/>
      <c r="DE122" s="369"/>
      <c r="DF122" s="369"/>
      <c r="DG122" s="369"/>
      <c r="DH122" s="369"/>
      <c r="DI122" s="369"/>
      <c r="DJ122" s="369"/>
      <c r="DK122" s="369"/>
      <c r="DL122" s="369"/>
      <c r="DM122" s="369"/>
      <c r="DN122" s="369"/>
      <c r="DO122" s="369"/>
      <c r="DP122" s="369"/>
      <c r="DQ122" s="369"/>
      <c r="DR122" s="369"/>
      <c r="DS122" s="369"/>
      <c r="DT122" s="369"/>
      <c r="DU122" s="369"/>
      <c r="DV122" s="369"/>
      <c r="DW122" s="369"/>
      <c r="DX122" s="369"/>
      <c r="DY122" s="369"/>
      <c r="DZ122" s="369"/>
      <c r="EA122" s="369"/>
      <c r="EB122" s="369"/>
      <c r="EC122" s="369"/>
      <c r="ED122" s="369"/>
      <c r="EE122" s="369"/>
      <c r="EF122" s="369"/>
      <c r="EG122" s="369"/>
      <c r="EH122" s="369"/>
      <c r="EI122" s="369"/>
      <c r="EJ122" s="369"/>
      <c r="EK122" s="369"/>
      <c r="EL122" s="369"/>
      <c r="EM122" s="369"/>
      <c r="EN122" s="369"/>
      <c r="EO122" s="369"/>
      <c r="EP122" s="369"/>
      <c r="EQ122" s="369"/>
      <c r="ER122" s="369"/>
      <c r="ES122" s="369"/>
      <c r="ET122" s="369"/>
      <c r="EU122" s="369"/>
      <c r="EV122" s="369"/>
      <c r="EW122" s="369"/>
      <c r="EX122" s="369"/>
      <c r="EY122" s="369"/>
      <c r="EZ122" s="369"/>
      <c r="FA122" s="369"/>
      <c r="FB122" s="369"/>
      <c r="FC122" s="369"/>
      <c r="FD122" s="369"/>
      <c r="FE122" s="369"/>
      <c r="FF122" s="369"/>
      <c r="FG122" s="369"/>
      <c r="FH122" s="369"/>
      <c r="FI122" s="369"/>
      <c r="FJ122" s="369"/>
      <c r="FK122" s="369"/>
      <c r="FL122" s="369"/>
      <c r="FM122" s="369"/>
      <c r="FN122" s="369"/>
      <c r="FO122" s="369"/>
      <c r="FP122" s="369"/>
      <c r="FQ122" s="369"/>
      <c r="FR122" s="369"/>
      <c r="FS122" s="369"/>
      <c r="FT122" s="369"/>
      <c r="FU122" s="369"/>
      <c r="FV122" s="369"/>
      <c r="FW122" s="369"/>
      <c r="FX122" s="369"/>
      <c r="FY122" s="369"/>
      <c r="FZ122" s="369"/>
      <c r="GA122" s="369"/>
      <c r="GB122" s="369"/>
      <c r="GC122" s="369"/>
      <c r="GD122" s="369"/>
      <c r="GE122" s="369"/>
      <c r="GF122" s="369"/>
      <c r="GG122" s="369"/>
      <c r="GH122" s="369"/>
      <c r="GI122" s="369"/>
      <c r="GJ122" s="369"/>
      <c r="GK122" s="369"/>
      <c r="GL122" s="369"/>
      <c r="GM122" s="369"/>
      <c r="GN122" s="369"/>
      <c r="GO122" s="369"/>
      <c r="GP122" s="369"/>
      <c r="GQ122" s="369"/>
      <c r="GR122" s="369"/>
      <c r="GS122" s="369"/>
      <c r="GT122" s="369"/>
      <c r="GU122" s="369"/>
      <c r="GV122" s="369"/>
      <c r="GW122" s="369"/>
      <c r="GX122" s="369"/>
      <c r="GY122" s="369"/>
      <c r="GZ122" s="369"/>
      <c r="HA122" s="369"/>
      <c r="HB122" s="369"/>
      <c r="HC122" s="369"/>
      <c r="HD122" s="369"/>
      <c r="HE122" s="369"/>
      <c r="HF122" s="369"/>
      <c r="HG122" s="369"/>
      <c r="HH122" s="369"/>
      <c r="HI122" s="369"/>
      <c r="HJ122" s="369"/>
      <c r="HK122" s="369"/>
      <c r="HL122" s="369"/>
      <c r="HM122" s="369"/>
      <c r="HN122" s="369"/>
      <c r="HO122" s="369"/>
      <c r="HP122" s="369"/>
      <c r="HQ122" s="369"/>
      <c r="HR122" s="369"/>
      <c r="HS122" s="369"/>
      <c r="HT122" s="369"/>
      <c r="HU122" s="369"/>
      <c r="HV122" s="369"/>
      <c r="HW122" s="369"/>
      <c r="HX122" s="369"/>
      <c r="HY122" s="369"/>
      <c r="HZ122" s="369"/>
      <c r="IA122" s="369"/>
      <c r="IB122" s="369"/>
      <c r="IC122" s="369"/>
      <c r="ID122" s="369"/>
      <c r="IE122" s="369"/>
      <c r="IF122" s="369"/>
      <c r="IG122" s="369"/>
      <c r="IH122" s="369"/>
      <c r="II122" s="369"/>
      <c r="IJ122" s="369"/>
      <c r="IK122" s="369"/>
      <c r="IL122" s="369"/>
      <c r="IM122" s="369"/>
      <c r="IN122" s="369"/>
      <c r="IO122" s="369"/>
      <c r="IP122" s="369"/>
      <c r="IQ122" s="369"/>
      <c r="IR122" s="369"/>
      <c r="IS122" s="369"/>
      <c r="IT122" s="369"/>
      <c r="IU122" s="369"/>
      <c r="IV122" s="369"/>
      <c r="IW122" s="369"/>
      <c r="IX122" s="369"/>
      <c r="IY122" s="369"/>
      <c r="IZ122" s="369"/>
      <c r="JA122" s="369"/>
      <c r="JB122" s="369"/>
      <c r="JC122" s="369"/>
      <c r="JD122" s="369"/>
      <c r="JE122" s="369"/>
    </row>
    <row r="123" spans="1:265" s="588" customFormat="1" x14ac:dyDescent="0.2">
      <c r="A123" s="364" t="s">
        <v>3732</v>
      </c>
      <c r="B123" s="369"/>
      <c r="C123" s="370" t="s">
        <v>4135</v>
      </c>
      <c r="D123" s="369"/>
      <c r="E123" s="369" t="s">
        <v>4136</v>
      </c>
      <c r="F123" s="369"/>
      <c r="G123" s="364" t="s">
        <v>4042</v>
      </c>
      <c r="H123" s="608">
        <v>814002011465</v>
      </c>
      <c r="I123" s="369"/>
      <c r="J123" s="369"/>
      <c r="K123" s="420"/>
      <c r="L123" s="372" t="s">
        <v>975</v>
      </c>
      <c r="M123" s="367"/>
      <c r="N123" s="516">
        <v>64.989999999999995</v>
      </c>
      <c r="O123" s="369"/>
      <c r="P123" s="368">
        <v>10</v>
      </c>
      <c r="Q123" s="366">
        <f>1/16</f>
        <v>6.25E-2</v>
      </c>
      <c r="R123" s="366">
        <v>2.7</v>
      </c>
      <c r="S123" s="366">
        <v>2.7</v>
      </c>
      <c r="T123" s="588">
        <v>0.39</v>
      </c>
      <c r="U123" s="366">
        <v>0.1</v>
      </c>
      <c r="V123" s="366">
        <v>3.4</v>
      </c>
      <c r="W123" s="366">
        <v>3.3</v>
      </c>
      <c r="X123" s="366">
        <v>0.4</v>
      </c>
      <c r="Y123" s="589"/>
      <c r="Z123" s="369"/>
      <c r="AA123" s="369"/>
      <c r="AB123" s="590"/>
      <c r="AC123" s="373"/>
      <c r="AD123" s="369"/>
      <c r="AE123" s="369"/>
      <c r="AF123" s="590"/>
      <c r="AG123" s="373"/>
      <c r="AH123" s="369"/>
      <c r="AI123" s="369"/>
      <c r="AJ123" s="369"/>
      <c r="AK123" s="369"/>
      <c r="AL123" s="369"/>
      <c r="AM123" s="369"/>
      <c r="AN123" s="369"/>
      <c r="AO123" s="369"/>
      <c r="AP123" s="369"/>
      <c r="AQ123" s="369"/>
      <c r="AR123" s="369"/>
      <c r="AS123" s="369"/>
      <c r="AT123" s="369"/>
      <c r="AU123" s="369"/>
      <c r="AV123" s="369"/>
      <c r="AW123" s="369"/>
      <c r="AX123" s="369"/>
      <c r="AY123" s="369"/>
      <c r="AZ123" s="369"/>
      <c r="BA123" s="369"/>
      <c r="BB123" s="369"/>
      <c r="BC123" s="369"/>
      <c r="BD123" s="369"/>
      <c r="BE123" s="369"/>
      <c r="BF123" s="369"/>
      <c r="BG123" s="369"/>
      <c r="BH123" s="369"/>
      <c r="BI123" s="369"/>
      <c r="BJ123" s="369"/>
      <c r="BK123" s="369"/>
      <c r="BL123" s="369"/>
      <c r="BM123" s="369"/>
      <c r="BN123" s="369"/>
      <c r="BO123" s="369"/>
      <c r="BP123" s="369"/>
      <c r="BQ123" s="369"/>
      <c r="BR123" s="369"/>
      <c r="BS123" s="369"/>
      <c r="BT123" s="369"/>
      <c r="BU123" s="369"/>
      <c r="BV123" s="369"/>
      <c r="BW123" s="369"/>
      <c r="BX123" s="369"/>
      <c r="BY123" s="369"/>
      <c r="BZ123" s="369"/>
      <c r="CA123" s="369"/>
      <c r="CB123" s="369"/>
      <c r="CC123" s="369"/>
      <c r="CD123" s="369"/>
      <c r="CE123" s="369"/>
      <c r="CF123" s="369"/>
      <c r="CG123" s="369"/>
      <c r="CH123" s="369"/>
      <c r="CI123" s="369"/>
      <c r="CJ123" s="369"/>
      <c r="CK123" s="369"/>
      <c r="CL123" s="369"/>
      <c r="CM123" s="369"/>
      <c r="CN123" s="369"/>
      <c r="CO123" s="369"/>
      <c r="CP123" s="369"/>
      <c r="CQ123" s="369"/>
      <c r="CR123" s="369"/>
      <c r="CS123" s="369"/>
      <c r="CT123" s="369"/>
      <c r="CU123" s="369"/>
      <c r="CV123" s="369"/>
      <c r="CW123" s="369"/>
      <c r="CX123" s="369"/>
      <c r="CY123" s="369"/>
      <c r="CZ123" s="369"/>
      <c r="DA123" s="369"/>
      <c r="DB123" s="369"/>
      <c r="DC123" s="369"/>
      <c r="DD123" s="369"/>
      <c r="DE123" s="369"/>
      <c r="DF123" s="369"/>
      <c r="DG123" s="369"/>
      <c r="DH123" s="369"/>
      <c r="DI123" s="369"/>
      <c r="DJ123" s="369"/>
      <c r="DK123" s="369"/>
      <c r="DL123" s="369"/>
      <c r="DM123" s="369"/>
      <c r="DN123" s="369"/>
      <c r="DO123" s="369"/>
      <c r="DP123" s="369"/>
      <c r="DQ123" s="369"/>
      <c r="DR123" s="369"/>
      <c r="DS123" s="369"/>
      <c r="DT123" s="369"/>
      <c r="DU123" s="369"/>
      <c r="DV123" s="369"/>
      <c r="DW123" s="369"/>
      <c r="DX123" s="369"/>
      <c r="DY123" s="369"/>
      <c r="DZ123" s="369"/>
      <c r="EA123" s="369"/>
      <c r="EB123" s="369"/>
      <c r="EC123" s="369"/>
      <c r="ED123" s="369"/>
      <c r="EE123" s="369"/>
      <c r="EF123" s="369"/>
      <c r="EG123" s="369"/>
      <c r="EH123" s="369"/>
      <c r="EI123" s="369"/>
      <c r="EJ123" s="369"/>
      <c r="EK123" s="369"/>
      <c r="EL123" s="369"/>
      <c r="EM123" s="369"/>
      <c r="EN123" s="369"/>
      <c r="EO123" s="369"/>
      <c r="EP123" s="369"/>
      <c r="EQ123" s="369"/>
      <c r="ER123" s="369"/>
      <c r="ES123" s="369"/>
      <c r="ET123" s="369"/>
      <c r="EU123" s="369"/>
      <c r="EV123" s="369"/>
      <c r="EW123" s="369"/>
      <c r="EX123" s="369"/>
      <c r="EY123" s="369"/>
      <c r="EZ123" s="369"/>
      <c r="FA123" s="369"/>
      <c r="FB123" s="369"/>
      <c r="FC123" s="369"/>
      <c r="FD123" s="369"/>
      <c r="FE123" s="369"/>
      <c r="FF123" s="369"/>
      <c r="FG123" s="369"/>
      <c r="FH123" s="369"/>
      <c r="FI123" s="369"/>
      <c r="FJ123" s="369"/>
      <c r="FK123" s="369"/>
      <c r="FL123" s="369"/>
      <c r="FM123" s="369"/>
      <c r="FN123" s="369"/>
      <c r="FO123" s="369"/>
      <c r="FP123" s="369"/>
      <c r="FQ123" s="369"/>
      <c r="FR123" s="369"/>
      <c r="FS123" s="369"/>
      <c r="FT123" s="369"/>
      <c r="FU123" s="369"/>
      <c r="FV123" s="369"/>
      <c r="FW123" s="369"/>
      <c r="FX123" s="369"/>
      <c r="FY123" s="369"/>
      <c r="FZ123" s="369"/>
      <c r="GA123" s="369"/>
      <c r="GB123" s="369"/>
      <c r="GC123" s="369"/>
      <c r="GD123" s="369"/>
      <c r="GE123" s="369"/>
      <c r="GF123" s="369"/>
      <c r="GG123" s="369"/>
      <c r="GH123" s="369"/>
      <c r="GI123" s="369"/>
      <c r="GJ123" s="369"/>
      <c r="GK123" s="369"/>
      <c r="GL123" s="369"/>
      <c r="GM123" s="369"/>
      <c r="GN123" s="369"/>
      <c r="GO123" s="369"/>
      <c r="GP123" s="369"/>
      <c r="GQ123" s="369"/>
      <c r="GR123" s="369"/>
      <c r="GS123" s="369"/>
      <c r="GT123" s="369"/>
      <c r="GU123" s="369"/>
      <c r="GV123" s="369"/>
      <c r="GW123" s="369"/>
      <c r="GX123" s="369"/>
      <c r="GY123" s="369"/>
      <c r="GZ123" s="369"/>
      <c r="HA123" s="369"/>
      <c r="HB123" s="369"/>
      <c r="HC123" s="369"/>
      <c r="HD123" s="369"/>
      <c r="HE123" s="369"/>
      <c r="HF123" s="369"/>
      <c r="HG123" s="369"/>
      <c r="HH123" s="369"/>
      <c r="HI123" s="369"/>
      <c r="HJ123" s="369"/>
      <c r="HK123" s="369"/>
      <c r="HL123" s="369"/>
      <c r="HM123" s="369"/>
      <c r="HN123" s="369"/>
      <c r="HO123" s="369"/>
      <c r="HP123" s="369"/>
      <c r="HQ123" s="369"/>
      <c r="HR123" s="369"/>
      <c r="HS123" s="369"/>
      <c r="HT123" s="369"/>
      <c r="HU123" s="369"/>
      <c r="HV123" s="369"/>
      <c r="HW123" s="369"/>
      <c r="HX123" s="369"/>
      <c r="HY123" s="369"/>
      <c r="HZ123" s="369"/>
      <c r="IA123" s="369"/>
      <c r="IB123" s="369"/>
      <c r="IC123" s="369"/>
      <c r="ID123" s="369"/>
      <c r="IE123" s="369"/>
      <c r="IF123" s="369"/>
      <c r="IG123" s="369"/>
      <c r="IH123" s="369"/>
      <c r="II123" s="369"/>
      <c r="IJ123" s="369"/>
      <c r="IK123" s="369"/>
      <c r="IL123" s="369"/>
      <c r="IM123" s="369"/>
      <c r="IN123" s="369"/>
      <c r="IO123" s="369"/>
      <c r="IP123" s="369"/>
      <c r="IQ123" s="369"/>
      <c r="IR123" s="369"/>
      <c r="IS123" s="369"/>
      <c r="IT123" s="369"/>
      <c r="IU123" s="369"/>
      <c r="IV123" s="369"/>
      <c r="IW123" s="369"/>
      <c r="IX123" s="369"/>
      <c r="IY123" s="369"/>
      <c r="IZ123" s="369"/>
      <c r="JA123" s="369"/>
      <c r="JB123" s="369"/>
      <c r="JC123" s="369"/>
      <c r="JD123" s="369"/>
      <c r="JE123" s="369"/>
    </row>
    <row r="124" spans="1:265" s="588" customFormat="1" x14ac:dyDescent="0.2">
      <c r="A124" s="364" t="s">
        <v>3732</v>
      </c>
      <c r="B124" s="369"/>
      <c r="C124" s="370" t="s">
        <v>4137</v>
      </c>
      <c r="D124" s="369"/>
      <c r="E124" s="369" t="s">
        <v>4138</v>
      </c>
      <c r="F124" s="369"/>
      <c r="G124" s="364" t="s">
        <v>4042</v>
      </c>
      <c r="H124" s="608">
        <v>814002011403</v>
      </c>
      <c r="I124" s="369"/>
      <c r="J124" s="369"/>
      <c r="K124" s="420"/>
      <c r="L124" s="372" t="s">
        <v>975</v>
      </c>
      <c r="M124" s="367"/>
      <c r="N124" s="516">
        <v>49.99</v>
      </c>
      <c r="O124" s="369"/>
      <c r="P124" s="368">
        <v>10</v>
      </c>
      <c r="Q124" s="366">
        <v>0.01</v>
      </c>
      <c r="R124" s="366">
        <v>2.2400000000000002</v>
      </c>
      <c r="S124" s="366">
        <v>2.2400000000000002</v>
      </c>
      <c r="T124" s="588">
        <v>0.39</v>
      </c>
      <c r="U124" s="373">
        <v>0.06</v>
      </c>
      <c r="V124" s="366">
        <v>6</v>
      </c>
      <c r="W124" s="366">
        <v>3.7</v>
      </c>
      <c r="X124" s="366">
        <v>0.3</v>
      </c>
      <c r="Y124" s="589"/>
      <c r="Z124" s="369"/>
      <c r="AA124" s="369"/>
      <c r="AB124" s="590"/>
      <c r="AC124" s="373"/>
      <c r="AD124" s="369"/>
      <c r="AE124" s="369"/>
      <c r="AF124" s="590"/>
      <c r="AG124" s="373"/>
      <c r="AH124" s="369"/>
      <c r="AI124" s="369"/>
      <c r="AJ124" s="369"/>
      <c r="AK124" s="369"/>
      <c r="AL124" s="369"/>
      <c r="AM124" s="369"/>
      <c r="AN124" s="369"/>
      <c r="AO124" s="369"/>
      <c r="AP124" s="369"/>
      <c r="AQ124" s="369"/>
      <c r="AR124" s="369"/>
      <c r="AS124" s="369"/>
      <c r="AT124" s="369"/>
      <c r="AU124" s="369"/>
      <c r="AV124" s="369"/>
      <c r="AW124" s="369"/>
      <c r="AX124" s="369"/>
      <c r="AY124" s="369"/>
      <c r="AZ124" s="369"/>
      <c r="BA124" s="369"/>
      <c r="BB124" s="369"/>
      <c r="BC124" s="369"/>
      <c r="BD124" s="369"/>
      <c r="BE124" s="369"/>
      <c r="BF124" s="369"/>
      <c r="BG124" s="369"/>
      <c r="BH124" s="369"/>
      <c r="BI124" s="369"/>
      <c r="BJ124" s="369"/>
      <c r="BK124" s="369"/>
      <c r="BL124" s="369"/>
      <c r="BM124" s="369"/>
      <c r="BN124" s="369"/>
      <c r="BO124" s="369"/>
      <c r="BP124" s="369"/>
      <c r="BQ124" s="369"/>
      <c r="BR124" s="369"/>
      <c r="BS124" s="369"/>
      <c r="BT124" s="369"/>
      <c r="BU124" s="369"/>
      <c r="BV124" s="369"/>
      <c r="BW124" s="369"/>
      <c r="BX124" s="369"/>
      <c r="BY124" s="369"/>
      <c r="BZ124" s="369"/>
      <c r="CA124" s="369"/>
      <c r="CB124" s="369"/>
      <c r="CC124" s="369"/>
      <c r="CD124" s="369"/>
      <c r="CE124" s="369"/>
      <c r="CF124" s="369"/>
      <c r="CG124" s="369"/>
      <c r="CH124" s="369"/>
      <c r="CI124" s="369"/>
      <c r="CJ124" s="369"/>
      <c r="CK124" s="369"/>
      <c r="CL124" s="369"/>
      <c r="CM124" s="369"/>
      <c r="CN124" s="369"/>
      <c r="CO124" s="369"/>
      <c r="CP124" s="369"/>
      <c r="CQ124" s="369"/>
      <c r="CR124" s="369"/>
      <c r="CS124" s="369"/>
      <c r="CT124" s="369"/>
      <c r="CU124" s="369"/>
      <c r="CV124" s="369"/>
      <c r="CW124" s="369"/>
      <c r="CX124" s="369"/>
      <c r="CY124" s="369"/>
      <c r="CZ124" s="369"/>
      <c r="DA124" s="369"/>
      <c r="DB124" s="369"/>
      <c r="DC124" s="369"/>
      <c r="DD124" s="369"/>
      <c r="DE124" s="369"/>
      <c r="DF124" s="369"/>
      <c r="DG124" s="369"/>
      <c r="DH124" s="369"/>
      <c r="DI124" s="369"/>
      <c r="DJ124" s="369"/>
      <c r="DK124" s="369"/>
      <c r="DL124" s="369"/>
      <c r="DM124" s="369"/>
      <c r="DN124" s="369"/>
      <c r="DO124" s="369"/>
      <c r="DP124" s="369"/>
      <c r="DQ124" s="369"/>
      <c r="DR124" s="369"/>
      <c r="DS124" s="369"/>
      <c r="DT124" s="369"/>
      <c r="DU124" s="369"/>
      <c r="DV124" s="369"/>
      <c r="DW124" s="369"/>
      <c r="DX124" s="369"/>
      <c r="DY124" s="369"/>
      <c r="DZ124" s="369"/>
      <c r="EA124" s="369"/>
      <c r="EB124" s="369"/>
      <c r="EC124" s="369"/>
      <c r="ED124" s="369"/>
      <c r="EE124" s="369"/>
      <c r="EF124" s="369"/>
      <c r="EG124" s="369"/>
      <c r="EH124" s="369"/>
      <c r="EI124" s="369"/>
      <c r="EJ124" s="369"/>
      <c r="EK124" s="369"/>
      <c r="EL124" s="369"/>
      <c r="EM124" s="369"/>
      <c r="EN124" s="369"/>
      <c r="EO124" s="369"/>
      <c r="EP124" s="369"/>
      <c r="EQ124" s="369"/>
      <c r="ER124" s="369"/>
      <c r="ES124" s="369"/>
      <c r="ET124" s="369"/>
      <c r="EU124" s="369"/>
      <c r="EV124" s="369"/>
      <c r="EW124" s="369"/>
      <c r="EX124" s="369"/>
      <c r="EY124" s="369"/>
      <c r="EZ124" s="369"/>
      <c r="FA124" s="369"/>
      <c r="FB124" s="369"/>
      <c r="FC124" s="369"/>
      <c r="FD124" s="369"/>
      <c r="FE124" s="369"/>
      <c r="FF124" s="369"/>
      <c r="FG124" s="369"/>
      <c r="FH124" s="369"/>
      <c r="FI124" s="369"/>
      <c r="FJ124" s="369"/>
      <c r="FK124" s="369"/>
      <c r="FL124" s="369"/>
      <c r="FM124" s="369"/>
      <c r="FN124" s="369"/>
      <c r="FO124" s="369"/>
      <c r="FP124" s="369"/>
      <c r="FQ124" s="369"/>
      <c r="FR124" s="369"/>
      <c r="FS124" s="369"/>
      <c r="FT124" s="369"/>
      <c r="FU124" s="369"/>
      <c r="FV124" s="369"/>
      <c r="FW124" s="369"/>
      <c r="FX124" s="369"/>
      <c r="FY124" s="369"/>
      <c r="FZ124" s="369"/>
      <c r="GA124" s="369"/>
      <c r="GB124" s="369"/>
      <c r="GC124" s="369"/>
      <c r="GD124" s="369"/>
      <c r="GE124" s="369"/>
      <c r="GF124" s="369"/>
      <c r="GG124" s="369"/>
      <c r="GH124" s="369"/>
      <c r="GI124" s="369"/>
      <c r="GJ124" s="369"/>
      <c r="GK124" s="369"/>
      <c r="GL124" s="369"/>
      <c r="GM124" s="369"/>
      <c r="GN124" s="369"/>
      <c r="GO124" s="369"/>
      <c r="GP124" s="369"/>
      <c r="GQ124" s="369"/>
      <c r="GR124" s="369"/>
      <c r="GS124" s="369"/>
      <c r="GT124" s="369"/>
      <c r="GU124" s="369"/>
      <c r="GV124" s="369"/>
      <c r="GW124" s="369"/>
      <c r="GX124" s="369"/>
      <c r="GY124" s="369"/>
      <c r="GZ124" s="369"/>
      <c r="HA124" s="369"/>
      <c r="HB124" s="369"/>
      <c r="HC124" s="369"/>
      <c r="HD124" s="369"/>
      <c r="HE124" s="369"/>
      <c r="HF124" s="369"/>
      <c r="HG124" s="369"/>
      <c r="HH124" s="369"/>
      <c r="HI124" s="369"/>
      <c r="HJ124" s="369"/>
      <c r="HK124" s="369"/>
      <c r="HL124" s="369"/>
      <c r="HM124" s="369"/>
      <c r="HN124" s="369"/>
      <c r="HO124" s="369"/>
      <c r="HP124" s="369"/>
      <c r="HQ124" s="369"/>
      <c r="HR124" s="369"/>
      <c r="HS124" s="369"/>
      <c r="HT124" s="369"/>
      <c r="HU124" s="369"/>
      <c r="HV124" s="369"/>
      <c r="HW124" s="369"/>
      <c r="HX124" s="369"/>
      <c r="HY124" s="369"/>
      <c r="HZ124" s="369"/>
      <c r="IA124" s="369"/>
      <c r="IB124" s="369"/>
      <c r="IC124" s="369"/>
      <c r="ID124" s="369"/>
      <c r="IE124" s="369"/>
      <c r="IF124" s="369"/>
      <c r="IG124" s="369"/>
      <c r="IH124" s="369"/>
      <c r="II124" s="369"/>
      <c r="IJ124" s="369"/>
      <c r="IK124" s="369"/>
      <c r="IL124" s="369"/>
      <c r="IM124" s="369"/>
      <c r="IN124" s="369"/>
      <c r="IO124" s="369"/>
      <c r="IP124" s="369"/>
      <c r="IQ124" s="369"/>
      <c r="IR124" s="369"/>
      <c r="IS124" s="369"/>
      <c r="IT124" s="369"/>
      <c r="IU124" s="369"/>
      <c r="IV124" s="369"/>
      <c r="IW124" s="369"/>
      <c r="IX124" s="369"/>
      <c r="IY124" s="369"/>
      <c r="IZ124" s="369"/>
      <c r="JA124" s="369"/>
      <c r="JB124" s="369"/>
      <c r="JC124" s="369"/>
      <c r="JD124" s="369"/>
      <c r="JE124" s="369"/>
    </row>
    <row r="125" spans="1:265" s="588" customFormat="1" x14ac:dyDescent="0.2">
      <c r="A125" s="364" t="s">
        <v>3732</v>
      </c>
      <c r="B125" s="369"/>
      <c r="C125" s="370" t="s">
        <v>4139</v>
      </c>
      <c r="D125" s="369"/>
      <c r="E125" s="369" t="s">
        <v>4140</v>
      </c>
      <c r="F125" s="369"/>
      <c r="G125" s="364" t="s">
        <v>4042</v>
      </c>
      <c r="H125" s="608">
        <v>814002011205</v>
      </c>
      <c r="I125" s="369"/>
      <c r="J125" s="369"/>
      <c r="K125" s="420"/>
      <c r="L125" s="372" t="s">
        <v>975</v>
      </c>
      <c r="M125" s="367"/>
      <c r="N125" s="516">
        <v>24.99</v>
      </c>
      <c r="O125" s="369"/>
      <c r="P125" s="368">
        <v>10</v>
      </c>
      <c r="Q125" s="366">
        <v>0.01</v>
      </c>
      <c r="R125" s="366">
        <v>2.25</v>
      </c>
      <c r="S125" s="366">
        <v>2.25</v>
      </c>
      <c r="T125" s="588">
        <v>0.39</v>
      </c>
      <c r="U125" s="366">
        <v>0.06</v>
      </c>
      <c r="V125" s="366">
        <v>6</v>
      </c>
      <c r="W125" s="366">
        <v>3.5</v>
      </c>
      <c r="X125" s="366">
        <v>0.1</v>
      </c>
      <c r="Y125" s="589"/>
      <c r="Z125" s="369"/>
      <c r="AA125" s="369"/>
      <c r="AB125" s="590"/>
      <c r="AC125" s="373"/>
      <c r="AD125" s="369"/>
      <c r="AE125" s="369"/>
      <c r="AF125" s="590"/>
      <c r="AG125" s="373"/>
      <c r="AH125" s="369"/>
      <c r="AI125" s="369"/>
      <c r="AJ125" s="369"/>
      <c r="AK125" s="369"/>
      <c r="AL125" s="369"/>
      <c r="AM125" s="369"/>
      <c r="AN125" s="369"/>
      <c r="AO125" s="369"/>
      <c r="AP125" s="369"/>
      <c r="AQ125" s="369"/>
      <c r="AR125" s="369"/>
      <c r="AS125" s="369"/>
      <c r="AT125" s="369"/>
      <c r="AU125" s="369"/>
      <c r="AV125" s="369"/>
      <c r="AW125" s="369"/>
      <c r="AX125" s="369"/>
      <c r="AY125" s="369"/>
      <c r="AZ125" s="369"/>
      <c r="BA125" s="369"/>
      <c r="BB125" s="369"/>
      <c r="BC125" s="369"/>
      <c r="BD125" s="369"/>
      <c r="BE125" s="369"/>
      <c r="BF125" s="369"/>
      <c r="BG125" s="369"/>
      <c r="BH125" s="369"/>
      <c r="BI125" s="369"/>
      <c r="BJ125" s="369"/>
      <c r="BK125" s="369"/>
      <c r="BL125" s="369"/>
      <c r="BM125" s="369"/>
      <c r="BN125" s="369"/>
      <c r="BO125" s="369"/>
      <c r="BP125" s="369"/>
      <c r="BQ125" s="369"/>
      <c r="BR125" s="369"/>
      <c r="BS125" s="369"/>
      <c r="BT125" s="369"/>
      <c r="BU125" s="369"/>
      <c r="BV125" s="369"/>
      <c r="BW125" s="369"/>
      <c r="BX125" s="369"/>
      <c r="BY125" s="369"/>
      <c r="BZ125" s="369"/>
      <c r="CA125" s="369"/>
      <c r="CB125" s="369"/>
      <c r="CC125" s="369"/>
      <c r="CD125" s="369"/>
      <c r="CE125" s="369"/>
      <c r="CF125" s="369"/>
      <c r="CG125" s="369"/>
      <c r="CH125" s="369"/>
      <c r="CI125" s="369"/>
      <c r="CJ125" s="369"/>
      <c r="CK125" s="369"/>
      <c r="CL125" s="369"/>
      <c r="CM125" s="369"/>
      <c r="CN125" s="369"/>
      <c r="CO125" s="369"/>
      <c r="CP125" s="369"/>
      <c r="CQ125" s="369"/>
      <c r="CR125" s="369"/>
      <c r="CS125" s="369"/>
      <c r="CT125" s="369"/>
      <c r="CU125" s="369"/>
      <c r="CV125" s="369"/>
      <c r="CW125" s="369"/>
      <c r="CX125" s="369"/>
      <c r="CY125" s="369"/>
      <c r="CZ125" s="369"/>
      <c r="DA125" s="369"/>
      <c r="DB125" s="369"/>
      <c r="DC125" s="369"/>
      <c r="DD125" s="369"/>
      <c r="DE125" s="369"/>
      <c r="DF125" s="369"/>
      <c r="DG125" s="369"/>
      <c r="DH125" s="369"/>
      <c r="DI125" s="369"/>
      <c r="DJ125" s="369"/>
      <c r="DK125" s="369"/>
      <c r="DL125" s="369"/>
      <c r="DM125" s="369"/>
      <c r="DN125" s="369"/>
      <c r="DO125" s="369"/>
      <c r="DP125" s="369"/>
      <c r="DQ125" s="369"/>
      <c r="DR125" s="369"/>
      <c r="DS125" s="369"/>
      <c r="DT125" s="369"/>
      <c r="DU125" s="369"/>
      <c r="DV125" s="369"/>
      <c r="DW125" s="369"/>
      <c r="DX125" s="369"/>
      <c r="DY125" s="369"/>
      <c r="DZ125" s="369"/>
      <c r="EA125" s="369"/>
      <c r="EB125" s="369"/>
      <c r="EC125" s="369"/>
      <c r="ED125" s="369"/>
      <c r="EE125" s="369"/>
      <c r="EF125" s="369"/>
      <c r="EG125" s="369"/>
      <c r="EH125" s="369"/>
      <c r="EI125" s="369"/>
      <c r="EJ125" s="369"/>
      <c r="EK125" s="369"/>
      <c r="EL125" s="369"/>
      <c r="EM125" s="369"/>
      <c r="EN125" s="369"/>
      <c r="EO125" s="369"/>
      <c r="EP125" s="369"/>
      <c r="EQ125" s="369"/>
      <c r="ER125" s="369"/>
      <c r="ES125" s="369"/>
      <c r="ET125" s="369"/>
      <c r="EU125" s="369"/>
      <c r="EV125" s="369"/>
      <c r="EW125" s="369"/>
      <c r="EX125" s="369"/>
      <c r="EY125" s="369"/>
      <c r="EZ125" s="369"/>
      <c r="FA125" s="369"/>
      <c r="FB125" s="369"/>
      <c r="FC125" s="369"/>
      <c r="FD125" s="369"/>
      <c r="FE125" s="369"/>
      <c r="FF125" s="369"/>
      <c r="FG125" s="369"/>
      <c r="FH125" s="369"/>
      <c r="FI125" s="369"/>
      <c r="FJ125" s="369"/>
      <c r="FK125" s="369"/>
      <c r="FL125" s="369"/>
      <c r="FM125" s="369"/>
      <c r="FN125" s="369"/>
      <c r="FO125" s="369"/>
      <c r="FP125" s="369"/>
      <c r="FQ125" s="369"/>
      <c r="FR125" s="369"/>
      <c r="FS125" s="369"/>
      <c r="FT125" s="369"/>
      <c r="FU125" s="369"/>
      <c r="FV125" s="369"/>
      <c r="FW125" s="369"/>
      <c r="FX125" s="369"/>
      <c r="FY125" s="369"/>
      <c r="FZ125" s="369"/>
      <c r="GA125" s="369"/>
      <c r="GB125" s="369"/>
      <c r="GC125" s="369"/>
      <c r="GD125" s="369"/>
      <c r="GE125" s="369"/>
      <c r="GF125" s="369"/>
      <c r="GG125" s="369"/>
      <c r="GH125" s="369"/>
      <c r="GI125" s="369"/>
      <c r="GJ125" s="369"/>
      <c r="GK125" s="369"/>
      <c r="GL125" s="369"/>
      <c r="GM125" s="369"/>
      <c r="GN125" s="369"/>
      <c r="GO125" s="369"/>
      <c r="GP125" s="369"/>
      <c r="GQ125" s="369"/>
      <c r="GR125" s="369"/>
      <c r="GS125" s="369"/>
      <c r="GT125" s="369"/>
      <c r="GU125" s="369"/>
      <c r="GV125" s="369"/>
      <c r="GW125" s="369"/>
      <c r="GX125" s="369"/>
      <c r="GY125" s="369"/>
      <c r="GZ125" s="369"/>
      <c r="HA125" s="369"/>
      <c r="HB125" s="369"/>
      <c r="HC125" s="369"/>
      <c r="HD125" s="369"/>
      <c r="HE125" s="369"/>
      <c r="HF125" s="369"/>
      <c r="HG125" s="369"/>
      <c r="HH125" s="369"/>
      <c r="HI125" s="369"/>
      <c r="HJ125" s="369"/>
      <c r="HK125" s="369"/>
      <c r="HL125" s="369"/>
      <c r="HM125" s="369"/>
      <c r="HN125" s="369"/>
      <c r="HO125" s="369"/>
      <c r="HP125" s="369"/>
      <c r="HQ125" s="369"/>
      <c r="HR125" s="369"/>
      <c r="HS125" s="369"/>
      <c r="HT125" s="369"/>
      <c r="HU125" s="369"/>
      <c r="HV125" s="369"/>
      <c r="HW125" s="369"/>
      <c r="HX125" s="369"/>
      <c r="HY125" s="369"/>
      <c r="HZ125" s="369"/>
      <c r="IA125" s="369"/>
      <c r="IB125" s="369"/>
      <c r="IC125" s="369"/>
      <c r="ID125" s="369"/>
      <c r="IE125" s="369"/>
      <c r="IF125" s="369"/>
      <c r="IG125" s="369"/>
      <c r="IH125" s="369"/>
      <c r="II125" s="369"/>
      <c r="IJ125" s="369"/>
      <c r="IK125" s="369"/>
      <c r="IL125" s="369"/>
      <c r="IM125" s="369"/>
      <c r="IN125" s="369"/>
      <c r="IO125" s="369"/>
      <c r="IP125" s="369"/>
      <c r="IQ125" s="369"/>
      <c r="IR125" s="369"/>
      <c r="IS125" s="369"/>
      <c r="IT125" s="369"/>
      <c r="IU125" s="369"/>
      <c r="IV125" s="369"/>
      <c r="IW125" s="369"/>
      <c r="IX125" s="369"/>
      <c r="IY125" s="369"/>
      <c r="IZ125" s="369"/>
      <c r="JA125" s="369"/>
      <c r="JB125" s="369"/>
      <c r="JC125" s="369"/>
      <c r="JD125" s="369"/>
      <c r="JE125" s="369"/>
    </row>
    <row r="126" spans="1:265" s="588" customFormat="1" x14ac:dyDescent="0.2">
      <c r="A126" s="364" t="s">
        <v>3732</v>
      </c>
      <c r="B126" s="369"/>
      <c r="C126" s="370" t="s">
        <v>4141</v>
      </c>
      <c r="D126" s="369"/>
      <c r="E126" s="369" t="s">
        <v>4142</v>
      </c>
      <c r="F126" s="369"/>
      <c r="G126" s="364" t="s">
        <v>4042</v>
      </c>
      <c r="H126" s="608">
        <v>814002011083</v>
      </c>
      <c r="I126" s="369"/>
      <c r="J126" s="369"/>
      <c r="K126" s="420"/>
      <c r="L126" s="372" t="s">
        <v>975</v>
      </c>
      <c r="M126" s="594"/>
      <c r="N126" s="611">
        <v>44.99</v>
      </c>
      <c r="O126" s="369"/>
      <c r="P126" s="368">
        <v>10</v>
      </c>
      <c r="Q126" s="366">
        <v>0.01</v>
      </c>
      <c r="R126" s="366">
        <v>2.25</v>
      </c>
      <c r="S126" s="366">
        <v>2.25</v>
      </c>
      <c r="T126" s="588">
        <v>0.39</v>
      </c>
      <c r="U126" s="366">
        <v>7.0000000000000007E-2</v>
      </c>
      <c r="V126" s="366">
        <v>5.4</v>
      </c>
      <c r="W126" s="366">
        <v>3</v>
      </c>
      <c r="X126" s="366">
        <v>0.4</v>
      </c>
      <c r="Y126" s="589"/>
      <c r="Z126" s="369"/>
      <c r="AA126" s="369"/>
      <c r="AB126" s="590"/>
      <c r="AC126" s="373"/>
      <c r="AD126" s="369"/>
      <c r="AE126" s="369"/>
      <c r="AF126" s="590"/>
      <c r="AG126" s="373"/>
      <c r="AH126" s="369"/>
      <c r="AI126" s="369"/>
      <c r="AJ126" s="369"/>
      <c r="AK126" s="369"/>
      <c r="AL126" s="369"/>
      <c r="AM126" s="369"/>
      <c r="AN126" s="369"/>
      <c r="AO126" s="369"/>
      <c r="AP126" s="369"/>
      <c r="AQ126" s="369"/>
      <c r="AR126" s="369"/>
      <c r="AS126" s="369"/>
      <c r="AT126" s="369"/>
      <c r="AU126" s="369"/>
      <c r="AV126" s="369"/>
      <c r="AW126" s="369"/>
      <c r="AX126" s="369"/>
      <c r="AY126" s="369"/>
      <c r="AZ126" s="369"/>
      <c r="BA126" s="369"/>
      <c r="BB126" s="369"/>
      <c r="BC126" s="369"/>
      <c r="BD126" s="369"/>
      <c r="BE126" s="369"/>
      <c r="BF126" s="369"/>
      <c r="BG126" s="369"/>
      <c r="BH126" s="369"/>
      <c r="BI126" s="369"/>
      <c r="BJ126" s="369"/>
      <c r="BK126" s="369"/>
      <c r="BL126" s="369"/>
      <c r="BM126" s="369"/>
      <c r="BN126" s="369"/>
      <c r="BO126" s="369"/>
      <c r="BP126" s="369"/>
      <c r="BQ126" s="369"/>
      <c r="BR126" s="369"/>
      <c r="BS126" s="369"/>
      <c r="BT126" s="369"/>
      <c r="BU126" s="369"/>
      <c r="BV126" s="369"/>
      <c r="BW126" s="369"/>
      <c r="BX126" s="369"/>
      <c r="BY126" s="369"/>
      <c r="BZ126" s="369"/>
      <c r="CA126" s="369"/>
      <c r="CB126" s="369"/>
      <c r="CC126" s="369"/>
      <c r="CD126" s="369"/>
      <c r="CE126" s="369"/>
      <c r="CF126" s="369"/>
      <c r="CG126" s="369"/>
      <c r="CH126" s="369"/>
      <c r="CI126" s="369"/>
      <c r="CJ126" s="369"/>
      <c r="CK126" s="369"/>
      <c r="CL126" s="369"/>
      <c r="CM126" s="369"/>
      <c r="CN126" s="369"/>
      <c r="CO126" s="369"/>
      <c r="CP126" s="369"/>
      <c r="CQ126" s="369"/>
      <c r="CR126" s="369"/>
      <c r="CS126" s="369"/>
      <c r="CT126" s="369"/>
      <c r="CU126" s="369"/>
      <c r="CV126" s="369"/>
      <c r="CW126" s="369"/>
      <c r="CX126" s="369"/>
      <c r="CY126" s="369"/>
      <c r="CZ126" s="369"/>
      <c r="DA126" s="369"/>
      <c r="DB126" s="369"/>
      <c r="DC126" s="369"/>
      <c r="DD126" s="369"/>
      <c r="DE126" s="369"/>
      <c r="DF126" s="369"/>
      <c r="DG126" s="369"/>
      <c r="DH126" s="369"/>
      <c r="DI126" s="369"/>
      <c r="DJ126" s="369"/>
      <c r="DK126" s="369"/>
      <c r="DL126" s="369"/>
      <c r="DM126" s="369"/>
      <c r="DN126" s="369"/>
      <c r="DO126" s="369"/>
      <c r="DP126" s="369"/>
      <c r="DQ126" s="369"/>
      <c r="DR126" s="369"/>
      <c r="DS126" s="369"/>
      <c r="DT126" s="369"/>
      <c r="DU126" s="369"/>
      <c r="DV126" s="369"/>
      <c r="DW126" s="369"/>
      <c r="DX126" s="369"/>
      <c r="DY126" s="369"/>
      <c r="DZ126" s="369"/>
      <c r="EA126" s="369"/>
      <c r="EB126" s="369"/>
      <c r="EC126" s="369"/>
      <c r="ED126" s="369"/>
      <c r="EE126" s="369"/>
      <c r="EF126" s="369"/>
      <c r="EG126" s="369"/>
      <c r="EH126" s="369"/>
      <c r="EI126" s="369"/>
      <c r="EJ126" s="369"/>
      <c r="EK126" s="369"/>
      <c r="EL126" s="369"/>
      <c r="EM126" s="369"/>
      <c r="EN126" s="369"/>
      <c r="EO126" s="369"/>
      <c r="EP126" s="369"/>
      <c r="EQ126" s="369"/>
      <c r="ER126" s="369"/>
      <c r="ES126" s="369"/>
      <c r="ET126" s="369"/>
      <c r="EU126" s="369"/>
      <c r="EV126" s="369"/>
      <c r="EW126" s="369"/>
      <c r="EX126" s="369"/>
      <c r="EY126" s="369"/>
      <c r="EZ126" s="369"/>
      <c r="FA126" s="369"/>
      <c r="FB126" s="369"/>
      <c r="FC126" s="369"/>
      <c r="FD126" s="369"/>
      <c r="FE126" s="369"/>
      <c r="FF126" s="369"/>
      <c r="FG126" s="369"/>
      <c r="FH126" s="369"/>
      <c r="FI126" s="369"/>
      <c r="FJ126" s="369"/>
      <c r="FK126" s="369"/>
      <c r="FL126" s="369"/>
      <c r="FM126" s="369"/>
      <c r="FN126" s="369"/>
      <c r="FO126" s="369"/>
      <c r="FP126" s="369"/>
      <c r="FQ126" s="369"/>
      <c r="FR126" s="369"/>
      <c r="FS126" s="369"/>
      <c r="FT126" s="369"/>
      <c r="FU126" s="369"/>
      <c r="FV126" s="369"/>
      <c r="FW126" s="369"/>
      <c r="FX126" s="369"/>
      <c r="FY126" s="369"/>
      <c r="FZ126" s="369"/>
      <c r="GA126" s="369"/>
      <c r="GB126" s="369"/>
      <c r="GC126" s="369"/>
      <c r="GD126" s="369"/>
      <c r="GE126" s="369"/>
      <c r="GF126" s="369"/>
      <c r="GG126" s="369"/>
      <c r="GH126" s="369"/>
      <c r="GI126" s="369"/>
      <c r="GJ126" s="369"/>
      <c r="GK126" s="369"/>
      <c r="GL126" s="369"/>
      <c r="GM126" s="369"/>
      <c r="GN126" s="369"/>
      <c r="GO126" s="369"/>
      <c r="GP126" s="369"/>
      <c r="GQ126" s="369"/>
      <c r="GR126" s="369"/>
      <c r="GS126" s="369"/>
      <c r="GT126" s="369"/>
      <c r="GU126" s="369"/>
      <c r="GV126" s="369"/>
      <c r="GW126" s="369"/>
      <c r="GX126" s="369"/>
      <c r="GY126" s="369"/>
      <c r="GZ126" s="369"/>
      <c r="HA126" s="369"/>
      <c r="HB126" s="369"/>
      <c r="HC126" s="369"/>
      <c r="HD126" s="369"/>
      <c r="HE126" s="369"/>
      <c r="HF126" s="369"/>
      <c r="HG126" s="369"/>
      <c r="HH126" s="369"/>
      <c r="HI126" s="369"/>
      <c r="HJ126" s="369"/>
      <c r="HK126" s="369"/>
      <c r="HL126" s="369"/>
      <c r="HM126" s="369"/>
      <c r="HN126" s="369"/>
      <c r="HO126" s="369"/>
      <c r="HP126" s="369"/>
      <c r="HQ126" s="369"/>
      <c r="HR126" s="369"/>
      <c r="HS126" s="369"/>
      <c r="HT126" s="369"/>
      <c r="HU126" s="369"/>
      <c r="HV126" s="369"/>
      <c r="HW126" s="369"/>
      <c r="HX126" s="369"/>
      <c r="HY126" s="369"/>
      <c r="HZ126" s="369"/>
      <c r="IA126" s="369"/>
      <c r="IB126" s="369"/>
      <c r="IC126" s="369"/>
      <c r="ID126" s="369"/>
      <c r="IE126" s="369"/>
      <c r="IF126" s="369"/>
      <c r="IG126" s="369"/>
      <c r="IH126" s="369"/>
      <c r="II126" s="369"/>
      <c r="IJ126" s="369"/>
      <c r="IK126" s="369"/>
      <c r="IL126" s="369"/>
      <c r="IM126" s="369"/>
      <c r="IN126" s="369"/>
      <c r="IO126" s="369"/>
      <c r="IP126" s="369"/>
      <c r="IQ126" s="369"/>
      <c r="IR126" s="369"/>
      <c r="IS126" s="369"/>
      <c r="IT126" s="369"/>
      <c r="IU126" s="369"/>
      <c r="IV126" s="369"/>
      <c r="IW126" s="369"/>
      <c r="IX126" s="369"/>
      <c r="IY126" s="369"/>
      <c r="IZ126" s="369"/>
      <c r="JA126" s="369"/>
      <c r="JB126" s="369"/>
      <c r="JC126" s="369"/>
      <c r="JD126" s="369"/>
      <c r="JE126" s="369"/>
    </row>
    <row r="127" spans="1:265" s="88" customFormat="1" ht="15.75" x14ac:dyDescent="0.25">
      <c r="A127" s="105" t="s">
        <v>4143</v>
      </c>
      <c r="B127" s="20"/>
      <c r="C127" s="20"/>
      <c r="D127" s="20"/>
      <c r="E127" s="37"/>
      <c r="F127" s="37"/>
      <c r="G127" s="20"/>
      <c r="H127" s="20"/>
      <c r="I127" s="20"/>
      <c r="J127" s="20"/>
      <c r="K127" s="10"/>
      <c r="L127" s="45"/>
      <c r="M127" s="20"/>
      <c r="N127" s="503"/>
      <c r="O127" s="20"/>
      <c r="P127" s="26"/>
      <c r="Q127" s="33"/>
      <c r="R127" s="33"/>
      <c r="S127" s="33"/>
      <c r="U127" s="26"/>
      <c r="V127" s="20"/>
      <c r="W127" s="20"/>
      <c r="X127" s="26"/>
      <c r="Y127" s="544"/>
      <c r="Z127" s="20"/>
      <c r="AA127" s="20"/>
      <c r="AB127" s="551"/>
      <c r="AC127" s="26"/>
      <c r="AD127" s="20"/>
      <c r="AE127" s="20"/>
      <c r="AF127" s="551"/>
      <c r="AG127" s="26"/>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c r="IV127" s="20"/>
      <c r="IW127" s="20"/>
      <c r="IX127" s="20"/>
      <c r="IY127" s="20"/>
      <c r="IZ127" s="20"/>
      <c r="JA127" s="20"/>
      <c r="JB127" s="20"/>
      <c r="JC127" s="20"/>
      <c r="JD127" s="20"/>
      <c r="JE127" s="20"/>
    </row>
    <row r="128" spans="1:265" s="88" customFormat="1" x14ac:dyDescent="0.2">
      <c r="A128" s="18" t="s">
        <v>3732</v>
      </c>
      <c r="B128" s="20"/>
      <c r="C128" s="22" t="s">
        <v>4144</v>
      </c>
      <c r="D128" s="20"/>
      <c r="E128" s="37" t="s">
        <v>4145</v>
      </c>
      <c r="F128" s="37"/>
      <c r="G128" s="140"/>
      <c r="H128" s="502">
        <v>814002010420</v>
      </c>
      <c r="I128" s="140"/>
      <c r="J128" s="140"/>
      <c r="K128" s="533"/>
      <c r="L128" s="45" t="s">
        <v>975</v>
      </c>
      <c r="M128" s="528"/>
      <c r="N128" s="503"/>
      <c r="O128" s="20"/>
      <c r="P128" s="26"/>
      <c r="Q128" s="33">
        <f>3/16</f>
        <v>0.1875</v>
      </c>
      <c r="R128" s="33">
        <v>5.75</v>
      </c>
      <c r="S128" s="33">
        <v>5.5</v>
      </c>
      <c r="T128" s="88">
        <v>1</v>
      </c>
      <c r="U128" s="26"/>
      <c r="V128" s="20"/>
      <c r="W128" s="20"/>
      <c r="X128" s="26"/>
      <c r="Y128" s="544"/>
      <c r="Z128" s="20"/>
      <c r="AA128" s="20"/>
      <c r="AB128" s="551"/>
      <c r="AC128" s="26"/>
      <c r="AD128" s="20"/>
      <c r="AE128" s="20"/>
      <c r="AF128" s="551"/>
      <c r="AG128" s="26"/>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c r="EF128" s="20"/>
      <c r="EG128" s="20"/>
      <c r="EH128" s="20"/>
      <c r="EI128" s="20"/>
      <c r="EJ128" s="20"/>
      <c r="EK128" s="20"/>
      <c r="EL128" s="20"/>
      <c r="EM128" s="20"/>
      <c r="EN128" s="20"/>
      <c r="EO128" s="20"/>
      <c r="EP128" s="20"/>
      <c r="EQ128" s="20"/>
      <c r="ER128" s="20"/>
      <c r="ES128" s="20"/>
      <c r="ET128" s="20"/>
      <c r="EU128" s="20"/>
      <c r="EV128" s="20"/>
      <c r="EW128" s="20"/>
      <c r="EX128" s="20"/>
      <c r="EY128" s="20"/>
      <c r="EZ128" s="20"/>
      <c r="FA128" s="20"/>
      <c r="FB128" s="20"/>
      <c r="FC128" s="20"/>
      <c r="FD128" s="20"/>
      <c r="FE128" s="20"/>
      <c r="FF128" s="20"/>
      <c r="FG128" s="20"/>
      <c r="FH128" s="20"/>
      <c r="FI128" s="20"/>
      <c r="FJ128" s="20"/>
      <c r="FK128" s="20"/>
      <c r="FL128" s="20"/>
      <c r="FM128" s="20"/>
      <c r="FN128" s="20"/>
      <c r="FO128" s="20"/>
      <c r="FP128" s="20"/>
      <c r="FQ128" s="20"/>
      <c r="FR128" s="20"/>
      <c r="FS128" s="20"/>
      <c r="FT128" s="20"/>
      <c r="FU128" s="20"/>
      <c r="FV128" s="20"/>
      <c r="FW128" s="20"/>
      <c r="FX128" s="20"/>
      <c r="FY128" s="20"/>
      <c r="FZ128" s="20"/>
      <c r="GA128" s="20"/>
      <c r="GB128" s="20"/>
      <c r="GC128" s="20"/>
      <c r="GD128" s="20"/>
      <c r="GE128" s="20"/>
      <c r="GF128" s="20"/>
      <c r="GG128" s="20"/>
      <c r="GH128" s="20"/>
      <c r="GI128" s="20"/>
      <c r="GJ128" s="20"/>
      <c r="GK128" s="20"/>
      <c r="GL128" s="20"/>
      <c r="GM128" s="20"/>
      <c r="GN128" s="20"/>
      <c r="GO128" s="20"/>
      <c r="GP128" s="20"/>
      <c r="GQ128" s="20"/>
      <c r="GR128" s="20"/>
      <c r="GS128" s="20"/>
      <c r="GT128" s="20"/>
      <c r="GU128" s="20"/>
      <c r="GV128" s="20"/>
      <c r="GW128" s="20"/>
      <c r="GX128" s="20"/>
      <c r="GY128" s="20"/>
      <c r="GZ128" s="20"/>
      <c r="HA128" s="20"/>
      <c r="HB128" s="20"/>
      <c r="HC128" s="20"/>
      <c r="HD128" s="20"/>
      <c r="HE128" s="20"/>
      <c r="HF128" s="20"/>
      <c r="HG128" s="20"/>
      <c r="HH128" s="20"/>
      <c r="HI128" s="20"/>
      <c r="HJ128" s="20"/>
      <c r="HK128" s="20"/>
      <c r="HL128" s="20"/>
      <c r="HM128" s="20"/>
      <c r="HN128" s="20"/>
      <c r="HO128" s="20"/>
      <c r="HP128" s="20"/>
      <c r="HQ128" s="20"/>
      <c r="HR128" s="20"/>
      <c r="HS128" s="20"/>
      <c r="HT128" s="20"/>
      <c r="HU128" s="20"/>
      <c r="HV128" s="20"/>
      <c r="HW128" s="20"/>
      <c r="HX128" s="20"/>
      <c r="HY128" s="20"/>
      <c r="HZ128" s="20"/>
      <c r="IA128" s="20"/>
      <c r="IB128" s="20"/>
      <c r="IC128" s="20"/>
      <c r="ID128" s="20"/>
      <c r="IE128" s="20"/>
      <c r="IF128" s="20"/>
      <c r="IG128" s="20"/>
      <c r="IH128" s="20"/>
      <c r="II128" s="20"/>
      <c r="IJ128" s="20"/>
      <c r="IK128" s="20"/>
      <c r="IL128" s="20"/>
      <c r="IM128" s="20"/>
      <c r="IN128" s="20"/>
      <c r="IO128" s="20"/>
      <c r="IP128" s="20"/>
      <c r="IQ128" s="20"/>
      <c r="IR128" s="20"/>
      <c r="IS128" s="20"/>
      <c r="IT128" s="20"/>
      <c r="IU128" s="20"/>
      <c r="IV128" s="20"/>
      <c r="IW128" s="20"/>
      <c r="IX128" s="20"/>
      <c r="IY128" s="20"/>
      <c r="IZ128" s="20"/>
      <c r="JA128" s="20"/>
      <c r="JB128" s="20"/>
      <c r="JC128" s="20"/>
      <c r="JD128" s="20"/>
      <c r="JE128" s="20"/>
    </row>
    <row r="129" spans="1:265" s="88" customFormat="1" x14ac:dyDescent="0.2">
      <c r="A129" s="18" t="s">
        <v>3732</v>
      </c>
      <c r="B129" s="20"/>
      <c r="C129" s="22" t="s">
        <v>4146</v>
      </c>
      <c r="D129" s="20"/>
      <c r="E129" s="37" t="s">
        <v>4147</v>
      </c>
      <c r="F129" s="37"/>
      <c r="G129" s="140"/>
      <c r="H129" s="502">
        <v>814002011540</v>
      </c>
      <c r="I129" s="140"/>
      <c r="J129" s="140"/>
      <c r="K129" s="533"/>
      <c r="L129" s="45" t="s">
        <v>975</v>
      </c>
      <c r="M129" s="527"/>
      <c r="N129" s="503"/>
      <c r="O129" s="20"/>
      <c r="P129" s="35">
        <v>1</v>
      </c>
      <c r="Q129" s="33">
        <f>18/16</f>
        <v>1.125</v>
      </c>
      <c r="R129" s="33">
        <v>9</v>
      </c>
      <c r="S129" s="33">
        <v>7</v>
      </c>
      <c r="T129" s="88">
        <v>6</v>
      </c>
      <c r="U129" s="26"/>
      <c r="V129" s="20"/>
      <c r="W129" s="20"/>
      <c r="X129" s="26"/>
      <c r="Y129" s="544"/>
      <c r="Z129" s="20"/>
      <c r="AA129" s="20"/>
      <c r="AB129" s="551"/>
      <c r="AC129" s="26"/>
      <c r="AD129" s="20"/>
      <c r="AE129" s="20"/>
      <c r="AF129" s="551"/>
      <c r="AG129" s="26"/>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20"/>
      <c r="EG129" s="20"/>
      <c r="EH129" s="20"/>
      <c r="EI129" s="20"/>
      <c r="EJ129" s="20"/>
      <c r="EK129" s="20"/>
      <c r="EL129" s="20"/>
      <c r="EM129" s="20"/>
      <c r="EN129" s="20"/>
      <c r="EO129" s="20"/>
      <c r="EP129" s="20"/>
      <c r="EQ129" s="20"/>
      <c r="ER129" s="20"/>
      <c r="ES129" s="20"/>
      <c r="ET129" s="20"/>
      <c r="EU129" s="20"/>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c r="HZ129" s="20"/>
      <c r="IA129" s="20"/>
      <c r="IB129" s="20"/>
      <c r="IC129" s="20"/>
      <c r="ID129" s="20"/>
      <c r="IE129" s="20"/>
      <c r="IF129" s="20"/>
      <c r="IG129" s="20"/>
      <c r="IH129" s="20"/>
      <c r="II129" s="20"/>
      <c r="IJ129" s="20"/>
      <c r="IK129" s="20"/>
      <c r="IL129" s="20"/>
      <c r="IM129" s="20"/>
      <c r="IN129" s="20"/>
      <c r="IO129" s="20"/>
      <c r="IP129" s="20"/>
      <c r="IQ129" s="20"/>
      <c r="IR129" s="20"/>
      <c r="IS129" s="20"/>
      <c r="IT129" s="20"/>
      <c r="IU129" s="20"/>
      <c r="IV129" s="20"/>
      <c r="IW129" s="20"/>
      <c r="IX129" s="20"/>
      <c r="IY129" s="20"/>
      <c r="IZ129" s="20"/>
      <c r="JA129" s="20"/>
      <c r="JB129" s="20"/>
      <c r="JC129" s="20"/>
      <c r="JD129" s="20"/>
      <c r="JE129" s="20"/>
    </row>
    <row r="130" spans="1:265" s="88" customFormat="1" x14ac:dyDescent="0.2">
      <c r="A130" s="18" t="s">
        <v>3732</v>
      </c>
      <c r="B130" s="20"/>
      <c r="C130" s="22" t="s">
        <v>4148</v>
      </c>
      <c r="D130" s="20"/>
      <c r="E130" s="37" t="s">
        <v>4149</v>
      </c>
      <c r="F130" s="37"/>
      <c r="G130" s="140"/>
      <c r="H130" s="140"/>
      <c r="I130" s="140"/>
      <c r="J130" s="140"/>
      <c r="K130" s="533"/>
      <c r="L130" s="45" t="s">
        <v>975</v>
      </c>
      <c r="M130" s="528"/>
      <c r="N130" s="503"/>
      <c r="O130" s="20"/>
      <c r="P130" s="26"/>
      <c r="Q130" s="33">
        <f>2/16</f>
        <v>0.125</v>
      </c>
      <c r="R130" s="33">
        <v>40</v>
      </c>
      <c r="S130" s="33">
        <v>2</v>
      </c>
      <c r="U130" s="26"/>
      <c r="V130" s="20"/>
      <c r="W130" s="20"/>
      <c r="X130" s="26"/>
      <c r="Y130" s="544"/>
      <c r="Z130" s="20"/>
      <c r="AA130" s="20"/>
      <c r="AB130" s="551"/>
      <c r="AC130" s="26"/>
      <c r="AD130" s="20"/>
      <c r="AE130" s="20"/>
      <c r="AF130" s="551"/>
      <c r="AG130" s="26"/>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c r="IV130" s="20"/>
      <c r="IW130" s="20"/>
      <c r="IX130" s="20"/>
      <c r="IY130" s="20"/>
      <c r="IZ130" s="20"/>
      <c r="JA130" s="20"/>
      <c r="JB130" s="20"/>
      <c r="JC130" s="20"/>
      <c r="JD130" s="20"/>
      <c r="JE130" s="20"/>
    </row>
    <row r="131" spans="1:265" s="88" customFormat="1" x14ac:dyDescent="0.2">
      <c r="A131" s="18" t="s">
        <v>3732</v>
      </c>
      <c r="B131" s="20"/>
      <c r="C131" s="22" t="s">
        <v>4150</v>
      </c>
      <c r="D131" s="20"/>
      <c r="E131" s="37" t="s">
        <v>4151</v>
      </c>
      <c r="F131" s="37"/>
      <c r="G131" s="140"/>
      <c r="H131" s="502">
        <v>814002011960</v>
      </c>
      <c r="I131" s="140"/>
      <c r="J131" s="140"/>
      <c r="K131" s="533"/>
      <c r="L131" s="45" t="s">
        <v>975</v>
      </c>
      <c r="M131" s="527"/>
      <c r="N131" s="503"/>
      <c r="O131" s="20"/>
      <c r="P131" s="26">
        <v>1</v>
      </c>
      <c r="Q131" s="33">
        <v>37</v>
      </c>
      <c r="R131" s="33">
        <v>23</v>
      </c>
      <c r="S131" s="33">
        <v>15</v>
      </c>
      <c r="T131" s="88">
        <v>65</v>
      </c>
      <c r="U131" s="26"/>
      <c r="V131" s="20"/>
      <c r="W131" s="20"/>
      <c r="X131" s="26"/>
      <c r="Y131" s="544"/>
      <c r="Z131" s="20"/>
      <c r="AA131" s="20"/>
      <c r="AB131" s="551"/>
      <c r="AC131" s="26"/>
      <c r="AD131" s="20"/>
      <c r="AE131" s="20"/>
      <c r="AF131" s="551"/>
      <c r="AG131" s="26"/>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c r="IV131" s="20"/>
      <c r="IW131" s="20"/>
      <c r="IX131" s="20"/>
      <c r="IY131" s="20"/>
      <c r="IZ131" s="20"/>
      <c r="JA131" s="20"/>
      <c r="JB131" s="20"/>
      <c r="JC131" s="20"/>
      <c r="JD131" s="20"/>
      <c r="JE131" s="20"/>
    </row>
    <row r="132" spans="1:265" x14ac:dyDescent="0.2">
      <c r="E132" s="37"/>
      <c r="F132" s="37"/>
    </row>
    <row r="133" spans="1:265" ht="15.75" x14ac:dyDescent="0.25">
      <c r="A133" s="903" t="s">
        <v>3940</v>
      </c>
      <c r="B133" s="903"/>
      <c r="C133" s="903"/>
      <c r="E133" s="37"/>
      <c r="F133" s="37"/>
    </row>
    <row r="134" spans="1:265" s="520" customFormat="1" ht="15" customHeight="1" x14ac:dyDescent="0.2">
      <c r="A134" s="520" t="s">
        <v>3732</v>
      </c>
      <c r="B134" s="662">
        <v>43023</v>
      </c>
      <c r="C134" s="663" t="s">
        <v>4378</v>
      </c>
      <c r="E134" s="520" t="s">
        <v>4387</v>
      </c>
      <c r="G134" s="520" t="s">
        <v>3878</v>
      </c>
      <c r="H134" s="664">
        <v>54269002824</v>
      </c>
      <c r="L134" s="521" t="s">
        <v>975</v>
      </c>
      <c r="N134" s="665">
        <v>349</v>
      </c>
      <c r="O134" s="520">
        <v>3</v>
      </c>
      <c r="P134" s="522">
        <v>12</v>
      </c>
      <c r="Q134" s="666">
        <v>0.23</v>
      </c>
      <c r="R134" s="667">
        <v>2.38</v>
      </c>
      <c r="S134" s="667">
        <v>1.96</v>
      </c>
      <c r="T134" s="666">
        <v>1.89</v>
      </c>
      <c r="U134" s="522">
        <v>0.78</v>
      </c>
      <c r="X134" s="522"/>
      <c r="Y134" s="522"/>
      <c r="AB134" s="522"/>
      <c r="AC134" s="522"/>
      <c r="AF134" s="522"/>
      <c r="AG134" s="522"/>
      <c r="AH134" s="520" t="s">
        <v>4393</v>
      </c>
      <c r="AI134" s="520" t="s">
        <v>4394</v>
      </c>
      <c r="AJ134" s="520" t="s">
        <v>4395</v>
      </c>
      <c r="AK134" s="520" t="s">
        <v>4397</v>
      </c>
      <c r="AL134" s="520" t="s">
        <v>4398</v>
      </c>
      <c r="AM134" s="520" t="s">
        <v>4399</v>
      </c>
    </row>
    <row r="135" spans="1:265" x14ac:dyDescent="0.2">
      <c r="A135" s="20" t="s">
        <v>3732</v>
      </c>
      <c r="B135" s="319">
        <v>43023</v>
      </c>
      <c r="C135" s="20" t="s">
        <v>4379</v>
      </c>
      <c r="E135" s="37" t="s">
        <v>4380</v>
      </c>
      <c r="F135" s="37"/>
      <c r="G135" s="20" t="s">
        <v>3878</v>
      </c>
      <c r="H135" s="653">
        <v>54269002466</v>
      </c>
      <c r="L135" s="45" t="s">
        <v>975</v>
      </c>
      <c r="N135" s="610">
        <v>299</v>
      </c>
      <c r="O135" s="20">
        <v>3</v>
      </c>
      <c r="P135" s="26">
        <v>12</v>
      </c>
      <c r="Q135" s="88">
        <v>0.43</v>
      </c>
      <c r="R135" s="243">
        <v>3.15</v>
      </c>
      <c r="S135" s="243">
        <v>2.76</v>
      </c>
      <c r="T135" s="88">
        <v>1.97</v>
      </c>
      <c r="U135" s="26">
        <v>0.99</v>
      </c>
      <c r="AH135" s="612" t="s">
        <v>4388</v>
      </c>
      <c r="AI135" s="609" t="s">
        <v>4392</v>
      </c>
      <c r="AJ135" s="612" t="s">
        <v>4389</v>
      </c>
      <c r="AK135" s="609" t="s">
        <v>4396</v>
      </c>
      <c r="AL135" s="612" t="s">
        <v>4391</v>
      </c>
      <c r="AM135" s="612" t="s">
        <v>4390</v>
      </c>
      <c r="AN135" s="609" t="s">
        <v>4400</v>
      </c>
    </row>
    <row r="136" spans="1:265" x14ac:dyDescent="0.2">
      <c r="A136" s="20" t="s">
        <v>3732</v>
      </c>
      <c r="B136" s="319">
        <v>43023</v>
      </c>
      <c r="C136" s="67" t="s">
        <v>4363</v>
      </c>
      <c r="E136" s="37" t="s">
        <v>4370</v>
      </c>
      <c r="F136" s="37"/>
      <c r="G136" s="20" t="s">
        <v>4386</v>
      </c>
      <c r="H136" s="654">
        <v>54269002732</v>
      </c>
      <c r="I136" s="583">
        <v>10054269002739</v>
      </c>
      <c r="J136" s="583">
        <v>20054269002736</v>
      </c>
      <c r="L136" s="45" t="s">
        <v>975</v>
      </c>
      <c r="N136" s="515">
        <v>39.99</v>
      </c>
      <c r="O136" s="20">
        <v>1</v>
      </c>
      <c r="P136" s="26">
        <v>10</v>
      </c>
      <c r="Q136" s="88">
        <v>0.34</v>
      </c>
      <c r="R136" s="243">
        <v>16.100000000000001</v>
      </c>
      <c r="S136" s="243">
        <v>1.8</v>
      </c>
      <c r="T136" s="88">
        <v>1.8</v>
      </c>
      <c r="U136" s="87">
        <v>0.51</v>
      </c>
    </row>
    <row r="137" spans="1:265" x14ac:dyDescent="0.2">
      <c r="A137" s="20" t="s">
        <v>3732</v>
      </c>
      <c r="B137" s="319">
        <v>43023</v>
      </c>
      <c r="C137" s="67" t="s">
        <v>4362</v>
      </c>
      <c r="E137" s="37" t="s">
        <v>4369</v>
      </c>
      <c r="F137" s="37"/>
      <c r="G137" s="20" t="s">
        <v>4386</v>
      </c>
      <c r="H137" s="654">
        <v>54269002749</v>
      </c>
      <c r="I137" s="583">
        <v>10054269002746</v>
      </c>
      <c r="J137" s="583">
        <v>20054269002743</v>
      </c>
      <c r="L137" s="45" t="s">
        <v>975</v>
      </c>
      <c r="N137" s="515">
        <v>49.99</v>
      </c>
      <c r="O137" s="20">
        <v>1</v>
      </c>
      <c r="P137" s="26">
        <v>10</v>
      </c>
      <c r="Q137" s="88">
        <v>0.78</v>
      </c>
      <c r="R137" s="243">
        <v>23.6</v>
      </c>
      <c r="S137" s="243">
        <v>1.8</v>
      </c>
      <c r="T137" s="88">
        <v>1.8</v>
      </c>
      <c r="U137" s="87">
        <v>0.79</v>
      </c>
    </row>
    <row r="138" spans="1:265" x14ac:dyDescent="0.2">
      <c r="A138" s="20" t="s">
        <v>3732</v>
      </c>
      <c r="B138" s="319">
        <v>43023</v>
      </c>
      <c r="C138" s="67" t="s">
        <v>4361</v>
      </c>
      <c r="E138" s="37" t="s">
        <v>4077</v>
      </c>
      <c r="F138" s="37"/>
      <c r="G138" s="20" t="s">
        <v>4386</v>
      </c>
      <c r="H138" s="654">
        <v>54269002756</v>
      </c>
      <c r="I138" s="583">
        <v>10054269002753</v>
      </c>
      <c r="J138" s="583">
        <v>20054269002750</v>
      </c>
      <c r="L138" s="45" t="s">
        <v>975</v>
      </c>
      <c r="N138" s="515">
        <v>29.99</v>
      </c>
      <c r="O138" s="20">
        <v>1</v>
      </c>
      <c r="P138" s="26">
        <v>10</v>
      </c>
      <c r="Q138" s="88">
        <v>0.37</v>
      </c>
      <c r="R138" s="243">
        <v>10.199999999999999</v>
      </c>
      <c r="S138" s="243">
        <v>2.2000000000000002</v>
      </c>
      <c r="T138" s="88">
        <v>1.2</v>
      </c>
      <c r="U138" s="87">
        <v>0.49</v>
      </c>
    </row>
    <row r="139" spans="1:265" x14ac:dyDescent="0.2">
      <c r="A139" s="20" t="s">
        <v>3732</v>
      </c>
      <c r="B139" s="319">
        <v>43023</v>
      </c>
      <c r="C139" s="67" t="s">
        <v>4360</v>
      </c>
      <c r="E139" s="37" t="s">
        <v>4368</v>
      </c>
      <c r="F139" s="37"/>
      <c r="G139" s="20" t="s">
        <v>4386</v>
      </c>
      <c r="H139" s="654">
        <v>54269002763</v>
      </c>
      <c r="I139" s="583">
        <v>10054269002760</v>
      </c>
      <c r="J139" s="583">
        <v>20054269002767</v>
      </c>
      <c r="L139" s="45" t="s">
        <v>975</v>
      </c>
      <c r="N139" s="515">
        <v>24.99</v>
      </c>
      <c r="O139" s="20">
        <v>1</v>
      </c>
      <c r="P139" s="40">
        <v>10</v>
      </c>
      <c r="Q139" s="88">
        <v>0.2</v>
      </c>
      <c r="R139" s="243">
        <v>7.5</v>
      </c>
      <c r="S139" s="243">
        <v>2</v>
      </c>
      <c r="T139" s="88">
        <v>1.6</v>
      </c>
    </row>
    <row r="140" spans="1:265" x14ac:dyDescent="0.2">
      <c r="A140" s="20" t="s">
        <v>3732</v>
      </c>
      <c r="B140" s="319">
        <v>43023</v>
      </c>
      <c r="C140" s="67" t="s">
        <v>4359</v>
      </c>
      <c r="E140" s="37" t="s">
        <v>4367</v>
      </c>
      <c r="F140" s="37"/>
      <c r="G140" s="20" t="s">
        <v>4386</v>
      </c>
      <c r="H140" s="654">
        <v>54269002770</v>
      </c>
      <c r="I140" s="583">
        <v>10054269002777</v>
      </c>
      <c r="J140" s="583">
        <v>20054269002774</v>
      </c>
      <c r="L140" s="45" t="s">
        <v>975</v>
      </c>
      <c r="N140" s="515">
        <v>9.99</v>
      </c>
      <c r="O140" s="20">
        <v>1</v>
      </c>
      <c r="P140" s="40">
        <v>10</v>
      </c>
      <c r="Q140" s="88">
        <v>0.03</v>
      </c>
      <c r="R140" s="243">
        <v>10</v>
      </c>
      <c r="S140" s="243">
        <v>1.5</v>
      </c>
      <c r="T140" s="88">
        <v>0.8</v>
      </c>
    </row>
    <row r="141" spans="1:265" x14ac:dyDescent="0.2">
      <c r="A141" s="20" t="s">
        <v>3732</v>
      </c>
      <c r="B141" s="319">
        <v>43023</v>
      </c>
      <c r="C141" s="67" t="s">
        <v>4358</v>
      </c>
      <c r="E141" s="37" t="s">
        <v>4366</v>
      </c>
      <c r="F141" s="37"/>
      <c r="G141" s="20" t="s">
        <v>4386</v>
      </c>
      <c r="H141" s="654">
        <v>54269002787</v>
      </c>
      <c r="I141" s="583">
        <v>10054269002784</v>
      </c>
      <c r="J141" s="583">
        <v>20054269002781</v>
      </c>
      <c r="L141" s="45" t="s">
        <v>975</v>
      </c>
      <c r="N141" s="515">
        <v>24.99</v>
      </c>
      <c r="O141" s="20">
        <v>1</v>
      </c>
      <c r="P141" s="40">
        <v>10</v>
      </c>
      <c r="Q141" s="88">
        <v>0.13</v>
      </c>
      <c r="R141" s="243">
        <v>2</v>
      </c>
      <c r="S141" s="243">
        <v>2</v>
      </c>
      <c r="T141" s="88">
        <v>3.1</v>
      </c>
      <c r="U141" s="87">
        <v>0.18</v>
      </c>
    </row>
    <row r="142" spans="1:265" x14ac:dyDescent="0.2">
      <c r="A142" s="20" t="s">
        <v>3732</v>
      </c>
      <c r="B142" s="319">
        <v>43023</v>
      </c>
      <c r="C142" s="67" t="s">
        <v>4364</v>
      </c>
      <c r="E142" s="37" t="s">
        <v>4365</v>
      </c>
      <c r="F142" s="37"/>
      <c r="G142" s="20" t="s">
        <v>4386</v>
      </c>
      <c r="H142" s="654">
        <v>54269002794</v>
      </c>
      <c r="I142" s="583">
        <v>10054269002791</v>
      </c>
      <c r="J142" s="583">
        <v>20054269002798</v>
      </c>
      <c r="L142" s="45" t="s">
        <v>975</v>
      </c>
      <c r="N142" s="515">
        <v>29.99</v>
      </c>
      <c r="O142" s="20">
        <v>1</v>
      </c>
      <c r="P142" s="40">
        <v>10</v>
      </c>
      <c r="Q142" s="88">
        <v>0.2</v>
      </c>
      <c r="R142" s="243">
        <v>5.79</v>
      </c>
      <c r="S142" s="243">
        <v>2.76</v>
      </c>
      <c r="T142" s="88">
        <v>1.89</v>
      </c>
      <c r="U142" s="87">
        <v>0.26</v>
      </c>
    </row>
    <row r="143" spans="1:265" x14ac:dyDescent="0.2">
      <c r="A143" s="20" t="s">
        <v>3732</v>
      </c>
      <c r="B143" s="319">
        <v>43023</v>
      </c>
      <c r="C143" s="67" t="s">
        <v>4371</v>
      </c>
      <c r="E143" s="37" t="s">
        <v>4067</v>
      </c>
      <c r="F143" s="37"/>
      <c r="G143" s="20" t="s">
        <v>4386</v>
      </c>
      <c r="H143" s="654">
        <v>54269002800</v>
      </c>
      <c r="I143" s="583">
        <v>10054269002807</v>
      </c>
      <c r="J143" s="583">
        <v>20054269002804</v>
      </c>
      <c r="L143" s="45" t="s">
        <v>975</v>
      </c>
      <c r="N143" s="515">
        <v>19.989999999999998</v>
      </c>
      <c r="O143" s="20">
        <v>1</v>
      </c>
      <c r="P143" s="40">
        <v>10</v>
      </c>
      <c r="Q143" s="88">
        <v>0.21</v>
      </c>
      <c r="R143" s="243">
        <v>4.0999999999999996</v>
      </c>
      <c r="S143" s="243">
        <v>4.0999999999999996</v>
      </c>
      <c r="T143" s="88">
        <v>3.5</v>
      </c>
      <c r="U143" s="87">
        <v>0.28000000000000003</v>
      </c>
    </row>
    <row r="144" spans="1:265" x14ac:dyDescent="0.2">
      <c r="A144" s="20" t="s">
        <v>3732</v>
      </c>
      <c r="B144" s="319">
        <v>43023</v>
      </c>
      <c r="C144" s="67" t="s">
        <v>4372</v>
      </c>
      <c r="E144" s="37" t="s">
        <v>4050</v>
      </c>
      <c r="F144" s="37"/>
      <c r="G144" s="20" t="s">
        <v>4386</v>
      </c>
      <c r="H144" s="654">
        <v>54269002817</v>
      </c>
      <c r="I144" s="583">
        <v>10054269002814</v>
      </c>
      <c r="J144" s="583">
        <v>20054269002811</v>
      </c>
      <c r="L144" s="45" t="s">
        <v>975</v>
      </c>
      <c r="N144" s="515">
        <v>29.99</v>
      </c>
      <c r="O144" s="20">
        <v>1</v>
      </c>
      <c r="P144" s="40">
        <v>10</v>
      </c>
      <c r="Q144" s="88">
        <v>0.11</v>
      </c>
      <c r="R144" s="243">
        <v>10</v>
      </c>
      <c r="S144" s="243">
        <v>1.5</v>
      </c>
      <c r="T144" s="88">
        <v>0.8</v>
      </c>
      <c r="U144" s="87">
        <v>0.15</v>
      </c>
    </row>
  </sheetData>
  <mergeCells count="4">
    <mergeCell ref="A3:C3"/>
    <mergeCell ref="A21:B21"/>
    <mergeCell ref="A48:B48"/>
    <mergeCell ref="A133:C133"/>
  </mergeCells>
  <dataValidations count="1">
    <dataValidation allowBlank="1" showErrorMessage="1" sqref="I2:J2 B95:B115" xr:uid="{00000000-0002-0000-0400-000000000000}"/>
  </dataValidations>
  <pageMargins left="0.25" right="0.25" top="0.25" bottom="0.25" header="0.3" footer="0.3"/>
  <pageSetup paperSize="3" scale="2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273"/>
  <sheetViews>
    <sheetView zoomScaleNormal="100" workbookViewId="0">
      <pane xSplit="6" ySplit="2" topLeftCell="G3" activePane="bottomRight" state="frozen"/>
      <selection pane="topRight" activeCell="F1" sqref="F1"/>
      <selection pane="bottomLeft" activeCell="A2" sqref="A2"/>
      <selection pane="bottomRight" activeCell="M1" sqref="M1:M1048576"/>
    </sheetView>
  </sheetViews>
  <sheetFormatPr defaultRowHeight="12.75" x14ac:dyDescent="0.2"/>
  <cols>
    <col min="1" max="1" width="19.5703125" customWidth="1"/>
    <col min="2" max="2" width="8.28515625" style="20" customWidth="1"/>
    <col min="3" max="3" width="13" bestFit="1" customWidth="1"/>
    <col min="4" max="4" width="13.42578125" customWidth="1"/>
    <col min="5" max="5" width="32.5703125" bestFit="1" customWidth="1"/>
    <col min="6" max="6" width="21.28515625" customWidth="1"/>
    <col min="7" max="7" width="12.5703125" bestFit="1" customWidth="1"/>
    <col min="8" max="9" width="14.5703125" style="229" customWidth="1"/>
    <col min="10" max="10" width="15.28515625" style="229" bestFit="1" customWidth="1"/>
    <col min="11" max="11" width="13.28515625" customWidth="1"/>
    <col min="12" max="12" width="7.28515625" customWidth="1"/>
    <col min="13" max="13" width="11" customWidth="1"/>
    <col min="14" max="14" width="8.42578125" customWidth="1"/>
    <col min="15" max="15" width="6.7109375" customWidth="1"/>
    <col min="16" max="16" width="7.28515625" style="240" customWidth="1"/>
    <col min="17" max="17" width="12.5703125" style="139" customWidth="1"/>
    <col min="18" max="19" width="12.5703125" style="139" bestFit="1" customWidth="1"/>
    <col min="20" max="20" width="12.5703125" style="186" bestFit="1" customWidth="1"/>
    <col min="21" max="21" width="10.28515625" style="241" customWidth="1"/>
    <col min="22" max="23" width="10.28515625" bestFit="1" customWidth="1"/>
    <col min="24" max="24" width="10.42578125" style="240" bestFit="1" customWidth="1"/>
    <col min="25" max="25" width="10.7109375" style="230" bestFit="1" customWidth="1"/>
    <col min="26" max="27" width="10.7109375" bestFit="1" customWidth="1"/>
    <col min="28" max="28" width="10.7109375" style="240" bestFit="1" customWidth="1"/>
    <col min="29" max="29" width="7.42578125" style="230" bestFit="1" customWidth="1"/>
    <col min="30" max="30" width="9.7109375" customWidth="1"/>
    <col min="31" max="31" width="10" bestFit="1" customWidth="1"/>
    <col min="32" max="32" width="10.42578125" style="240" bestFit="1" customWidth="1"/>
    <col min="33" max="33" width="10.28515625" style="230" bestFit="1" customWidth="1"/>
    <col min="34" max="41" width="10.7109375" customWidth="1"/>
  </cols>
  <sheetData>
    <row r="1" spans="1:44" ht="57" customHeight="1" thickBot="1" x14ac:dyDescent="0.25">
      <c r="B1" s="26"/>
      <c r="P1" s="390"/>
      <c r="Q1" s="400"/>
      <c r="R1" s="400"/>
      <c r="S1" s="400"/>
      <c r="T1" s="400"/>
      <c r="U1" s="401"/>
      <c r="X1" s="390"/>
      <c r="Y1" s="390"/>
      <c r="AB1" s="390"/>
      <c r="AC1" s="390"/>
      <c r="AF1" s="390"/>
      <c r="AG1" s="390"/>
    </row>
    <row r="2" spans="1:44" s="247" customFormat="1" ht="57" thickBot="1" x14ac:dyDescent="0.25">
      <c r="A2" s="393" t="s">
        <v>131</v>
      </c>
      <c r="B2" s="394" t="s">
        <v>2475</v>
      </c>
      <c r="C2" s="395" t="s">
        <v>138</v>
      </c>
      <c r="D2" s="395" t="s">
        <v>98</v>
      </c>
      <c r="E2" s="395" t="s">
        <v>99</v>
      </c>
      <c r="F2" s="395" t="s">
        <v>100</v>
      </c>
      <c r="G2" s="395" t="s">
        <v>2519</v>
      </c>
      <c r="H2" s="396" t="s">
        <v>501</v>
      </c>
      <c r="I2" s="397" t="s">
        <v>2544</v>
      </c>
      <c r="J2" s="397" t="s">
        <v>2543</v>
      </c>
      <c r="K2" s="396" t="s">
        <v>260</v>
      </c>
      <c r="L2" s="396" t="s">
        <v>974</v>
      </c>
      <c r="M2" s="395" t="s">
        <v>5442</v>
      </c>
      <c r="N2" s="395" t="s">
        <v>132</v>
      </c>
      <c r="O2" s="395" t="s">
        <v>77</v>
      </c>
      <c r="P2" s="399" t="s">
        <v>78</v>
      </c>
      <c r="Q2" s="393" t="s">
        <v>2515</v>
      </c>
      <c r="R2" s="398" t="s">
        <v>2794</v>
      </c>
      <c r="S2" s="398" t="s">
        <v>2516</v>
      </c>
      <c r="T2" s="399" t="s">
        <v>2518</v>
      </c>
      <c r="U2" s="393" t="s">
        <v>2463</v>
      </c>
      <c r="V2" s="398" t="s">
        <v>2795</v>
      </c>
      <c r="W2" s="398" t="s">
        <v>2464</v>
      </c>
      <c r="X2" s="399" t="s">
        <v>2466</v>
      </c>
      <c r="Y2" s="393" t="s">
        <v>2467</v>
      </c>
      <c r="Z2" s="398" t="s">
        <v>2796</v>
      </c>
      <c r="AA2" s="398" t="s">
        <v>2468</v>
      </c>
      <c r="AB2" s="399" t="s">
        <v>2470</v>
      </c>
      <c r="AC2" s="393" t="s">
        <v>2471</v>
      </c>
      <c r="AD2" s="398" t="s">
        <v>2797</v>
      </c>
      <c r="AE2" s="398" t="s">
        <v>2472</v>
      </c>
      <c r="AF2" s="399" t="s">
        <v>2474</v>
      </c>
      <c r="AG2" s="393" t="s">
        <v>2484</v>
      </c>
      <c r="AH2" s="331" t="s">
        <v>133</v>
      </c>
      <c r="AI2" s="331" t="s">
        <v>134</v>
      </c>
      <c r="AJ2" s="331" t="s">
        <v>135</v>
      </c>
      <c r="AK2" s="331" t="s">
        <v>136</v>
      </c>
      <c r="AL2" s="331" t="s">
        <v>137</v>
      </c>
      <c r="AM2" s="331" t="s">
        <v>2104</v>
      </c>
      <c r="AN2" s="331" t="s">
        <v>2105</v>
      </c>
      <c r="AO2" s="331" t="s">
        <v>2106</v>
      </c>
      <c r="AP2" s="332" t="s">
        <v>144</v>
      </c>
      <c r="AQ2" s="332" t="s">
        <v>145</v>
      </c>
      <c r="AR2" s="333" t="s">
        <v>146</v>
      </c>
    </row>
    <row r="3" spans="1:44" s="14" customFormat="1" ht="15.75" x14ac:dyDescent="0.25">
      <c r="A3" s="106" t="s">
        <v>3075</v>
      </c>
      <c r="B3" s="318"/>
      <c r="C3" s="15"/>
      <c r="D3" s="15"/>
      <c r="E3" s="16"/>
      <c r="H3" s="27"/>
      <c r="I3" s="27"/>
      <c r="J3" s="27"/>
      <c r="K3" s="27"/>
      <c r="L3" s="20"/>
      <c r="M3" s="4"/>
      <c r="N3" s="4"/>
      <c r="O3" s="17"/>
      <c r="P3" s="74"/>
      <c r="Q3" s="271"/>
      <c r="R3" s="271"/>
      <c r="S3" s="271"/>
      <c r="T3" s="272"/>
      <c r="U3" s="33"/>
      <c r="V3" s="15"/>
      <c r="W3" s="15"/>
      <c r="X3" s="43"/>
      <c r="Y3" s="42"/>
      <c r="Z3" s="15"/>
      <c r="AA3" s="15"/>
      <c r="AB3" s="43"/>
      <c r="AC3" s="42"/>
      <c r="AD3" s="15"/>
      <c r="AE3" s="15"/>
      <c r="AF3" s="43"/>
      <c r="AG3" s="41"/>
    </row>
    <row r="4" spans="1:44" s="280" customFormat="1" ht="12.75" customHeight="1" x14ac:dyDescent="0.2">
      <c r="A4" s="383" t="s">
        <v>911</v>
      </c>
      <c r="B4" s="125"/>
      <c r="C4" s="278"/>
      <c r="D4" s="278"/>
      <c r="E4" s="279"/>
      <c r="H4" s="281"/>
      <c r="I4" s="281"/>
      <c r="J4" s="281"/>
      <c r="K4" s="281"/>
      <c r="L4" s="282"/>
      <c r="M4" s="514"/>
      <c r="N4" s="514" t="str">
        <f>IF($C4="","",VLOOKUP($C4,'2017 Pricelist'!$C:$I,7,FALSE))</f>
        <v/>
      </c>
      <c r="O4" s="283"/>
      <c r="P4" s="284"/>
      <c r="Q4" s="33"/>
      <c r="R4" s="33"/>
      <c r="S4" s="33"/>
      <c r="T4" s="70"/>
      <c r="U4" s="274"/>
      <c r="V4" s="278"/>
      <c r="W4" s="278"/>
      <c r="X4" s="285"/>
      <c r="Y4" s="391"/>
      <c r="Z4" s="278"/>
      <c r="AA4" s="278"/>
      <c r="AB4" s="285"/>
      <c r="AC4" s="391"/>
      <c r="AD4" s="278"/>
      <c r="AE4" s="278"/>
      <c r="AF4" s="285"/>
      <c r="AG4" s="387"/>
    </row>
    <row r="5" spans="1:44" s="14" customFormat="1" ht="12.75" customHeight="1" x14ac:dyDescent="0.2">
      <c r="A5" s="18" t="s">
        <v>2727</v>
      </c>
      <c r="B5" s="125"/>
      <c r="C5" s="45" t="s">
        <v>1881</v>
      </c>
      <c r="D5" s="19" t="s">
        <v>1988</v>
      </c>
      <c r="E5" s="20" t="s">
        <v>3061</v>
      </c>
      <c r="F5" s="19" t="s">
        <v>3063</v>
      </c>
      <c r="G5" s="19" t="s">
        <v>2557</v>
      </c>
      <c r="H5" s="111" t="s">
        <v>1882</v>
      </c>
      <c r="I5" s="111" t="s">
        <v>259</v>
      </c>
      <c r="J5" s="298" t="s">
        <v>3712</v>
      </c>
      <c r="K5" s="28" t="s">
        <v>568</v>
      </c>
      <c r="L5" s="27" t="s">
        <v>975</v>
      </c>
      <c r="M5" s="514"/>
      <c r="N5" s="514">
        <f>IF($C5="","",VLOOKUP($C5,'2017 Pricelist'!$C:$I,7,FALSE))</f>
        <v>34.99</v>
      </c>
      <c r="O5" s="35">
        <v>1</v>
      </c>
      <c r="P5" s="187">
        <v>4</v>
      </c>
      <c r="Q5" s="33">
        <v>2.5</v>
      </c>
      <c r="R5" s="33">
        <v>8</v>
      </c>
      <c r="S5" s="33">
        <v>8</v>
      </c>
      <c r="T5" s="70">
        <v>8</v>
      </c>
      <c r="U5" s="33">
        <f>49.1/16</f>
        <v>3.0687500000000001</v>
      </c>
      <c r="V5" s="33">
        <v>9</v>
      </c>
      <c r="W5" s="33">
        <v>9</v>
      </c>
      <c r="X5" s="70">
        <v>8.5</v>
      </c>
      <c r="Y5" s="44" t="s">
        <v>259</v>
      </c>
      <c r="Z5" s="33" t="s">
        <v>259</v>
      </c>
      <c r="AA5" s="33" t="s">
        <v>259</v>
      </c>
      <c r="AB5" s="70" t="s">
        <v>259</v>
      </c>
      <c r="AC5" s="44">
        <f>CONVERT(6500,"g","lbm")</f>
        <v>14.330047042017043</v>
      </c>
      <c r="AD5" s="33">
        <f>CONVERT(0.455,"m","in")</f>
        <v>17.913385826771652</v>
      </c>
      <c r="AE5" s="33">
        <f>CONVERT(0.455,"m","in")</f>
        <v>17.913385826771652</v>
      </c>
      <c r="AF5" s="70">
        <f>CONVERT(0.235,"m","in")</f>
        <v>9.2519685039370074</v>
      </c>
      <c r="AG5" s="42">
        <f>AD5*AE5*AF5/(12^3)</f>
        <v>1.7180894363338008</v>
      </c>
      <c r="AH5" s="37" t="s">
        <v>3081</v>
      </c>
      <c r="AI5" s="37" t="s">
        <v>3082</v>
      </c>
      <c r="AJ5" s="37" t="s">
        <v>3083</v>
      </c>
      <c r="AK5" s="37" t="s">
        <v>3084</v>
      </c>
      <c r="AL5" s="37" t="s">
        <v>3085</v>
      </c>
      <c r="AM5" s="37" t="s">
        <v>3086</v>
      </c>
      <c r="AN5" s="37" t="s">
        <v>3087</v>
      </c>
      <c r="AO5" s="404" t="s">
        <v>3091</v>
      </c>
      <c r="AP5" s="37" t="s">
        <v>3088</v>
      </c>
      <c r="AQ5" s="18" t="s">
        <v>3089</v>
      </c>
      <c r="AR5" s="18"/>
    </row>
    <row r="6" spans="1:44" s="14" customFormat="1" ht="12.75" customHeight="1" x14ac:dyDescent="0.2">
      <c r="A6" s="18" t="s">
        <v>2727</v>
      </c>
      <c r="B6" s="125"/>
      <c r="C6" s="45" t="s">
        <v>1881</v>
      </c>
      <c r="D6" s="19" t="s">
        <v>1949</v>
      </c>
      <c r="E6" s="20" t="s">
        <v>3061</v>
      </c>
      <c r="F6" s="19" t="s">
        <v>3064</v>
      </c>
      <c r="G6" s="19" t="s">
        <v>2557</v>
      </c>
      <c r="H6" s="64" t="s">
        <v>1948</v>
      </c>
      <c r="I6" s="64" t="s">
        <v>259</v>
      </c>
      <c r="J6" s="252">
        <v>20054269001296</v>
      </c>
      <c r="K6" s="28" t="s">
        <v>568</v>
      </c>
      <c r="L6" s="27" t="s">
        <v>975</v>
      </c>
      <c r="M6" s="514"/>
      <c r="N6" s="514">
        <f>IF($C6="","",VLOOKUP($C6,'2017 Pricelist'!$C:$I,7,FALSE))</f>
        <v>34.99</v>
      </c>
      <c r="O6" s="35">
        <v>1</v>
      </c>
      <c r="P6" s="187">
        <v>4</v>
      </c>
      <c r="Q6" s="33">
        <v>2.5</v>
      </c>
      <c r="R6" s="33">
        <v>8</v>
      </c>
      <c r="S6" s="33">
        <v>8</v>
      </c>
      <c r="T6" s="70">
        <v>8</v>
      </c>
      <c r="U6" s="33">
        <f t="shared" ref="U6:U7" si="0">49.1/16</f>
        <v>3.0687500000000001</v>
      </c>
      <c r="V6" s="33">
        <v>9</v>
      </c>
      <c r="W6" s="33">
        <v>9</v>
      </c>
      <c r="X6" s="70">
        <v>8.5</v>
      </c>
      <c r="Y6" s="44" t="s">
        <v>259</v>
      </c>
      <c r="Z6" s="33" t="s">
        <v>259</v>
      </c>
      <c r="AA6" s="33" t="s">
        <v>259</v>
      </c>
      <c r="AB6" s="70" t="s">
        <v>259</v>
      </c>
      <c r="AC6" s="44">
        <f t="shared" ref="AC6:AC7" si="1">CONVERT(6500,"g","lbm")</f>
        <v>14.330047042017043</v>
      </c>
      <c r="AD6" s="33">
        <f t="shared" ref="AD6:AE7" si="2">CONVERT(0.455,"m","in")</f>
        <v>17.913385826771652</v>
      </c>
      <c r="AE6" s="33">
        <f t="shared" si="2"/>
        <v>17.913385826771652</v>
      </c>
      <c r="AF6" s="70">
        <f t="shared" ref="AF6:AF7" si="3">CONVERT(0.235,"m","in")</f>
        <v>9.2519685039370074</v>
      </c>
      <c r="AG6" s="42">
        <f>AD6*AE6*AF6/(12^3)</f>
        <v>1.7180894363338008</v>
      </c>
      <c r="AH6" s="37" t="s">
        <v>3081</v>
      </c>
      <c r="AI6" s="37" t="s">
        <v>3082</v>
      </c>
      <c r="AJ6" s="37" t="s">
        <v>3083</v>
      </c>
      <c r="AK6" s="37" t="s">
        <v>3084</v>
      </c>
      <c r="AL6" s="37" t="s">
        <v>3085</v>
      </c>
      <c r="AM6" s="37" t="s">
        <v>3086</v>
      </c>
      <c r="AN6" s="37" t="s">
        <v>3087</v>
      </c>
      <c r="AO6" s="404" t="s">
        <v>3091</v>
      </c>
      <c r="AP6" s="37" t="s">
        <v>3088</v>
      </c>
      <c r="AQ6" s="18" t="s">
        <v>3089</v>
      </c>
      <c r="AR6" s="18"/>
    </row>
    <row r="7" spans="1:44" s="14" customFormat="1" ht="12.75" customHeight="1" x14ac:dyDescent="0.2">
      <c r="A7" s="18" t="s">
        <v>2727</v>
      </c>
      <c r="B7" s="125"/>
      <c r="C7" s="45" t="s">
        <v>1881</v>
      </c>
      <c r="D7" s="20" t="s">
        <v>374</v>
      </c>
      <c r="E7" s="20" t="s">
        <v>3061</v>
      </c>
      <c r="F7" s="20" t="s">
        <v>219</v>
      </c>
      <c r="G7" s="20" t="s">
        <v>2557</v>
      </c>
      <c r="H7" s="64" t="s">
        <v>1983</v>
      </c>
      <c r="I7" s="64" t="s">
        <v>259</v>
      </c>
      <c r="J7" s="252">
        <v>20054269001333</v>
      </c>
      <c r="K7" s="28" t="s">
        <v>568</v>
      </c>
      <c r="L7" s="27" t="s">
        <v>975</v>
      </c>
      <c r="M7" s="514"/>
      <c r="N7" s="514">
        <f>IF($C7="","",VLOOKUP($C7,'2017 Pricelist'!$C:$I,7,FALSE))</f>
        <v>34.99</v>
      </c>
      <c r="O7" s="35">
        <v>1</v>
      </c>
      <c r="P7" s="187">
        <v>4</v>
      </c>
      <c r="Q7" s="33">
        <v>2.5</v>
      </c>
      <c r="R7" s="33">
        <v>8</v>
      </c>
      <c r="S7" s="33">
        <v>8</v>
      </c>
      <c r="T7" s="70">
        <v>8</v>
      </c>
      <c r="U7" s="33">
        <f t="shared" si="0"/>
        <v>3.0687500000000001</v>
      </c>
      <c r="V7" s="33">
        <v>9</v>
      </c>
      <c r="W7" s="33">
        <v>9</v>
      </c>
      <c r="X7" s="70">
        <v>8.5</v>
      </c>
      <c r="Y7" s="44" t="s">
        <v>259</v>
      </c>
      <c r="Z7" s="33" t="s">
        <v>259</v>
      </c>
      <c r="AA7" s="33" t="s">
        <v>259</v>
      </c>
      <c r="AB7" s="70" t="s">
        <v>259</v>
      </c>
      <c r="AC7" s="44">
        <f t="shared" si="1"/>
        <v>14.330047042017043</v>
      </c>
      <c r="AD7" s="33">
        <f t="shared" si="2"/>
        <v>17.913385826771652</v>
      </c>
      <c r="AE7" s="33">
        <f t="shared" si="2"/>
        <v>17.913385826771652</v>
      </c>
      <c r="AF7" s="70">
        <f t="shared" si="3"/>
        <v>9.2519685039370074</v>
      </c>
      <c r="AG7" s="42">
        <f>AD7*AE7*AF7/(12^3)</f>
        <v>1.7180894363338008</v>
      </c>
      <c r="AH7" s="37" t="s">
        <v>3081</v>
      </c>
      <c r="AI7" s="37" t="s">
        <v>3082</v>
      </c>
      <c r="AJ7" s="37" t="s">
        <v>3083</v>
      </c>
      <c r="AK7" s="37" t="s">
        <v>3084</v>
      </c>
      <c r="AL7" s="37" t="s">
        <v>3085</v>
      </c>
      <c r="AM7" s="37" t="s">
        <v>3086</v>
      </c>
      <c r="AN7" s="37" t="s">
        <v>3087</v>
      </c>
      <c r="AO7" s="404" t="s">
        <v>3091</v>
      </c>
      <c r="AP7" s="37" t="s">
        <v>3088</v>
      </c>
      <c r="AQ7" s="18" t="s">
        <v>3089</v>
      </c>
      <c r="AR7" s="18"/>
    </row>
    <row r="8" spans="1:44" s="290" customFormat="1" ht="12.75" customHeight="1" x14ac:dyDescent="0.2">
      <c r="A8" s="172" t="s">
        <v>910</v>
      </c>
      <c r="B8" s="125"/>
      <c r="C8" s="286"/>
      <c r="D8" s="287"/>
      <c r="E8" s="270"/>
      <c r="F8" s="287"/>
      <c r="G8" s="287"/>
      <c r="H8" s="385"/>
      <c r="I8" s="385"/>
      <c r="J8" s="474"/>
      <c r="K8" s="288"/>
      <c r="L8" s="289"/>
      <c r="M8" s="514"/>
      <c r="N8" s="514" t="str">
        <f>IF($C8="","",VLOOKUP($C8,'2017 Pricelist'!$C:$I,7,FALSE))</f>
        <v/>
      </c>
      <c r="O8" s="266"/>
      <c r="P8" s="267"/>
      <c r="Q8" s="33"/>
      <c r="R8" s="33"/>
      <c r="S8" s="33"/>
      <c r="T8" s="70"/>
      <c r="U8" s="274"/>
      <c r="V8" s="274"/>
      <c r="W8" s="274"/>
      <c r="X8" s="275"/>
      <c r="Y8" s="388"/>
      <c r="Z8" s="274"/>
      <c r="AA8" s="274"/>
      <c r="AB8" s="275"/>
      <c r="AC8" s="388"/>
      <c r="AD8" s="274"/>
      <c r="AE8" s="274"/>
      <c r="AF8" s="275"/>
      <c r="AG8" s="42"/>
      <c r="AH8" s="270"/>
      <c r="AI8" s="270"/>
      <c r="AJ8" s="270"/>
      <c r="AK8" s="270"/>
      <c r="AL8" s="270"/>
      <c r="AM8" s="270"/>
      <c r="AN8" s="270"/>
      <c r="AO8" s="270"/>
      <c r="AP8" s="270"/>
    </row>
    <row r="9" spans="1:44" s="14" customFormat="1" ht="12.75" customHeight="1" x14ac:dyDescent="0.2">
      <c r="A9" s="18" t="s">
        <v>2727</v>
      </c>
      <c r="B9" s="125"/>
      <c r="C9" s="20" t="s">
        <v>1984</v>
      </c>
      <c r="D9" s="67" t="s">
        <v>1988</v>
      </c>
      <c r="E9" s="20" t="s">
        <v>3062</v>
      </c>
      <c r="F9" s="67" t="s">
        <v>3063</v>
      </c>
      <c r="G9" s="67" t="s">
        <v>2557</v>
      </c>
      <c r="H9" s="64" t="s">
        <v>1985</v>
      </c>
      <c r="I9" s="64" t="s">
        <v>259</v>
      </c>
      <c r="J9" s="252">
        <v>20054269001340</v>
      </c>
      <c r="K9" s="28" t="s">
        <v>568</v>
      </c>
      <c r="L9" s="27" t="s">
        <v>975</v>
      </c>
      <c r="M9" s="514"/>
      <c r="N9" s="514">
        <f>IF($C9="","",VLOOKUP($C9,'2017 Pricelist'!$C:$I,7,FALSE))</f>
        <v>49.99</v>
      </c>
      <c r="O9" s="35">
        <v>1</v>
      </c>
      <c r="P9" s="187">
        <v>4</v>
      </c>
      <c r="Q9" s="33">
        <v>3.5</v>
      </c>
      <c r="R9" s="33">
        <v>9</v>
      </c>
      <c r="S9" s="33">
        <v>9</v>
      </c>
      <c r="T9" s="70">
        <v>9</v>
      </c>
      <c r="U9" s="33">
        <v>3.5</v>
      </c>
      <c r="V9" s="33">
        <v>9.75</v>
      </c>
      <c r="W9" s="33">
        <v>9.75</v>
      </c>
      <c r="X9" s="70">
        <v>9.75</v>
      </c>
      <c r="Y9" s="44" t="s">
        <v>259</v>
      </c>
      <c r="Z9" s="33" t="s">
        <v>259</v>
      </c>
      <c r="AA9" s="33" t="s">
        <v>259</v>
      </c>
      <c r="AB9" s="70" t="s">
        <v>259</v>
      </c>
      <c r="AC9" s="44">
        <f>CONVERT(7.5,"kg","lbm")</f>
        <v>16.534669663865817</v>
      </c>
      <c r="AD9" s="33">
        <f>CONVERT(51,"cm","in")</f>
        <v>20.078740157480315</v>
      </c>
      <c r="AE9" s="33">
        <f t="shared" ref="AE9:AE11" si="4">CONVERT(51,"cm","in")</f>
        <v>20.078740157480315</v>
      </c>
      <c r="AF9" s="33">
        <f>CONVERT(26.5,"cm","in")</f>
        <v>10.433070866141732</v>
      </c>
      <c r="AG9" s="42">
        <f>AD9*AE9*AF9/(12^3)</f>
        <v>2.4341163757786828</v>
      </c>
      <c r="AH9" s="37" t="s">
        <v>3081</v>
      </c>
      <c r="AI9" s="37" t="s">
        <v>3082</v>
      </c>
      <c r="AJ9" s="37" t="s">
        <v>3090</v>
      </c>
      <c r="AK9" s="37" t="s">
        <v>3084</v>
      </c>
      <c r="AL9" s="37" t="s">
        <v>3085</v>
      </c>
      <c r="AM9" s="37" t="s">
        <v>3086</v>
      </c>
      <c r="AN9" s="37" t="s">
        <v>3087</v>
      </c>
      <c r="AO9" s="404" t="s">
        <v>3092</v>
      </c>
      <c r="AP9" s="37" t="s">
        <v>3093</v>
      </c>
      <c r="AQ9" s="18" t="s">
        <v>3089</v>
      </c>
      <c r="AR9" s="18"/>
    </row>
    <row r="10" spans="1:44" s="14" customFormat="1" ht="12.75" customHeight="1" x14ac:dyDescent="0.2">
      <c r="A10" s="18" t="s">
        <v>2727</v>
      </c>
      <c r="B10" s="125"/>
      <c r="C10" s="20" t="s">
        <v>1984</v>
      </c>
      <c r="D10" s="67" t="s">
        <v>1740</v>
      </c>
      <c r="E10" s="20" t="s">
        <v>3062</v>
      </c>
      <c r="F10" s="67" t="s">
        <v>1858</v>
      </c>
      <c r="G10" s="67" t="s">
        <v>2557</v>
      </c>
      <c r="H10" s="64" t="s">
        <v>1986</v>
      </c>
      <c r="I10" s="64" t="s">
        <v>259</v>
      </c>
      <c r="J10" s="252">
        <v>20054269001357</v>
      </c>
      <c r="K10" s="28" t="s">
        <v>568</v>
      </c>
      <c r="L10" s="27" t="s">
        <v>975</v>
      </c>
      <c r="M10" s="514"/>
      <c r="N10" s="514">
        <f>IF($C10="","",VLOOKUP($C10,'2017 Pricelist'!$C:$I,7,FALSE))</f>
        <v>49.99</v>
      </c>
      <c r="O10" s="35">
        <v>1</v>
      </c>
      <c r="P10" s="187">
        <v>4</v>
      </c>
      <c r="Q10" s="33">
        <v>3.5</v>
      </c>
      <c r="R10" s="33">
        <v>9</v>
      </c>
      <c r="S10" s="33">
        <v>9</v>
      </c>
      <c r="T10" s="70">
        <v>9</v>
      </c>
      <c r="U10" s="33">
        <v>3.5</v>
      </c>
      <c r="V10" s="33">
        <v>9.75</v>
      </c>
      <c r="W10" s="33">
        <v>9.75</v>
      </c>
      <c r="X10" s="70">
        <v>9.75</v>
      </c>
      <c r="Y10" s="44" t="s">
        <v>259</v>
      </c>
      <c r="Z10" s="33" t="s">
        <v>259</v>
      </c>
      <c r="AA10" s="33" t="s">
        <v>259</v>
      </c>
      <c r="AB10" s="70" t="s">
        <v>259</v>
      </c>
      <c r="AC10" s="44">
        <f t="shared" ref="AC10:AC11" si="5">CONVERT(7.5,"kg","lbm")</f>
        <v>16.534669663865817</v>
      </c>
      <c r="AD10" s="33">
        <f t="shared" ref="AD10:AD11" si="6">CONVERT(51,"cm","in")</f>
        <v>20.078740157480315</v>
      </c>
      <c r="AE10" s="33">
        <f t="shared" si="4"/>
        <v>20.078740157480315</v>
      </c>
      <c r="AF10" s="33">
        <f t="shared" ref="AF10:AF11" si="7">CONVERT(26.5,"cm","in")</f>
        <v>10.433070866141732</v>
      </c>
      <c r="AG10" s="42">
        <f>AD10*AE10*AF10/(12^3)</f>
        <v>2.4341163757786828</v>
      </c>
      <c r="AH10" s="37" t="s">
        <v>3081</v>
      </c>
      <c r="AI10" s="37" t="s">
        <v>3082</v>
      </c>
      <c r="AJ10" s="37" t="s">
        <v>3090</v>
      </c>
      <c r="AK10" s="37" t="s">
        <v>3084</v>
      </c>
      <c r="AL10" s="37" t="s">
        <v>3085</v>
      </c>
      <c r="AM10" s="37" t="s">
        <v>3086</v>
      </c>
      <c r="AN10" s="37" t="s">
        <v>3087</v>
      </c>
      <c r="AO10" s="404" t="s">
        <v>3092</v>
      </c>
      <c r="AP10" s="37" t="s">
        <v>3093</v>
      </c>
      <c r="AQ10" s="18" t="s">
        <v>3089</v>
      </c>
      <c r="AR10" s="18"/>
    </row>
    <row r="11" spans="1:44" s="14" customFormat="1" ht="12.75" customHeight="1" x14ac:dyDescent="0.2">
      <c r="A11" s="18" t="s">
        <v>2727</v>
      </c>
      <c r="B11" s="125"/>
      <c r="C11" s="20" t="s">
        <v>1984</v>
      </c>
      <c r="D11" s="67" t="s">
        <v>374</v>
      </c>
      <c r="E11" s="20" t="s">
        <v>3062</v>
      </c>
      <c r="F11" s="67" t="s">
        <v>219</v>
      </c>
      <c r="G11" s="67" t="s">
        <v>2557</v>
      </c>
      <c r="H11" s="64" t="s">
        <v>1987</v>
      </c>
      <c r="I11" s="64" t="s">
        <v>259</v>
      </c>
      <c r="J11" s="252">
        <v>20054269001364</v>
      </c>
      <c r="K11" s="28" t="s">
        <v>568</v>
      </c>
      <c r="L11" s="27" t="s">
        <v>975</v>
      </c>
      <c r="M11" s="514"/>
      <c r="N11" s="514">
        <f>IF($C11="","",VLOOKUP($C11,'2017 Pricelist'!$C:$I,7,FALSE))</f>
        <v>49.99</v>
      </c>
      <c r="O11" s="35">
        <v>1</v>
      </c>
      <c r="P11" s="187">
        <v>4</v>
      </c>
      <c r="Q11" s="33">
        <v>3.5</v>
      </c>
      <c r="R11" s="33">
        <v>9</v>
      </c>
      <c r="S11" s="33">
        <v>9</v>
      </c>
      <c r="T11" s="70">
        <v>9</v>
      </c>
      <c r="U11" s="33">
        <v>3.5</v>
      </c>
      <c r="V11" s="33">
        <v>9.75</v>
      </c>
      <c r="W11" s="33">
        <v>9.75</v>
      </c>
      <c r="X11" s="70">
        <v>9.75</v>
      </c>
      <c r="Y11" s="44" t="s">
        <v>259</v>
      </c>
      <c r="Z11" s="33" t="s">
        <v>259</v>
      </c>
      <c r="AA11" s="33" t="s">
        <v>259</v>
      </c>
      <c r="AB11" s="70" t="s">
        <v>259</v>
      </c>
      <c r="AC11" s="44">
        <f t="shared" si="5"/>
        <v>16.534669663865817</v>
      </c>
      <c r="AD11" s="33">
        <f t="shared" si="6"/>
        <v>20.078740157480315</v>
      </c>
      <c r="AE11" s="33">
        <f t="shared" si="4"/>
        <v>20.078740157480315</v>
      </c>
      <c r="AF11" s="33">
        <f t="shared" si="7"/>
        <v>10.433070866141732</v>
      </c>
      <c r="AG11" s="42">
        <f>AD11*AE11*AF11/(12^3)</f>
        <v>2.4341163757786828</v>
      </c>
      <c r="AH11" s="37" t="s">
        <v>3081</v>
      </c>
      <c r="AI11" s="37" t="s">
        <v>3082</v>
      </c>
      <c r="AJ11" s="37" t="s">
        <v>3090</v>
      </c>
      <c r="AK11" s="37" t="s">
        <v>3084</v>
      </c>
      <c r="AL11" s="37" t="s">
        <v>3085</v>
      </c>
      <c r="AM11" s="37" t="s">
        <v>3086</v>
      </c>
      <c r="AN11" s="37" t="s">
        <v>3087</v>
      </c>
      <c r="AO11" s="404" t="s">
        <v>3092</v>
      </c>
      <c r="AP11" s="37" t="s">
        <v>3093</v>
      </c>
      <c r="AQ11" s="18" t="s">
        <v>3089</v>
      </c>
      <c r="AR11" s="18"/>
    </row>
    <row r="12" spans="1:44" s="295" customFormat="1" ht="12.75" customHeight="1" x14ac:dyDescent="0.2">
      <c r="A12" s="172" t="s">
        <v>3076</v>
      </c>
      <c r="B12" s="125"/>
      <c r="C12" s="291"/>
      <c r="D12" s="292"/>
      <c r="E12" s="291"/>
      <c r="F12" s="292"/>
      <c r="G12" s="292"/>
      <c r="H12" s="386"/>
      <c r="I12" s="386"/>
      <c r="J12" s="386"/>
      <c r="K12" s="293"/>
      <c r="L12" s="294"/>
      <c r="M12" s="514"/>
      <c r="N12" s="514" t="str">
        <f>IF($C12="","",VLOOKUP($C12,'2017 Pricelist'!$C:$I,7,FALSE))</f>
        <v/>
      </c>
      <c r="O12" s="268"/>
      <c r="P12" s="269"/>
      <c r="Q12" s="271"/>
      <c r="R12" s="271"/>
      <c r="S12" s="271"/>
      <c r="T12" s="272"/>
      <c r="U12" s="276"/>
      <c r="V12" s="276"/>
      <c r="W12" s="276"/>
      <c r="X12" s="277"/>
      <c r="Y12" s="389"/>
      <c r="Z12" s="276"/>
      <c r="AA12" s="276"/>
      <c r="AB12" s="277"/>
      <c r="AC12" s="389"/>
      <c r="AD12" s="276"/>
      <c r="AE12" s="276"/>
      <c r="AF12" s="277"/>
      <c r="AG12" s="42"/>
      <c r="AH12" s="291"/>
      <c r="AI12" s="291"/>
      <c r="AJ12" s="291"/>
      <c r="AK12" s="291"/>
      <c r="AL12" s="291"/>
      <c r="AM12" s="291"/>
      <c r="AN12" s="291"/>
      <c r="AO12" s="291"/>
      <c r="AP12" s="291"/>
    </row>
    <row r="13" spans="1:44" s="14" customFormat="1" ht="12.75" customHeight="1" x14ac:dyDescent="0.2">
      <c r="A13" s="18" t="s">
        <v>2727</v>
      </c>
      <c r="B13" s="125"/>
      <c r="C13" s="113" t="s">
        <v>1989</v>
      </c>
      <c r="D13" s="67" t="s">
        <v>1988</v>
      </c>
      <c r="E13" s="67" t="s">
        <v>3065</v>
      </c>
      <c r="F13" s="19" t="s">
        <v>3063</v>
      </c>
      <c r="G13" s="67" t="s">
        <v>2557</v>
      </c>
      <c r="H13" s="111" t="s">
        <v>1882</v>
      </c>
      <c r="I13" s="64" t="s">
        <v>259</v>
      </c>
      <c r="J13" s="64" t="s">
        <v>259</v>
      </c>
      <c r="K13" s="28" t="s">
        <v>568</v>
      </c>
      <c r="L13" s="27" t="s">
        <v>975</v>
      </c>
      <c r="M13" s="514"/>
      <c r="N13" s="514">
        <v>34.99</v>
      </c>
      <c r="O13" s="35">
        <v>1</v>
      </c>
      <c r="P13" s="187">
        <v>4</v>
      </c>
      <c r="Q13" s="33">
        <v>2.5</v>
      </c>
      <c r="R13" s="33">
        <v>8</v>
      </c>
      <c r="S13" s="33">
        <v>8</v>
      </c>
      <c r="T13" s="70">
        <v>8</v>
      </c>
      <c r="U13" s="33">
        <f t="shared" ref="U13:U14" si="8">49.1/16</f>
        <v>3.0687500000000001</v>
      </c>
      <c r="V13" s="33">
        <v>9</v>
      </c>
      <c r="W13" s="33">
        <v>9</v>
      </c>
      <c r="X13" s="70">
        <v>8.5</v>
      </c>
      <c r="Y13" s="44" t="s">
        <v>259</v>
      </c>
      <c r="Z13" s="33" t="s">
        <v>259</v>
      </c>
      <c r="AA13" s="33" t="s">
        <v>259</v>
      </c>
      <c r="AB13" s="70" t="s">
        <v>259</v>
      </c>
      <c r="AC13" s="44">
        <f>CONVERT(6600,"g","lbm")</f>
        <v>14.55050930420192</v>
      </c>
      <c r="AD13" s="33">
        <f t="shared" ref="AD13:AE14" si="9">CONVERT(0.455,"m","in")</f>
        <v>17.913385826771652</v>
      </c>
      <c r="AE13" s="33">
        <f t="shared" si="9"/>
        <v>17.913385826771652</v>
      </c>
      <c r="AF13" s="70">
        <f t="shared" ref="AF13:AF14" si="10">CONVERT(0.235,"m","in")</f>
        <v>9.2519685039370074</v>
      </c>
      <c r="AG13" s="42">
        <f>AD13*AE13*AF13/(12^3)</f>
        <v>1.7180894363338008</v>
      </c>
      <c r="AH13" s="37" t="s">
        <v>3081</v>
      </c>
      <c r="AI13" s="37" t="s">
        <v>3082</v>
      </c>
      <c r="AJ13" s="37" t="s">
        <v>3083</v>
      </c>
      <c r="AK13" s="37" t="s">
        <v>3084</v>
      </c>
      <c r="AL13" s="37" t="s">
        <v>3085</v>
      </c>
      <c r="AM13" s="37" t="s">
        <v>3086</v>
      </c>
      <c r="AN13" s="37" t="s">
        <v>3087</v>
      </c>
      <c r="AO13" s="404" t="s">
        <v>3091</v>
      </c>
      <c r="AP13" s="37" t="s">
        <v>3088</v>
      </c>
      <c r="AQ13" s="18" t="s">
        <v>3089</v>
      </c>
      <c r="AR13" s="18"/>
    </row>
    <row r="14" spans="1:44" s="14" customFormat="1" ht="12.75" customHeight="1" x14ac:dyDescent="0.2">
      <c r="A14" s="18" t="s">
        <v>2727</v>
      </c>
      <c r="B14" s="125"/>
      <c r="C14" s="113" t="s">
        <v>1989</v>
      </c>
      <c r="D14" s="67" t="s">
        <v>1949</v>
      </c>
      <c r="E14" s="67" t="s">
        <v>3065</v>
      </c>
      <c r="F14" s="19" t="s">
        <v>3064</v>
      </c>
      <c r="G14" s="67" t="s">
        <v>2557</v>
      </c>
      <c r="H14" s="64" t="s">
        <v>1948</v>
      </c>
      <c r="I14" s="64" t="s">
        <v>259</v>
      </c>
      <c r="J14" s="64" t="s">
        <v>259</v>
      </c>
      <c r="K14" s="28" t="s">
        <v>568</v>
      </c>
      <c r="L14" s="27" t="s">
        <v>975</v>
      </c>
      <c r="M14" s="514"/>
      <c r="N14" s="514">
        <v>34.99</v>
      </c>
      <c r="O14" s="35">
        <v>1</v>
      </c>
      <c r="P14" s="187">
        <v>4</v>
      </c>
      <c r="Q14" s="33">
        <v>2.5</v>
      </c>
      <c r="R14" s="33">
        <v>8</v>
      </c>
      <c r="S14" s="33">
        <v>8</v>
      </c>
      <c r="T14" s="70">
        <v>8</v>
      </c>
      <c r="U14" s="33">
        <f t="shared" si="8"/>
        <v>3.0687500000000001</v>
      </c>
      <c r="V14" s="33">
        <v>9</v>
      </c>
      <c r="W14" s="33">
        <v>9</v>
      </c>
      <c r="X14" s="70">
        <v>8.5</v>
      </c>
      <c r="Y14" s="44" t="s">
        <v>259</v>
      </c>
      <c r="Z14" s="33" t="s">
        <v>259</v>
      </c>
      <c r="AA14" s="33" t="s">
        <v>259</v>
      </c>
      <c r="AB14" s="70" t="s">
        <v>259</v>
      </c>
      <c r="AC14" s="44">
        <f>CONVERT(6600,"g","lbm")</f>
        <v>14.55050930420192</v>
      </c>
      <c r="AD14" s="33">
        <f t="shared" si="9"/>
        <v>17.913385826771652</v>
      </c>
      <c r="AE14" s="33">
        <f t="shared" si="9"/>
        <v>17.913385826771652</v>
      </c>
      <c r="AF14" s="70">
        <f t="shared" si="10"/>
        <v>9.2519685039370074</v>
      </c>
      <c r="AG14" s="42">
        <f>AD14*AE14*AF14/(12^3)</f>
        <v>1.7180894363338008</v>
      </c>
      <c r="AH14" s="37" t="s">
        <v>3081</v>
      </c>
      <c r="AI14" s="37" t="s">
        <v>3082</v>
      </c>
      <c r="AJ14" s="37" t="s">
        <v>3083</v>
      </c>
      <c r="AK14" s="37" t="s">
        <v>3084</v>
      </c>
      <c r="AL14" s="37" t="s">
        <v>3085</v>
      </c>
      <c r="AM14" s="37" t="s">
        <v>3086</v>
      </c>
      <c r="AN14" s="37" t="s">
        <v>3087</v>
      </c>
      <c r="AO14" s="404" t="s">
        <v>3091</v>
      </c>
      <c r="AP14" s="37" t="s">
        <v>3088</v>
      </c>
      <c r="AQ14" s="18" t="s">
        <v>3089</v>
      </c>
      <c r="AR14" s="18"/>
    </row>
    <row r="15" spans="1:44" s="295" customFormat="1" ht="12.75" customHeight="1" x14ac:dyDescent="0.2">
      <c r="A15" s="172" t="s">
        <v>3077</v>
      </c>
      <c r="B15" s="125"/>
      <c r="C15" s="296"/>
      <c r="D15" s="292"/>
      <c r="E15" s="67"/>
      <c r="F15" s="292"/>
      <c r="G15" s="292"/>
      <c r="H15" s="386"/>
      <c r="I15" s="386"/>
      <c r="J15" s="386"/>
      <c r="K15" s="293"/>
      <c r="L15" s="294"/>
      <c r="M15" s="514"/>
      <c r="N15" s="514" t="str">
        <f>IF($C15="","",VLOOKUP($C15,'2017 Pricelist'!$C:$I,7,FALSE))</f>
        <v/>
      </c>
      <c r="O15" s="268"/>
      <c r="P15" s="269"/>
      <c r="Q15" s="271"/>
      <c r="R15" s="271"/>
      <c r="S15" s="271"/>
      <c r="T15" s="272"/>
      <c r="U15" s="276"/>
      <c r="V15" s="276"/>
      <c r="W15" s="276"/>
      <c r="X15" s="277"/>
      <c r="Y15" s="389"/>
      <c r="Z15" s="276"/>
      <c r="AA15" s="276"/>
      <c r="AB15" s="277"/>
      <c r="AC15" s="389"/>
      <c r="AD15" s="276"/>
      <c r="AE15" s="276"/>
      <c r="AF15" s="277"/>
      <c r="AG15" s="42"/>
      <c r="AH15" s="291"/>
      <c r="AI15" s="291"/>
      <c r="AJ15" s="291"/>
      <c r="AK15" s="291"/>
      <c r="AL15" s="291"/>
      <c r="AM15" s="291"/>
      <c r="AN15" s="291"/>
      <c r="AO15" s="291"/>
      <c r="AP15" s="291"/>
    </row>
    <row r="16" spans="1:44" s="14" customFormat="1" ht="12.75" customHeight="1" x14ac:dyDescent="0.2">
      <c r="A16" s="18" t="s">
        <v>2727</v>
      </c>
      <c r="B16" s="125"/>
      <c r="C16" s="113" t="s">
        <v>1990</v>
      </c>
      <c r="D16" s="67" t="s">
        <v>1740</v>
      </c>
      <c r="E16" s="67" t="s">
        <v>3066</v>
      </c>
      <c r="F16" s="67" t="s">
        <v>1858</v>
      </c>
      <c r="G16" s="67" t="s">
        <v>2557</v>
      </c>
      <c r="H16" s="64" t="s">
        <v>1986</v>
      </c>
      <c r="I16" s="64" t="s">
        <v>259</v>
      </c>
      <c r="J16" s="64" t="s">
        <v>259</v>
      </c>
      <c r="K16" s="28" t="s">
        <v>568</v>
      </c>
      <c r="L16" s="27" t="s">
        <v>975</v>
      </c>
      <c r="M16" s="514"/>
      <c r="N16" s="514">
        <v>49.99</v>
      </c>
      <c r="O16" s="35">
        <v>1</v>
      </c>
      <c r="P16" s="187">
        <v>4</v>
      </c>
      <c r="Q16" s="33">
        <v>3.5</v>
      </c>
      <c r="R16" s="33">
        <v>9</v>
      </c>
      <c r="S16" s="33">
        <v>9</v>
      </c>
      <c r="T16" s="70">
        <v>9</v>
      </c>
      <c r="U16" s="33">
        <v>3.5</v>
      </c>
      <c r="V16" s="33">
        <v>9.75</v>
      </c>
      <c r="W16" s="33">
        <v>9.75</v>
      </c>
      <c r="X16" s="70">
        <v>9.75</v>
      </c>
      <c r="Y16" s="44" t="s">
        <v>259</v>
      </c>
      <c r="Z16" s="33" t="s">
        <v>259</v>
      </c>
      <c r="AA16" s="33" t="s">
        <v>259</v>
      </c>
      <c r="AB16" s="70" t="s">
        <v>259</v>
      </c>
      <c r="AC16" s="44">
        <f>CONVERT(7.7,"kg","lbm")</f>
        <v>16.975594188235572</v>
      </c>
      <c r="AD16" s="33">
        <f t="shared" ref="AD16:AE17" si="11">CONVERT(51,"cm","in")</f>
        <v>20.078740157480315</v>
      </c>
      <c r="AE16" s="33">
        <f t="shared" si="11"/>
        <v>20.078740157480315</v>
      </c>
      <c r="AF16" s="33">
        <f t="shared" ref="AF16:AF17" si="12">CONVERT(26.5,"cm","in")</f>
        <v>10.433070866141732</v>
      </c>
      <c r="AG16" s="42">
        <f>AD16*AE16*AF16/(12^3)</f>
        <v>2.4341163757786828</v>
      </c>
      <c r="AH16" s="37" t="s">
        <v>3081</v>
      </c>
      <c r="AI16" s="37" t="s">
        <v>3082</v>
      </c>
      <c r="AJ16" s="37" t="s">
        <v>3090</v>
      </c>
      <c r="AK16" s="37" t="s">
        <v>3084</v>
      </c>
      <c r="AL16" s="37" t="s">
        <v>3085</v>
      </c>
      <c r="AM16" s="37" t="s">
        <v>3086</v>
      </c>
      <c r="AN16" s="37" t="s">
        <v>3087</v>
      </c>
      <c r="AO16" s="404" t="s">
        <v>3092</v>
      </c>
      <c r="AP16" s="37" t="s">
        <v>3093</v>
      </c>
      <c r="AQ16" s="18" t="s">
        <v>3089</v>
      </c>
      <c r="AR16" s="18"/>
    </row>
    <row r="17" spans="1:44" s="14" customFormat="1" ht="12.75" customHeight="1" x14ac:dyDescent="0.2">
      <c r="A17" s="18" t="s">
        <v>2727</v>
      </c>
      <c r="B17" s="125"/>
      <c r="C17" s="113" t="s">
        <v>1990</v>
      </c>
      <c r="D17" s="67" t="s">
        <v>374</v>
      </c>
      <c r="E17" s="67" t="s">
        <v>3066</v>
      </c>
      <c r="F17" s="67" t="s">
        <v>219</v>
      </c>
      <c r="G17" s="67" t="s">
        <v>2557</v>
      </c>
      <c r="H17" s="64" t="s">
        <v>1987</v>
      </c>
      <c r="I17" s="64" t="s">
        <v>259</v>
      </c>
      <c r="J17" s="64" t="s">
        <v>259</v>
      </c>
      <c r="K17" s="28" t="s">
        <v>568</v>
      </c>
      <c r="L17" s="27" t="s">
        <v>975</v>
      </c>
      <c r="M17" s="514"/>
      <c r="N17" s="514">
        <v>49.99</v>
      </c>
      <c r="O17" s="35">
        <v>1</v>
      </c>
      <c r="P17" s="187">
        <v>4</v>
      </c>
      <c r="Q17" s="33">
        <v>3.5</v>
      </c>
      <c r="R17" s="33">
        <v>9</v>
      </c>
      <c r="S17" s="33">
        <v>9</v>
      </c>
      <c r="T17" s="70">
        <v>9</v>
      </c>
      <c r="U17" s="33">
        <v>3.5</v>
      </c>
      <c r="V17" s="33">
        <v>9.75</v>
      </c>
      <c r="W17" s="33">
        <v>9.75</v>
      </c>
      <c r="X17" s="70">
        <v>9.75</v>
      </c>
      <c r="Y17" s="44" t="s">
        <v>259</v>
      </c>
      <c r="Z17" s="33" t="s">
        <v>259</v>
      </c>
      <c r="AA17" s="33" t="s">
        <v>259</v>
      </c>
      <c r="AB17" s="70" t="s">
        <v>259</v>
      </c>
      <c r="AC17" s="44">
        <f>CONVERT(7.7,"kg","lbm")</f>
        <v>16.975594188235572</v>
      </c>
      <c r="AD17" s="33">
        <f t="shared" si="11"/>
        <v>20.078740157480315</v>
      </c>
      <c r="AE17" s="33">
        <f t="shared" si="11"/>
        <v>20.078740157480315</v>
      </c>
      <c r="AF17" s="33">
        <f t="shared" si="12"/>
        <v>10.433070866141732</v>
      </c>
      <c r="AG17" s="42">
        <f>AD17*AE17*AF17/(12^3)</f>
        <v>2.4341163757786828</v>
      </c>
      <c r="AH17" s="37" t="s">
        <v>3081</v>
      </c>
      <c r="AI17" s="37" t="s">
        <v>3082</v>
      </c>
      <c r="AJ17" s="37" t="s">
        <v>3090</v>
      </c>
      <c r="AK17" s="37" t="s">
        <v>3084</v>
      </c>
      <c r="AL17" s="37" t="s">
        <v>3085</v>
      </c>
      <c r="AM17" s="37" t="s">
        <v>3086</v>
      </c>
      <c r="AN17" s="37" t="s">
        <v>3087</v>
      </c>
      <c r="AO17" s="404" t="s">
        <v>3092</v>
      </c>
      <c r="AP17" s="37" t="s">
        <v>3093</v>
      </c>
      <c r="AQ17" s="18" t="s">
        <v>3089</v>
      </c>
      <c r="AR17" s="18"/>
    </row>
    <row r="19" spans="1:44" s="18" customFormat="1" ht="15.75" customHeight="1" x14ac:dyDescent="0.25">
      <c r="A19" s="105" t="s">
        <v>192</v>
      </c>
      <c r="B19" s="127"/>
      <c r="C19" s="19" t="s">
        <v>529</v>
      </c>
      <c r="D19" s="19"/>
      <c r="E19" s="19"/>
      <c r="H19" s="28"/>
      <c r="I19" s="28"/>
      <c r="J19" s="28"/>
      <c r="K19" s="28"/>
      <c r="L19" s="28"/>
      <c r="M19" s="5"/>
      <c r="N19" s="5"/>
      <c r="O19" s="35"/>
      <c r="P19" s="187"/>
      <c r="Q19" s="33"/>
      <c r="R19" s="33"/>
      <c r="S19" s="33"/>
      <c r="T19" s="70"/>
      <c r="U19" s="33"/>
      <c r="V19" s="33"/>
      <c r="W19" s="33"/>
      <c r="X19" s="70"/>
      <c r="Y19" s="44"/>
      <c r="Z19" s="33"/>
      <c r="AA19" s="33"/>
      <c r="AB19" s="70"/>
      <c r="AC19" s="44"/>
      <c r="AD19" s="33"/>
      <c r="AE19" s="33"/>
      <c r="AF19" s="70"/>
      <c r="AG19" s="44"/>
      <c r="AH19" s="19"/>
      <c r="AI19" s="37"/>
      <c r="AJ19" s="37"/>
      <c r="AP19" s="37"/>
      <c r="AR19" s="13"/>
    </row>
    <row r="20" spans="1:44" s="18" customFormat="1" ht="12.75" customHeight="1" x14ac:dyDescent="0.2">
      <c r="A20" s="18" t="s">
        <v>192</v>
      </c>
      <c r="C20" s="33" t="s">
        <v>530</v>
      </c>
      <c r="D20" s="33" t="s">
        <v>2679</v>
      </c>
      <c r="E20" s="40" t="s">
        <v>2681</v>
      </c>
      <c r="F20" s="18" t="s">
        <v>3110</v>
      </c>
      <c r="G20" s="18" t="s">
        <v>2558</v>
      </c>
      <c r="H20" s="55" t="s">
        <v>194</v>
      </c>
      <c r="I20" s="64" t="s">
        <v>259</v>
      </c>
      <c r="J20" s="64" t="s">
        <v>259</v>
      </c>
      <c r="K20" s="55" t="s">
        <v>1043</v>
      </c>
      <c r="L20" s="55" t="s">
        <v>976</v>
      </c>
      <c r="M20" s="303"/>
      <c r="N20" s="303">
        <v>11.99</v>
      </c>
      <c r="O20" s="35">
        <v>12</v>
      </c>
      <c r="P20" s="187">
        <v>44</v>
      </c>
      <c r="Q20" s="44">
        <f>CONVERT(295,"g","lbm")</f>
        <v>0.65036367344538881</v>
      </c>
      <c r="R20" s="33">
        <v>5</v>
      </c>
      <c r="S20" s="33">
        <v>1.25</v>
      </c>
      <c r="T20" s="70">
        <v>4.25</v>
      </c>
      <c r="U20" s="44">
        <f>CONVERT(290,"g","lbm")</f>
        <v>0.63934056033614495</v>
      </c>
      <c r="V20" s="33">
        <v>5.375</v>
      </c>
      <c r="W20" s="33">
        <v>1.5</v>
      </c>
      <c r="X20" s="70">
        <v>5.5625</v>
      </c>
      <c r="Y20" s="44" t="s">
        <v>259</v>
      </c>
      <c r="Z20" s="33" t="s">
        <v>259</v>
      </c>
      <c r="AA20" s="33" t="s">
        <v>259</v>
      </c>
      <c r="AB20" s="70" t="s">
        <v>259</v>
      </c>
      <c r="AC20" s="33">
        <v>35</v>
      </c>
      <c r="AD20" s="33">
        <v>15.25</v>
      </c>
      <c r="AE20" s="33">
        <v>11.5</v>
      </c>
      <c r="AF20" s="70">
        <v>9.5</v>
      </c>
      <c r="AG20" s="33">
        <f>AD20*AE20*AF20/(12^3)</f>
        <v>0.96415653935185186</v>
      </c>
      <c r="AH20" s="18" t="s">
        <v>3111</v>
      </c>
      <c r="AI20" s="18" t="s">
        <v>3107</v>
      </c>
      <c r="AJ20" s="18" t="s">
        <v>3106</v>
      </c>
      <c r="AL20" s="40" t="s">
        <v>200</v>
      </c>
      <c r="AM20" s="304" t="s">
        <v>3109</v>
      </c>
      <c r="AP20" s="20" t="s">
        <v>3108</v>
      </c>
      <c r="AQ20" s="18" t="s">
        <v>3089</v>
      </c>
    </row>
    <row r="22" spans="1:44" s="20" customFormat="1" x14ac:dyDescent="0.2">
      <c r="B22" s="127"/>
      <c r="H22" s="10"/>
      <c r="I22" s="10"/>
      <c r="J22" s="10"/>
      <c r="P22" s="118"/>
      <c r="Q22" s="33"/>
      <c r="R22" s="33"/>
      <c r="S22" s="33"/>
      <c r="T22" s="70"/>
      <c r="U22" s="37"/>
      <c r="X22" s="118"/>
      <c r="Y22" s="378"/>
      <c r="AB22" s="118"/>
      <c r="AC22" s="378"/>
      <c r="AF22" s="118"/>
      <c r="AG22" s="378"/>
    </row>
    <row r="23" spans="1:44" s="20" customFormat="1" x14ac:dyDescent="0.2">
      <c r="B23" s="127"/>
      <c r="H23" s="10"/>
      <c r="I23" s="10"/>
      <c r="J23" s="10"/>
      <c r="P23" s="118"/>
      <c r="Q23" s="33"/>
      <c r="R23" s="33"/>
      <c r="S23" s="33"/>
      <c r="T23" s="70"/>
      <c r="U23" s="37"/>
      <c r="X23" s="118"/>
      <c r="Y23" s="378"/>
      <c r="AB23" s="118"/>
      <c r="AC23" s="378"/>
      <c r="AF23" s="118"/>
      <c r="AG23" s="378"/>
    </row>
    <row r="24" spans="1:44" s="20" customFormat="1" x14ac:dyDescent="0.2">
      <c r="B24" s="127"/>
      <c r="H24" s="10"/>
      <c r="I24" s="10"/>
      <c r="J24" s="10"/>
      <c r="P24" s="118"/>
      <c r="Q24" s="33"/>
      <c r="R24" s="33"/>
      <c r="S24" s="33"/>
      <c r="T24" s="70"/>
      <c r="U24" s="37"/>
      <c r="X24" s="118"/>
      <c r="Y24" s="378"/>
      <c r="AB24" s="118"/>
      <c r="AC24" s="378"/>
      <c r="AF24" s="118"/>
      <c r="AG24" s="378"/>
    </row>
    <row r="25" spans="1:44" s="20" customFormat="1" x14ac:dyDescent="0.2">
      <c r="B25" s="127"/>
      <c r="H25" s="10"/>
      <c r="I25" s="10"/>
      <c r="J25" s="10"/>
      <c r="P25" s="118"/>
      <c r="Q25" s="33"/>
      <c r="R25" s="33"/>
      <c r="S25" s="33"/>
      <c r="T25" s="70"/>
      <c r="U25" s="37"/>
      <c r="X25" s="118"/>
      <c r="Y25" s="378"/>
      <c r="AB25" s="118"/>
      <c r="AC25" s="378"/>
      <c r="AF25" s="118"/>
      <c r="AG25" s="378"/>
    </row>
    <row r="26" spans="1:44" s="20" customFormat="1" x14ac:dyDescent="0.2">
      <c r="B26" s="127"/>
      <c r="H26" s="10"/>
      <c r="I26" s="10"/>
      <c r="J26" s="10"/>
      <c r="P26" s="118"/>
      <c r="Q26" s="33"/>
      <c r="R26" s="33"/>
      <c r="S26" s="33"/>
      <c r="T26" s="70"/>
      <c r="U26" s="37"/>
      <c r="X26" s="118"/>
      <c r="Y26" s="378"/>
      <c r="AB26" s="118"/>
      <c r="AC26" s="378"/>
      <c r="AF26" s="118"/>
      <c r="AG26" s="378"/>
    </row>
    <row r="27" spans="1:44" x14ac:dyDescent="0.2">
      <c r="B27" s="127"/>
      <c r="Q27" s="33"/>
      <c r="R27" s="33"/>
      <c r="S27" s="33"/>
      <c r="T27" s="70"/>
    </row>
    <row r="28" spans="1:44" x14ac:dyDescent="0.2">
      <c r="B28" s="127"/>
      <c r="Q28" s="33"/>
      <c r="R28" s="33"/>
      <c r="S28" s="33"/>
      <c r="T28" s="70"/>
    </row>
    <row r="29" spans="1:44" x14ac:dyDescent="0.2">
      <c r="B29" s="317"/>
      <c r="Q29" s="33"/>
      <c r="R29" s="33"/>
      <c r="S29" s="33"/>
      <c r="T29" s="70"/>
    </row>
    <row r="30" spans="1:44" x14ac:dyDescent="0.2">
      <c r="B30" s="127"/>
      <c r="Q30" s="33"/>
      <c r="R30" s="33"/>
      <c r="S30" s="33"/>
      <c r="T30" s="70"/>
    </row>
    <row r="31" spans="1:44" ht="15" x14ac:dyDescent="0.2">
      <c r="B31" s="127"/>
      <c r="Q31" s="271"/>
      <c r="R31" s="271"/>
      <c r="S31" s="271"/>
      <c r="T31" s="272"/>
    </row>
    <row r="32" spans="1:44" x14ac:dyDescent="0.2">
      <c r="B32" s="127"/>
      <c r="Q32" s="33"/>
      <c r="R32" s="33"/>
      <c r="S32" s="33"/>
      <c r="T32" s="70"/>
    </row>
    <row r="33" spans="2:20" x14ac:dyDescent="0.2">
      <c r="B33" s="317"/>
      <c r="Q33" s="33"/>
      <c r="R33" s="33"/>
      <c r="S33" s="33"/>
      <c r="T33" s="70"/>
    </row>
    <row r="34" spans="2:20" x14ac:dyDescent="0.2">
      <c r="B34" s="127"/>
      <c r="Q34" s="33"/>
      <c r="R34" s="33"/>
      <c r="S34" s="33"/>
      <c r="T34" s="70"/>
    </row>
    <row r="35" spans="2:20" x14ac:dyDescent="0.2">
      <c r="B35" s="317"/>
      <c r="Q35" s="33"/>
      <c r="R35" s="33"/>
      <c r="S35" s="33"/>
      <c r="T35" s="70"/>
    </row>
    <row r="36" spans="2:20" x14ac:dyDescent="0.2">
      <c r="B36" s="125"/>
      <c r="Q36" s="33"/>
      <c r="R36" s="33"/>
      <c r="S36" s="33"/>
      <c r="T36" s="70"/>
    </row>
    <row r="37" spans="2:20" x14ac:dyDescent="0.2">
      <c r="B37" s="317"/>
      <c r="Q37" s="33"/>
      <c r="R37" s="33"/>
      <c r="S37" s="33"/>
      <c r="T37" s="70"/>
    </row>
    <row r="38" spans="2:20" x14ac:dyDescent="0.2">
      <c r="B38" s="127"/>
      <c r="Q38" s="33"/>
      <c r="R38" s="33"/>
      <c r="S38" s="33"/>
      <c r="T38" s="70"/>
    </row>
    <row r="39" spans="2:20" x14ac:dyDescent="0.2">
      <c r="B39" s="125"/>
      <c r="Q39" s="33"/>
      <c r="R39" s="33"/>
      <c r="S39" s="33"/>
      <c r="T39" s="70"/>
    </row>
    <row r="40" spans="2:20" ht="15.75" x14ac:dyDescent="0.25">
      <c r="B40" s="382"/>
      <c r="Q40" s="33"/>
      <c r="R40" s="33"/>
      <c r="S40" s="33"/>
      <c r="T40" s="70"/>
    </row>
    <row r="41" spans="2:20" x14ac:dyDescent="0.2">
      <c r="B41" s="319"/>
      <c r="Q41" s="33"/>
      <c r="R41" s="33"/>
      <c r="S41" s="33"/>
      <c r="T41" s="70"/>
    </row>
    <row r="42" spans="2:20" x14ac:dyDescent="0.2">
      <c r="B42" s="319"/>
      <c r="Q42" s="33"/>
      <c r="R42" s="33"/>
      <c r="S42" s="33"/>
      <c r="T42" s="70"/>
    </row>
    <row r="43" spans="2:20" x14ac:dyDescent="0.2">
      <c r="B43" s="320"/>
      <c r="Q43" s="33"/>
      <c r="R43" s="33"/>
      <c r="S43" s="33"/>
      <c r="T43" s="70"/>
    </row>
    <row r="44" spans="2:20" ht="15.75" x14ac:dyDescent="0.25">
      <c r="B44" s="382"/>
      <c r="Q44" s="33"/>
      <c r="R44" s="33"/>
      <c r="S44" s="33"/>
      <c r="T44" s="70"/>
    </row>
    <row r="45" spans="2:20" x14ac:dyDescent="0.2">
      <c r="B45" s="127"/>
      <c r="Q45" s="33"/>
      <c r="R45" s="33"/>
      <c r="S45" s="33"/>
      <c r="T45" s="70"/>
    </row>
    <row r="46" spans="2:20" x14ac:dyDescent="0.2">
      <c r="B46" s="127"/>
      <c r="Q46" s="33"/>
      <c r="R46" s="33"/>
      <c r="S46" s="33"/>
      <c r="T46" s="70"/>
    </row>
    <row r="47" spans="2:20" x14ac:dyDescent="0.2">
      <c r="B47" s="127"/>
      <c r="Q47" s="33"/>
      <c r="R47" s="33"/>
      <c r="S47" s="33"/>
      <c r="T47" s="70"/>
    </row>
    <row r="48" spans="2:20" ht="15" x14ac:dyDescent="0.2">
      <c r="B48" s="127"/>
      <c r="Q48" s="271"/>
      <c r="R48" s="271"/>
      <c r="S48" s="271"/>
      <c r="T48" s="272"/>
    </row>
    <row r="49" spans="2:20" x14ac:dyDescent="0.2">
      <c r="B49" s="125"/>
      <c r="Q49" s="33"/>
      <c r="R49" s="33"/>
      <c r="S49" s="33"/>
      <c r="T49" s="70"/>
    </row>
    <row r="50" spans="2:20" ht="15.75" x14ac:dyDescent="0.25">
      <c r="B50" s="382"/>
      <c r="Q50" s="33"/>
      <c r="R50" s="33"/>
      <c r="S50" s="33"/>
      <c r="T50" s="70"/>
    </row>
    <row r="51" spans="2:20" x14ac:dyDescent="0.2">
      <c r="B51" s="125"/>
      <c r="Q51" s="33"/>
      <c r="R51" s="33"/>
      <c r="S51" s="33"/>
      <c r="T51" s="70"/>
    </row>
    <row r="52" spans="2:20" x14ac:dyDescent="0.2">
      <c r="B52" s="125"/>
      <c r="Q52" s="33"/>
      <c r="R52" s="33"/>
      <c r="S52" s="33"/>
      <c r="T52" s="70"/>
    </row>
    <row r="53" spans="2:20" x14ac:dyDescent="0.2">
      <c r="B53" s="125"/>
      <c r="Q53" s="33"/>
      <c r="R53" s="33"/>
      <c r="S53" s="33"/>
      <c r="T53" s="70"/>
    </row>
    <row r="54" spans="2:20" x14ac:dyDescent="0.2">
      <c r="B54" s="125"/>
      <c r="Q54" s="33"/>
      <c r="R54" s="33"/>
      <c r="S54" s="33"/>
      <c r="T54" s="70"/>
    </row>
    <row r="55" spans="2:20" x14ac:dyDescent="0.2">
      <c r="B55" s="125"/>
      <c r="Q55" s="33"/>
      <c r="R55" s="33"/>
      <c r="S55" s="33"/>
      <c r="T55" s="70"/>
    </row>
    <row r="56" spans="2:20" ht="15.75" x14ac:dyDescent="0.2">
      <c r="B56" s="351"/>
      <c r="Q56" s="33"/>
      <c r="R56" s="33"/>
      <c r="S56" s="33"/>
      <c r="T56" s="70"/>
    </row>
    <row r="57" spans="2:20" x14ac:dyDescent="0.2">
      <c r="B57" s="127"/>
      <c r="Q57" s="33"/>
      <c r="R57" s="33"/>
      <c r="S57" s="33"/>
      <c r="T57" s="70"/>
    </row>
    <row r="58" spans="2:20" x14ac:dyDescent="0.2">
      <c r="B58" s="125"/>
      <c r="Q58" s="33"/>
      <c r="R58" s="33"/>
      <c r="S58" s="33"/>
      <c r="T58" s="70"/>
    </row>
    <row r="59" spans="2:20" ht="15.75" x14ac:dyDescent="0.25">
      <c r="B59" s="318"/>
      <c r="Q59" s="33"/>
      <c r="R59" s="33"/>
      <c r="S59" s="33"/>
      <c r="T59" s="70"/>
    </row>
    <row r="60" spans="2:20" ht="15" x14ac:dyDescent="0.2">
      <c r="B60" s="317"/>
      <c r="Q60" s="271"/>
      <c r="R60" s="271"/>
      <c r="S60" s="271"/>
      <c r="T60" s="272"/>
    </row>
    <row r="61" spans="2:20" x14ac:dyDescent="0.2">
      <c r="B61" s="125"/>
      <c r="Q61" s="33"/>
      <c r="R61" s="33"/>
      <c r="S61" s="33"/>
      <c r="T61" s="70"/>
    </row>
    <row r="62" spans="2:20" x14ac:dyDescent="0.2">
      <c r="B62" s="125"/>
      <c r="Q62" s="33"/>
      <c r="R62" s="33"/>
      <c r="S62" s="33"/>
      <c r="T62" s="70"/>
    </row>
    <row r="63" spans="2:20" x14ac:dyDescent="0.2">
      <c r="B63" s="125"/>
      <c r="Q63" s="33"/>
      <c r="R63" s="33"/>
      <c r="S63" s="33"/>
      <c r="T63" s="70"/>
    </row>
    <row r="64" spans="2:20" x14ac:dyDescent="0.2">
      <c r="B64" s="125"/>
      <c r="Q64" s="33"/>
      <c r="R64" s="33"/>
      <c r="S64" s="33"/>
      <c r="T64" s="70"/>
    </row>
    <row r="65" spans="2:20" x14ac:dyDescent="0.2">
      <c r="B65" s="125"/>
      <c r="Q65" s="33"/>
      <c r="R65" s="33"/>
      <c r="S65" s="33"/>
      <c r="T65" s="70"/>
    </row>
    <row r="66" spans="2:20" x14ac:dyDescent="0.2">
      <c r="B66" s="125"/>
      <c r="Q66" s="33"/>
      <c r="R66" s="33"/>
      <c r="S66" s="33"/>
      <c r="T66" s="70"/>
    </row>
    <row r="67" spans="2:20" x14ac:dyDescent="0.2">
      <c r="B67" s="125"/>
      <c r="Q67" s="33"/>
      <c r="R67" s="33"/>
      <c r="S67" s="33"/>
      <c r="T67" s="70"/>
    </row>
    <row r="68" spans="2:20" x14ac:dyDescent="0.2">
      <c r="B68" s="375" t="s">
        <v>2899</v>
      </c>
      <c r="Q68" s="33"/>
      <c r="R68" s="33"/>
      <c r="S68" s="33"/>
      <c r="T68" s="70"/>
    </row>
    <row r="69" spans="2:20" x14ac:dyDescent="0.2">
      <c r="B69" s="127"/>
      <c r="Q69" s="33"/>
      <c r="R69" s="33"/>
      <c r="S69" s="33"/>
      <c r="T69" s="70"/>
    </row>
    <row r="70" spans="2:20" x14ac:dyDescent="0.2">
      <c r="B70" s="127"/>
      <c r="Q70" s="33"/>
      <c r="R70" s="33"/>
      <c r="S70" s="33"/>
      <c r="T70" s="70"/>
    </row>
    <row r="71" spans="2:20" x14ac:dyDescent="0.2">
      <c r="B71" s="127"/>
      <c r="Q71" s="33"/>
      <c r="R71" s="33"/>
      <c r="S71" s="33"/>
      <c r="T71" s="70"/>
    </row>
    <row r="72" spans="2:20" x14ac:dyDescent="0.2">
      <c r="B72" s="127"/>
      <c r="Q72" s="33"/>
      <c r="R72" s="33"/>
      <c r="S72" s="33"/>
      <c r="T72" s="70"/>
    </row>
    <row r="73" spans="2:20" x14ac:dyDescent="0.2">
      <c r="B73" s="127"/>
      <c r="Q73" s="33"/>
      <c r="R73" s="33"/>
      <c r="S73" s="33"/>
      <c r="T73" s="70"/>
    </row>
    <row r="74" spans="2:20" ht="15" x14ac:dyDescent="0.2">
      <c r="B74" s="127"/>
      <c r="Q74" s="271"/>
      <c r="R74" s="271"/>
      <c r="S74" s="271"/>
      <c r="T74" s="272"/>
    </row>
    <row r="75" spans="2:20" x14ac:dyDescent="0.2">
      <c r="B75" s="375" t="s">
        <v>2899</v>
      </c>
      <c r="Q75" s="33"/>
      <c r="R75" s="33"/>
      <c r="S75" s="33"/>
      <c r="T75" s="70"/>
    </row>
    <row r="76" spans="2:20" x14ac:dyDescent="0.2">
      <c r="B76" s="375" t="s">
        <v>2899</v>
      </c>
      <c r="Q76" s="33"/>
      <c r="R76" s="33"/>
      <c r="S76" s="33"/>
      <c r="T76" s="70"/>
    </row>
    <row r="77" spans="2:20" x14ac:dyDescent="0.2">
      <c r="B77" s="125"/>
      <c r="Q77" s="33"/>
      <c r="R77" s="33"/>
      <c r="S77" s="33"/>
      <c r="T77" s="70"/>
    </row>
    <row r="78" spans="2:20" x14ac:dyDescent="0.2">
      <c r="B78" s="127"/>
      <c r="Q78" s="33"/>
      <c r="R78" s="33"/>
      <c r="S78" s="33"/>
      <c r="T78" s="70"/>
    </row>
    <row r="79" spans="2:20" x14ac:dyDescent="0.2">
      <c r="B79" s="127"/>
      <c r="Q79" s="33"/>
      <c r="R79" s="33"/>
      <c r="S79" s="33"/>
      <c r="T79" s="70"/>
    </row>
    <row r="80" spans="2:20" x14ac:dyDescent="0.2">
      <c r="B80" s="127"/>
      <c r="Q80" s="33"/>
      <c r="R80" s="33"/>
      <c r="S80" s="33"/>
      <c r="T80" s="70"/>
    </row>
    <row r="81" spans="2:20" x14ac:dyDescent="0.2">
      <c r="B81" s="380"/>
      <c r="Q81" s="33"/>
      <c r="R81" s="33"/>
      <c r="S81" s="33"/>
      <c r="T81" s="70"/>
    </row>
    <row r="82" spans="2:20" x14ac:dyDescent="0.2">
      <c r="B82" s="127"/>
      <c r="Q82" s="33"/>
      <c r="R82" s="33"/>
      <c r="S82" s="33"/>
      <c r="T82" s="70"/>
    </row>
    <row r="83" spans="2:20" x14ac:dyDescent="0.2">
      <c r="B83" s="127"/>
      <c r="Q83" s="33"/>
      <c r="R83" s="33"/>
      <c r="S83" s="33"/>
      <c r="T83" s="70"/>
    </row>
    <row r="84" spans="2:20" x14ac:dyDescent="0.2">
      <c r="B84" s="127"/>
      <c r="Q84" s="33"/>
      <c r="R84" s="33"/>
      <c r="S84" s="33"/>
      <c r="T84" s="70"/>
    </row>
    <row r="85" spans="2:20" x14ac:dyDescent="0.2">
      <c r="B85" s="127"/>
      <c r="Q85" s="33"/>
      <c r="R85" s="33"/>
      <c r="S85" s="33"/>
      <c r="T85" s="70"/>
    </row>
    <row r="86" spans="2:20" x14ac:dyDescent="0.2">
      <c r="B86" s="127"/>
      <c r="Q86" s="33"/>
      <c r="R86" s="33"/>
      <c r="S86" s="33"/>
      <c r="T86" s="70"/>
    </row>
    <row r="87" spans="2:20" x14ac:dyDescent="0.2">
      <c r="B87" s="127"/>
      <c r="Q87" s="33"/>
      <c r="R87" s="33"/>
      <c r="S87" s="33"/>
      <c r="T87" s="70"/>
    </row>
    <row r="88" spans="2:20" x14ac:dyDescent="0.2">
      <c r="B88" s="380"/>
      <c r="Q88" s="33"/>
      <c r="R88" s="33"/>
      <c r="S88" s="33"/>
      <c r="T88" s="70"/>
    </row>
    <row r="89" spans="2:20" x14ac:dyDescent="0.2">
      <c r="B89" s="127"/>
      <c r="Q89" s="33"/>
      <c r="R89" s="33"/>
      <c r="S89" s="33"/>
      <c r="T89" s="70"/>
    </row>
    <row r="90" spans="2:20" x14ac:dyDescent="0.2">
      <c r="B90" s="127"/>
      <c r="Q90" s="33"/>
      <c r="R90" s="33"/>
      <c r="S90" s="33"/>
      <c r="T90" s="70"/>
    </row>
    <row r="91" spans="2:20" x14ac:dyDescent="0.2">
      <c r="B91" s="127"/>
      <c r="Q91" s="33"/>
      <c r="R91" s="33"/>
      <c r="S91" s="33"/>
      <c r="T91" s="70"/>
    </row>
    <row r="92" spans="2:20" x14ac:dyDescent="0.2">
      <c r="B92" s="127"/>
      <c r="Q92" s="33"/>
      <c r="R92" s="33"/>
      <c r="S92" s="33"/>
      <c r="T92" s="70"/>
    </row>
    <row r="93" spans="2:20" x14ac:dyDescent="0.2">
      <c r="B93" s="127"/>
      <c r="Q93" s="33"/>
      <c r="R93" s="33"/>
      <c r="S93" s="33"/>
      <c r="T93" s="70"/>
    </row>
    <row r="94" spans="2:20" x14ac:dyDescent="0.2">
      <c r="B94" s="127"/>
      <c r="Q94" s="33"/>
      <c r="R94" s="33"/>
      <c r="S94" s="33"/>
      <c r="T94" s="70"/>
    </row>
    <row r="95" spans="2:20" x14ac:dyDescent="0.2">
      <c r="B95" s="127"/>
      <c r="Q95" s="33"/>
      <c r="R95" s="33"/>
      <c r="S95" s="33"/>
      <c r="T95" s="70"/>
    </row>
    <row r="96" spans="2:20" x14ac:dyDescent="0.2">
      <c r="B96" s="127"/>
      <c r="Q96" s="33"/>
      <c r="R96" s="33"/>
      <c r="S96" s="33"/>
      <c r="T96" s="70"/>
    </row>
    <row r="97" spans="2:20" x14ac:dyDescent="0.2">
      <c r="B97" s="127"/>
      <c r="Q97" s="33"/>
      <c r="R97" s="33"/>
      <c r="S97" s="33"/>
      <c r="T97" s="70"/>
    </row>
    <row r="98" spans="2:20" x14ac:dyDescent="0.2">
      <c r="B98" s="127"/>
      <c r="Q98" s="33"/>
      <c r="R98" s="33"/>
      <c r="S98" s="33"/>
      <c r="T98" s="70"/>
    </row>
    <row r="99" spans="2:20" x14ac:dyDescent="0.2">
      <c r="B99" s="127"/>
      <c r="Q99" s="33"/>
      <c r="R99" s="33"/>
      <c r="S99" s="33"/>
      <c r="T99" s="70"/>
    </row>
    <row r="100" spans="2:20" x14ac:dyDescent="0.2">
      <c r="B100" s="127"/>
      <c r="Q100" s="33"/>
      <c r="R100" s="33"/>
      <c r="S100" s="33"/>
      <c r="T100" s="70"/>
    </row>
    <row r="101" spans="2:20" x14ac:dyDescent="0.2">
      <c r="B101" s="380"/>
      <c r="Q101" s="33"/>
      <c r="R101" s="33"/>
      <c r="S101" s="33"/>
      <c r="T101" s="70"/>
    </row>
    <row r="102" spans="2:20" x14ac:dyDescent="0.2">
      <c r="B102" s="375" t="s">
        <v>2899</v>
      </c>
      <c r="Q102" s="33"/>
      <c r="R102" s="33"/>
      <c r="S102" s="33"/>
      <c r="T102" s="70"/>
    </row>
    <row r="103" spans="2:20" x14ac:dyDescent="0.2">
      <c r="B103" s="375" t="s">
        <v>2899</v>
      </c>
      <c r="Q103" s="33"/>
      <c r="R103" s="33"/>
      <c r="S103" s="33"/>
      <c r="T103" s="70"/>
    </row>
    <row r="104" spans="2:20" x14ac:dyDescent="0.2">
      <c r="B104" s="375" t="s">
        <v>2899</v>
      </c>
      <c r="Q104" s="33"/>
      <c r="R104" s="33"/>
      <c r="S104" s="33"/>
      <c r="T104" s="70"/>
    </row>
    <row r="105" spans="2:20" x14ac:dyDescent="0.2">
      <c r="B105" s="317"/>
      <c r="Q105" s="33"/>
      <c r="R105" s="33"/>
      <c r="S105" s="33"/>
      <c r="T105" s="70"/>
    </row>
    <row r="106" spans="2:20" x14ac:dyDescent="0.2">
      <c r="B106" s="125"/>
      <c r="Q106" s="33"/>
      <c r="R106" s="33"/>
      <c r="S106" s="33"/>
      <c r="T106" s="70"/>
    </row>
    <row r="107" spans="2:20" x14ac:dyDescent="0.2">
      <c r="B107" s="125"/>
      <c r="Q107" s="33"/>
      <c r="R107" s="33"/>
      <c r="S107" s="33"/>
      <c r="T107" s="70"/>
    </row>
    <row r="108" spans="2:20" x14ac:dyDescent="0.2">
      <c r="B108" s="125"/>
      <c r="Q108" s="33"/>
      <c r="R108" s="33"/>
      <c r="S108" s="33"/>
      <c r="T108" s="70"/>
    </row>
    <row r="109" spans="2:20" x14ac:dyDescent="0.2">
      <c r="B109" s="125"/>
      <c r="Q109" s="33"/>
      <c r="R109" s="33"/>
      <c r="S109" s="33"/>
      <c r="T109" s="70"/>
    </row>
    <row r="110" spans="2:20" x14ac:dyDescent="0.2">
      <c r="B110" s="125"/>
      <c r="Q110" s="33"/>
      <c r="R110" s="33"/>
      <c r="S110" s="33"/>
      <c r="T110" s="70"/>
    </row>
    <row r="111" spans="2:20" x14ac:dyDescent="0.2">
      <c r="B111" s="375" t="s">
        <v>2899</v>
      </c>
      <c r="Q111" s="33"/>
      <c r="R111" s="33"/>
      <c r="S111" s="33"/>
      <c r="T111" s="70"/>
    </row>
    <row r="112" spans="2:20" x14ac:dyDescent="0.2">
      <c r="B112" s="125"/>
      <c r="Q112" s="33"/>
      <c r="R112" s="33"/>
      <c r="S112" s="33"/>
      <c r="T112" s="70"/>
    </row>
    <row r="113" spans="2:20" x14ac:dyDescent="0.2">
      <c r="B113" s="317"/>
      <c r="Q113" s="33"/>
      <c r="R113" s="33"/>
      <c r="S113" s="33"/>
      <c r="T113" s="70"/>
    </row>
    <row r="114" spans="2:20" x14ac:dyDescent="0.2">
      <c r="B114" s="365"/>
      <c r="Q114" s="33"/>
      <c r="R114" s="33"/>
      <c r="S114" s="33"/>
      <c r="T114" s="70"/>
    </row>
    <row r="115" spans="2:20" x14ac:dyDescent="0.2">
      <c r="B115" s="365"/>
      <c r="Q115" s="33"/>
      <c r="R115" s="33"/>
      <c r="S115" s="33"/>
      <c r="T115" s="70"/>
    </row>
    <row r="116" spans="2:20" x14ac:dyDescent="0.2">
      <c r="B116" s="365"/>
      <c r="Q116" s="33"/>
      <c r="R116" s="33"/>
      <c r="S116" s="33"/>
      <c r="T116" s="70"/>
    </row>
    <row r="117" spans="2:20" x14ac:dyDescent="0.2">
      <c r="B117" s="365"/>
      <c r="Q117" s="33"/>
      <c r="R117" s="33"/>
      <c r="S117" s="33"/>
      <c r="T117" s="70"/>
    </row>
    <row r="118" spans="2:20" x14ac:dyDescent="0.2">
      <c r="B118" s="125"/>
      <c r="Q118" s="33"/>
      <c r="R118" s="33"/>
      <c r="S118" s="33"/>
      <c r="T118" s="70"/>
    </row>
    <row r="119" spans="2:20" x14ac:dyDescent="0.2">
      <c r="B119" s="125"/>
      <c r="Q119" s="33"/>
      <c r="R119" s="33"/>
      <c r="S119" s="33"/>
      <c r="T119" s="70"/>
    </row>
    <row r="120" spans="2:20" x14ac:dyDescent="0.2">
      <c r="B120" s="317"/>
      <c r="Q120" s="33"/>
      <c r="R120" s="33"/>
      <c r="S120" s="33"/>
      <c r="T120" s="70"/>
    </row>
    <row r="121" spans="2:20" x14ac:dyDescent="0.2">
      <c r="B121" s="125"/>
      <c r="Q121" s="33"/>
      <c r="R121" s="33"/>
      <c r="S121" s="33"/>
      <c r="T121" s="70"/>
    </row>
    <row r="122" spans="2:20" x14ac:dyDescent="0.2">
      <c r="B122" s="125"/>
      <c r="Q122" s="33"/>
      <c r="R122" s="33"/>
      <c r="S122" s="33"/>
      <c r="T122" s="70"/>
    </row>
    <row r="123" spans="2:20" x14ac:dyDescent="0.2">
      <c r="B123" s="125"/>
      <c r="Q123" s="33"/>
      <c r="R123" s="33"/>
      <c r="S123" s="33"/>
      <c r="T123" s="70"/>
    </row>
    <row r="124" spans="2:20" x14ac:dyDescent="0.2">
      <c r="B124" s="125"/>
      <c r="Q124" s="33"/>
      <c r="R124" s="33"/>
      <c r="S124" s="33"/>
      <c r="T124" s="70"/>
    </row>
    <row r="125" spans="2:20" x14ac:dyDescent="0.2">
      <c r="B125" s="317"/>
      <c r="Q125" s="33"/>
      <c r="R125" s="33"/>
      <c r="S125" s="33"/>
      <c r="T125" s="70"/>
    </row>
    <row r="126" spans="2:20" x14ac:dyDescent="0.2">
      <c r="B126" s="365"/>
      <c r="Q126" s="33"/>
      <c r="R126" s="33"/>
      <c r="S126" s="33"/>
      <c r="T126" s="70"/>
    </row>
    <row r="127" spans="2:20" x14ac:dyDescent="0.2">
      <c r="B127" s="365"/>
      <c r="Q127" s="33"/>
      <c r="R127" s="33"/>
      <c r="S127" s="33"/>
      <c r="T127" s="70"/>
    </row>
    <row r="128" spans="2:20" x14ac:dyDescent="0.2">
      <c r="B128" s="127"/>
      <c r="Q128" s="33"/>
      <c r="R128" s="33"/>
      <c r="S128" s="33"/>
      <c r="T128" s="70"/>
    </row>
    <row r="129" spans="2:20" x14ac:dyDescent="0.2">
      <c r="B129" s="127"/>
      <c r="Q129" s="33"/>
      <c r="R129" s="33"/>
      <c r="S129" s="33"/>
      <c r="T129" s="70"/>
    </row>
    <row r="130" spans="2:20" x14ac:dyDescent="0.2">
      <c r="B130" s="127"/>
      <c r="Q130" s="33"/>
      <c r="R130" s="33"/>
      <c r="S130" s="33"/>
      <c r="T130" s="70"/>
    </row>
    <row r="131" spans="2:20" x14ac:dyDescent="0.2">
      <c r="B131" s="127"/>
      <c r="Q131" s="33"/>
      <c r="R131" s="33"/>
      <c r="S131" s="33"/>
      <c r="T131" s="70"/>
    </row>
    <row r="132" spans="2:20" x14ac:dyDescent="0.2">
      <c r="B132" s="127"/>
      <c r="Q132" s="33"/>
      <c r="R132" s="33"/>
      <c r="S132" s="33"/>
      <c r="T132" s="70"/>
    </row>
    <row r="133" spans="2:20" x14ac:dyDescent="0.2">
      <c r="B133" s="127"/>
      <c r="Q133" s="33"/>
      <c r="R133" s="33"/>
      <c r="S133" s="33"/>
      <c r="T133" s="70"/>
    </row>
    <row r="134" spans="2:20" x14ac:dyDescent="0.2">
      <c r="B134" s="125"/>
      <c r="Q134" s="33"/>
      <c r="R134" s="33"/>
      <c r="S134" s="33"/>
      <c r="T134" s="70"/>
    </row>
    <row r="135" spans="2:20" x14ac:dyDescent="0.2">
      <c r="B135" s="125"/>
      <c r="Q135" s="33"/>
      <c r="R135" s="33"/>
      <c r="S135" s="33"/>
      <c r="T135" s="70"/>
    </row>
    <row r="136" spans="2:20" x14ac:dyDescent="0.2">
      <c r="B136" s="125"/>
      <c r="Q136" s="33"/>
      <c r="R136" s="33"/>
      <c r="S136" s="33"/>
      <c r="T136" s="70"/>
    </row>
    <row r="137" spans="2:20" x14ac:dyDescent="0.2">
      <c r="B137" s="125"/>
      <c r="Q137" s="33"/>
      <c r="R137" s="33"/>
      <c r="S137" s="33"/>
      <c r="T137" s="70"/>
    </row>
    <row r="138" spans="2:20" x14ac:dyDescent="0.2">
      <c r="B138" s="317"/>
      <c r="Q138" s="33"/>
      <c r="R138" s="33"/>
      <c r="S138" s="33"/>
      <c r="T138" s="70"/>
    </row>
    <row r="139" spans="2:20" x14ac:dyDescent="0.2">
      <c r="B139" s="125"/>
      <c r="Q139" s="33"/>
      <c r="R139" s="33"/>
      <c r="S139" s="33"/>
      <c r="T139" s="70"/>
    </row>
    <row r="140" spans="2:20" x14ac:dyDescent="0.2">
      <c r="B140" s="125"/>
      <c r="Q140" s="33"/>
      <c r="R140" s="33"/>
      <c r="S140" s="33"/>
      <c r="T140" s="70"/>
    </row>
    <row r="141" spans="2:20" x14ac:dyDescent="0.2">
      <c r="B141" s="125"/>
      <c r="Q141" s="33"/>
      <c r="R141" s="33"/>
      <c r="S141" s="33"/>
      <c r="T141" s="70"/>
    </row>
    <row r="142" spans="2:20" x14ac:dyDescent="0.2">
      <c r="B142" s="125"/>
      <c r="Q142" s="33"/>
      <c r="R142" s="33"/>
      <c r="S142" s="33"/>
      <c r="T142" s="70"/>
    </row>
    <row r="143" spans="2:20" x14ac:dyDescent="0.2">
      <c r="B143" s="317"/>
      <c r="Q143" s="33"/>
      <c r="R143" s="33"/>
      <c r="S143" s="33"/>
      <c r="T143" s="70"/>
    </row>
    <row r="144" spans="2:20" x14ac:dyDescent="0.2">
      <c r="B144" s="125"/>
      <c r="Q144" s="33"/>
      <c r="R144" s="33"/>
      <c r="S144" s="33"/>
      <c r="T144" s="70"/>
    </row>
    <row r="145" spans="2:20" x14ac:dyDescent="0.2">
      <c r="B145" s="125"/>
      <c r="Q145" s="33"/>
      <c r="R145" s="33"/>
      <c r="S145" s="33"/>
      <c r="T145" s="70"/>
    </row>
    <row r="146" spans="2:20" x14ac:dyDescent="0.2">
      <c r="B146" s="125"/>
      <c r="Q146" s="33"/>
      <c r="R146" s="33"/>
      <c r="S146" s="33"/>
      <c r="T146" s="70"/>
    </row>
    <row r="147" spans="2:20" x14ac:dyDescent="0.2">
      <c r="B147" s="125"/>
      <c r="Q147" s="33"/>
      <c r="R147" s="33"/>
      <c r="S147" s="33"/>
      <c r="T147" s="70"/>
    </row>
    <row r="148" spans="2:20" x14ac:dyDescent="0.2">
      <c r="B148" s="904"/>
      <c r="Q148" s="33"/>
      <c r="R148" s="33"/>
      <c r="S148" s="33"/>
      <c r="T148" s="70"/>
    </row>
    <row r="149" spans="2:20" x14ac:dyDescent="0.2">
      <c r="B149" s="905"/>
      <c r="Q149" s="33"/>
      <c r="R149" s="33"/>
      <c r="S149" s="33"/>
      <c r="T149" s="70"/>
    </row>
    <row r="150" spans="2:20" x14ac:dyDescent="0.2">
      <c r="B150" s="905"/>
      <c r="Q150" s="33"/>
      <c r="R150" s="33"/>
      <c r="S150" s="33"/>
      <c r="T150" s="70"/>
    </row>
    <row r="151" spans="2:20" x14ac:dyDescent="0.2">
      <c r="B151" s="905"/>
      <c r="Q151" s="33"/>
      <c r="R151" s="33"/>
      <c r="S151" s="33"/>
      <c r="T151" s="70"/>
    </row>
    <row r="152" spans="2:20" x14ac:dyDescent="0.2">
      <c r="B152" s="125"/>
      <c r="Q152" s="33"/>
      <c r="R152" s="33"/>
      <c r="S152" s="33"/>
      <c r="T152" s="70"/>
    </row>
    <row r="153" spans="2:20" ht="15.75" x14ac:dyDescent="0.25">
      <c r="B153" s="352"/>
      <c r="Q153" s="33"/>
      <c r="R153" s="33"/>
      <c r="S153" s="33"/>
      <c r="T153" s="70"/>
    </row>
    <row r="154" spans="2:20" x14ac:dyDescent="0.2">
      <c r="B154" s="365"/>
      <c r="Q154" s="33"/>
      <c r="R154" s="33"/>
      <c r="S154" s="33"/>
      <c r="T154" s="70"/>
    </row>
    <row r="155" spans="2:20" x14ac:dyDescent="0.2">
      <c r="B155" s="365"/>
      <c r="Q155" s="33"/>
      <c r="R155" s="33"/>
      <c r="S155" s="33"/>
      <c r="T155" s="70"/>
    </row>
    <row r="156" spans="2:20" x14ac:dyDescent="0.2">
      <c r="B156" s="365"/>
      <c r="Q156" s="33"/>
      <c r="R156" s="33"/>
      <c r="S156" s="33"/>
      <c r="T156" s="70"/>
    </row>
    <row r="157" spans="2:20" x14ac:dyDescent="0.2">
      <c r="B157" s="125"/>
      <c r="Q157" s="33"/>
      <c r="R157" s="33"/>
      <c r="S157" s="33"/>
      <c r="T157" s="70"/>
    </row>
    <row r="158" spans="2:20" x14ac:dyDescent="0.2">
      <c r="B158" s="125"/>
      <c r="Q158" s="33"/>
      <c r="R158" s="33"/>
      <c r="S158" s="33"/>
      <c r="T158" s="70"/>
    </row>
    <row r="159" spans="2:20" x14ac:dyDescent="0.2">
      <c r="B159" s="125"/>
      <c r="Q159" s="33"/>
      <c r="R159" s="33"/>
      <c r="S159" s="33"/>
      <c r="T159" s="70"/>
    </row>
    <row r="160" spans="2:20" x14ac:dyDescent="0.2">
      <c r="B160" s="125"/>
      <c r="Q160" s="33"/>
      <c r="R160" s="33"/>
      <c r="S160" s="33"/>
      <c r="T160" s="70"/>
    </row>
    <row r="161" spans="2:20" x14ac:dyDescent="0.2">
      <c r="B161" s="125"/>
      <c r="Q161" s="33"/>
      <c r="R161" s="33"/>
      <c r="S161" s="33"/>
      <c r="T161" s="70"/>
    </row>
    <row r="162" spans="2:20" x14ac:dyDescent="0.2">
      <c r="B162" s="125"/>
      <c r="Q162" s="33"/>
      <c r="R162" s="33"/>
      <c r="S162" s="33"/>
      <c r="T162" s="70"/>
    </row>
    <row r="163" spans="2:20" x14ac:dyDescent="0.2">
      <c r="B163" s="125"/>
      <c r="Q163" s="33"/>
      <c r="R163" s="33"/>
      <c r="S163" s="33"/>
      <c r="T163" s="70"/>
    </row>
    <row r="164" spans="2:20" x14ac:dyDescent="0.2">
      <c r="B164" s="125"/>
      <c r="Q164" s="33"/>
      <c r="R164" s="33"/>
      <c r="S164" s="33"/>
      <c r="T164" s="70"/>
    </row>
    <row r="165" spans="2:20" ht="15.75" x14ac:dyDescent="0.2">
      <c r="B165" s="351"/>
      <c r="Q165" s="33"/>
      <c r="R165" s="33"/>
      <c r="S165" s="33"/>
      <c r="T165" s="70"/>
    </row>
    <row r="166" spans="2:20" x14ac:dyDescent="0.2">
      <c r="B166" s="365"/>
      <c r="Q166" s="33"/>
      <c r="R166" s="33"/>
      <c r="S166" s="33"/>
      <c r="T166" s="70"/>
    </row>
    <row r="167" spans="2:20" x14ac:dyDescent="0.2">
      <c r="B167" s="365"/>
      <c r="Q167" s="33"/>
      <c r="R167" s="33"/>
      <c r="S167" s="33"/>
      <c r="T167" s="70"/>
    </row>
    <row r="168" spans="2:20" x14ac:dyDescent="0.2">
      <c r="B168" s="365"/>
      <c r="Q168" s="33"/>
      <c r="R168" s="33"/>
      <c r="S168" s="33"/>
      <c r="T168" s="70"/>
    </row>
    <row r="169" spans="2:20" x14ac:dyDescent="0.2">
      <c r="B169" s="127"/>
      <c r="Q169" s="33"/>
      <c r="R169" s="33"/>
      <c r="S169" s="33"/>
      <c r="T169" s="70"/>
    </row>
    <row r="170" spans="2:20" x14ac:dyDescent="0.2">
      <c r="B170" s="127"/>
      <c r="Q170" s="33"/>
      <c r="R170" s="33"/>
      <c r="S170" s="33"/>
      <c r="T170" s="70"/>
    </row>
    <row r="171" spans="2:20" x14ac:dyDescent="0.2">
      <c r="B171" s="127"/>
      <c r="Q171" s="33"/>
      <c r="R171" s="33"/>
      <c r="S171" s="33"/>
      <c r="T171" s="70"/>
    </row>
    <row r="172" spans="2:20" x14ac:dyDescent="0.2">
      <c r="B172" s="127"/>
      <c r="Q172" s="33"/>
      <c r="R172" s="33"/>
      <c r="S172" s="33"/>
      <c r="T172" s="70"/>
    </row>
    <row r="173" spans="2:20" x14ac:dyDescent="0.2">
      <c r="B173" s="127"/>
      <c r="Q173" s="33"/>
      <c r="R173" s="33"/>
      <c r="S173" s="33"/>
      <c r="T173" s="70"/>
    </row>
    <row r="174" spans="2:20" x14ac:dyDescent="0.2">
      <c r="B174" s="127"/>
      <c r="Q174" s="33"/>
      <c r="R174" s="33"/>
      <c r="S174" s="33"/>
      <c r="T174" s="70"/>
    </row>
    <row r="175" spans="2:20" x14ac:dyDescent="0.2">
      <c r="B175" s="127"/>
      <c r="Q175" s="33"/>
      <c r="R175" s="33"/>
      <c r="S175" s="33"/>
      <c r="T175" s="70"/>
    </row>
    <row r="176" spans="2:20" x14ac:dyDescent="0.2">
      <c r="B176" s="127"/>
      <c r="Q176" s="33"/>
      <c r="R176" s="33"/>
      <c r="S176" s="33"/>
      <c r="T176" s="70"/>
    </row>
    <row r="177" spans="2:20" x14ac:dyDescent="0.2">
      <c r="B177" s="125"/>
      <c r="Q177" s="33"/>
      <c r="R177" s="33"/>
      <c r="S177" s="33"/>
      <c r="T177" s="70"/>
    </row>
    <row r="178" spans="2:20" ht="15.75" x14ac:dyDescent="0.25">
      <c r="B178" s="318"/>
      <c r="Q178" s="33"/>
      <c r="R178" s="33"/>
      <c r="S178" s="33"/>
      <c r="T178" s="70"/>
    </row>
    <row r="179" spans="2:20" x14ac:dyDescent="0.2">
      <c r="B179" s="365"/>
      <c r="Q179" s="33"/>
      <c r="R179" s="33"/>
      <c r="S179" s="33"/>
      <c r="T179" s="70"/>
    </row>
    <row r="180" spans="2:20" x14ac:dyDescent="0.2">
      <c r="B180" s="127"/>
      <c r="Q180" s="33"/>
      <c r="R180" s="33"/>
      <c r="S180" s="33"/>
      <c r="T180" s="70"/>
    </row>
    <row r="181" spans="2:20" x14ac:dyDescent="0.2">
      <c r="B181" s="127"/>
      <c r="Q181" s="33"/>
      <c r="R181" s="33"/>
      <c r="S181" s="33"/>
      <c r="T181" s="70"/>
    </row>
    <row r="182" spans="2:20" ht="15" x14ac:dyDescent="0.2">
      <c r="B182" s="127"/>
      <c r="Q182" s="271"/>
      <c r="R182" s="271"/>
      <c r="S182" s="271"/>
      <c r="T182" s="272"/>
    </row>
    <row r="183" spans="2:20" x14ac:dyDescent="0.2">
      <c r="B183" s="127"/>
      <c r="Q183" s="33"/>
      <c r="R183" s="33"/>
      <c r="S183" s="33"/>
      <c r="T183" s="70"/>
    </row>
    <row r="184" spans="2:20" x14ac:dyDescent="0.2">
      <c r="B184" s="127"/>
      <c r="Q184" s="33"/>
      <c r="R184" s="33"/>
      <c r="S184" s="33"/>
      <c r="T184" s="70"/>
    </row>
    <row r="185" spans="2:20" x14ac:dyDescent="0.2">
      <c r="B185" s="127"/>
      <c r="Q185" s="33"/>
      <c r="R185" s="33"/>
      <c r="S185" s="33"/>
      <c r="T185" s="70"/>
    </row>
    <row r="186" spans="2:20" x14ac:dyDescent="0.2">
      <c r="B186" s="127"/>
      <c r="Q186" s="33"/>
      <c r="R186" s="33"/>
      <c r="S186" s="33"/>
      <c r="T186" s="70"/>
    </row>
    <row r="187" spans="2:20" x14ac:dyDescent="0.2">
      <c r="B187" s="127"/>
      <c r="Q187" s="33"/>
      <c r="R187" s="33"/>
      <c r="S187" s="33"/>
      <c r="T187" s="70"/>
    </row>
    <row r="188" spans="2:20" x14ac:dyDescent="0.2">
      <c r="B188" s="317"/>
      <c r="Q188" s="33"/>
      <c r="R188" s="33"/>
      <c r="S188" s="33"/>
      <c r="T188" s="70"/>
    </row>
    <row r="189" spans="2:20" x14ac:dyDescent="0.2">
      <c r="B189" s="127"/>
      <c r="Q189" s="33"/>
      <c r="R189" s="33"/>
      <c r="S189" s="33"/>
      <c r="T189" s="70"/>
    </row>
    <row r="190" spans="2:20" x14ac:dyDescent="0.2">
      <c r="B190" s="125"/>
      <c r="Q190" s="33"/>
      <c r="R190" s="33"/>
      <c r="S190" s="33"/>
      <c r="T190" s="70"/>
    </row>
    <row r="191" spans="2:20" ht="15.75" x14ac:dyDescent="0.25">
      <c r="B191" s="318"/>
      <c r="Q191" s="271"/>
      <c r="R191" s="271"/>
      <c r="S191" s="271"/>
      <c r="T191" s="272"/>
    </row>
    <row r="192" spans="2:20" x14ac:dyDescent="0.2">
      <c r="B192" s="365"/>
      <c r="Q192" s="33"/>
      <c r="R192" s="33"/>
      <c r="S192" s="33"/>
      <c r="T192" s="70"/>
    </row>
    <row r="193" spans="2:20" x14ac:dyDescent="0.2">
      <c r="B193" s="127"/>
      <c r="Q193" s="33"/>
      <c r="R193" s="33"/>
      <c r="S193" s="33"/>
      <c r="T193" s="70"/>
    </row>
    <row r="194" spans="2:20" ht="15" x14ac:dyDescent="0.2">
      <c r="B194" s="127"/>
      <c r="Q194" s="271"/>
      <c r="R194" s="271"/>
      <c r="S194" s="271"/>
      <c r="T194" s="272"/>
    </row>
    <row r="195" spans="2:20" x14ac:dyDescent="0.2">
      <c r="B195" s="127"/>
      <c r="Q195" s="33"/>
      <c r="R195" s="33"/>
      <c r="S195" s="33"/>
      <c r="T195" s="70"/>
    </row>
    <row r="196" spans="2:20" x14ac:dyDescent="0.2">
      <c r="B196" s="127"/>
      <c r="Q196" s="33"/>
      <c r="R196" s="33"/>
      <c r="S196" s="33"/>
      <c r="T196" s="70"/>
    </row>
    <row r="197" spans="2:20" x14ac:dyDescent="0.2">
      <c r="B197" s="127"/>
      <c r="Q197" s="33"/>
      <c r="R197" s="33"/>
      <c r="S197" s="33"/>
      <c r="T197" s="70"/>
    </row>
    <row r="198" spans="2:20" x14ac:dyDescent="0.2">
      <c r="B198" s="127"/>
      <c r="Q198" s="33"/>
      <c r="R198" s="33"/>
      <c r="S198" s="33"/>
      <c r="T198" s="70"/>
    </row>
    <row r="199" spans="2:20" ht="15" x14ac:dyDescent="0.2">
      <c r="B199" s="127"/>
      <c r="Q199" s="271"/>
      <c r="R199" s="271"/>
      <c r="S199" s="271"/>
      <c r="T199" s="272"/>
    </row>
    <row r="200" spans="2:20" x14ac:dyDescent="0.2">
      <c r="B200" s="127"/>
      <c r="Q200" s="33"/>
      <c r="R200" s="33"/>
      <c r="S200" s="33"/>
      <c r="T200" s="70"/>
    </row>
    <row r="201" spans="2:20" x14ac:dyDescent="0.2">
      <c r="B201" s="37"/>
      <c r="Q201" s="33"/>
      <c r="R201" s="33"/>
      <c r="S201" s="33"/>
      <c r="T201" s="70"/>
    </row>
    <row r="202" spans="2:20" ht="15.75" x14ac:dyDescent="0.25">
      <c r="B202" s="318"/>
      <c r="Q202" s="33"/>
      <c r="R202" s="33"/>
      <c r="S202" s="33"/>
      <c r="T202" s="70"/>
    </row>
    <row r="203" spans="2:20" x14ac:dyDescent="0.2">
      <c r="B203" s="127"/>
      <c r="Q203" s="33"/>
      <c r="R203" s="33"/>
      <c r="S203" s="33"/>
      <c r="T203" s="70"/>
    </row>
    <row r="204" spans="2:20" x14ac:dyDescent="0.2">
      <c r="B204" s="127"/>
      <c r="Q204" s="33"/>
      <c r="R204" s="33"/>
      <c r="S204" s="33"/>
      <c r="T204" s="70"/>
    </row>
    <row r="205" spans="2:20" x14ac:dyDescent="0.2">
      <c r="B205" s="127"/>
      <c r="Q205" s="33"/>
      <c r="R205" s="33"/>
      <c r="S205" s="33"/>
      <c r="T205" s="70"/>
    </row>
    <row r="206" spans="2:20" x14ac:dyDescent="0.2">
      <c r="B206" s="127"/>
      <c r="Q206" s="33"/>
      <c r="R206" s="33"/>
      <c r="S206" s="33"/>
      <c r="T206" s="70"/>
    </row>
    <row r="207" spans="2:20" x14ac:dyDescent="0.2">
      <c r="B207" s="125"/>
      <c r="Q207" s="33"/>
      <c r="R207" s="33"/>
      <c r="S207" s="33"/>
      <c r="T207" s="70"/>
    </row>
    <row r="208" spans="2:20" ht="15.75" x14ac:dyDescent="0.25">
      <c r="B208" s="352"/>
      <c r="Q208" s="33"/>
      <c r="R208" s="33"/>
      <c r="S208" s="33"/>
      <c r="T208" s="70"/>
    </row>
    <row r="209" spans="2:20" x14ac:dyDescent="0.2">
      <c r="B209" s="127"/>
      <c r="Q209" s="33"/>
      <c r="R209" s="33"/>
      <c r="S209" s="33"/>
      <c r="T209" s="70"/>
    </row>
    <row r="210" spans="2:20" x14ac:dyDescent="0.2">
      <c r="B210" s="127"/>
      <c r="Q210" s="33"/>
      <c r="R210" s="33"/>
      <c r="S210" s="33"/>
      <c r="T210" s="70"/>
    </row>
    <row r="211" spans="2:20" ht="15" x14ac:dyDescent="0.2">
      <c r="B211" s="127"/>
      <c r="Q211" s="271"/>
      <c r="R211" s="271"/>
      <c r="S211" s="271"/>
      <c r="T211" s="272"/>
    </row>
    <row r="212" spans="2:20" x14ac:dyDescent="0.2">
      <c r="B212" s="127"/>
      <c r="Q212" s="33"/>
      <c r="R212" s="33"/>
      <c r="S212" s="33"/>
      <c r="T212" s="70"/>
    </row>
    <row r="213" spans="2:20" x14ac:dyDescent="0.2">
      <c r="B213" s="125"/>
      <c r="Q213" s="33"/>
      <c r="R213" s="33"/>
      <c r="S213" s="33"/>
      <c r="T213" s="70"/>
    </row>
    <row r="214" spans="2:20" ht="15.75" x14ac:dyDescent="0.25">
      <c r="B214" s="318"/>
      <c r="Q214" s="33"/>
      <c r="R214" s="33"/>
      <c r="S214" s="33"/>
      <c r="T214" s="70"/>
    </row>
    <row r="215" spans="2:20" x14ac:dyDescent="0.2">
      <c r="B215" s="127"/>
      <c r="Q215" s="33"/>
      <c r="R215" s="33"/>
      <c r="S215" s="33"/>
      <c r="T215" s="70"/>
    </row>
    <row r="216" spans="2:20" x14ac:dyDescent="0.2">
      <c r="B216" s="127"/>
      <c r="Q216" s="33"/>
      <c r="R216" s="33"/>
      <c r="S216" s="33"/>
      <c r="T216" s="70"/>
    </row>
    <row r="217" spans="2:20" x14ac:dyDescent="0.2">
      <c r="B217" s="321"/>
      <c r="Q217" s="33"/>
      <c r="R217" s="33"/>
      <c r="S217" s="33"/>
      <c r="T217" s="70"/>
    </row>
    <row r="218" spans="2:20" ht="15.75" x14ac:dyDescent="0.25">
      <c r="B218" s="318"/>
      <c r="Q218" s="33"/>
      <c r="R218" s="33"/>
      <c r="S218" s="33"/>
      <c r="T218" s="70"/>
    </row>
    <row r="219" spans="2:20" x14ac:dyDescent="0.2">
      <c r="B219" s="317"/>
      <c r="Q219" s="33"/>
      <c r="R219" s="33"/>
      <c r="S219" s="33"/>
      <c r="T219" s="70"/>
    </row>
    <row r="220" spans="2:20" x14ac:dyDescent="0.2">
      <c r="B220" s="365"/>
      <c r="Q220" s="33"/>
      <c r="R220" s="33"/>
      <c r="S220" s="33"/>
      <c r="T220" s="70"/>
    </row>
    <row r="221" spans="2:20" x14ac:dyDescent="0.2">
      <c r="B221" s="365"/>
      <c r="Q221" s="33"/>
      <c r="R221" s="33"/>
      <c r="S221" s="33"/>
      <c r="T221" s="70"/>
    </row>
    <row r="222" spans="2:20" x14ac:dyDescent="0.2">
      <c r="B222" s="365"/>
      <c r="Q222" s="33"/>
      <c r="R222" s="33"/>
      <c r="S222" s="33"/>
      <c r="T222" s="70"/>
    </row>
    <row r="223" spans="2:20" x14ac:dyDescent="0.2">
      <c r="B223" s="125"/>
      <c r="Q223" s="33"/>
      <c r="R223" s="33"/>
      <c r="S223" s="33"/>
      <c r="T223" s="70"/>
    </row>
    <row r="224" spans="2:20" x14ac:dyDescent="0.2">
      <c r="B224" s="125"/>
      <c r="Q224" s="33"/>
      <c r="R224" s="33"/>
      <c r="S224" s="33"/>
      <c r="T224" s="70"/>
    </row>
    <row r="225" spans="2:20" x14ac:dyDescent="0.2">
      <c r="B225" s="125"/>
      <c r="Q225" s="33"/>
      <c r="R225" s="33"/>
      <c r="S225" s="33"/>
      <c r="T225" s="70"/>
    </row>
    <row r="226" spans="2:20" x14ac:dyDescent="0.2">
      <c r="B226" s="125"/>
      <c r="Q226" s="33"/>
      <c r="R226" s="33"/>
      <c r="S226" s="33"/>
      <c r="T226" s="70"/>
    </row>
    <row r="227" spans="2:20" x14ac:dyDescent="0.2">
      <c r="B227" s="125"/>
      <c r="Q227" s="33"/>
      <c r="R227" s="33"/>
      <c r="S227" s="33"/>
      <c r="T227" s="70"/>
    </row>
    <row r="228" spans="2:20" x14ac:dyDescent="0.2">
      <c r="B228" s="365"/>
      <c r="Q228" s="33"/>
      <c r="R228" s="33"/>
      <c r="S228" s="33"/>
      <c r="T228" s="70"/>
    </row>
    <row r="229" spans="2:20" x14ac:dyDescent="0.2">
      <c r="B229" s="365"/>
      <c r="Q229" s="33"/>
      <c r="R229" s="33"/>
      <c r="S229" s="33"/>
      <c r="T229" s="70"/>
    </row>
    <row r="230" spans="2:20" x14ac:dyDescent="0.2">
      <c r="B230" s="127"/>
      <c r="Q230" s="33"/>
      <c r="R230" s="33"/>
      <c r="S230" s="33"/>
      <c r="T230" s="70"/>
    </row>
    <row r="231" spans="2:20" x14ac:dyDescent="0.2">
      <c r="B231" s="127"/>
      <c r="Q231" s="33"/>
      <c r="R231" s="33"/>
      <c r="S231" s="33"/>
      <c r="T231" s="70"/>
    </row>
    <row r="232" spans="2:20" x14ac:dyDescent="0.2">
      <c r="B232" s="127"/>
      <c r="Q232" s="33"/>
      <c r="R232" s="33"/>
      <c r="S232" s="33"/>
      <c r="T232" s="70"/>
    </row>
    <row r="233" spans="2:20" x14ac:dyDescent="0.2">
      <c r="B233" s="127"/>
      <c r="Q233" s="33"/>
      <c r="R233" s="33"/>
      <c r="S233" s="33"/>
      <c r="T233" s="70"/>
    </row>
    <row r="234" spans="2:20" x14ac:dyDescent="0.2">
      <c r="B234" s="125"/>
      <c r="Q234" s="33"/>
      <c r="R234" s="33"/>
      <c r="S234" s="33"/>
      <c r="T234" s="70"/>
    </row>
    <row r="235" spans="2:20" ht="15.75" x14ac:dyDescent="0.25">
      <c r="B235" s="318"/>
      <c r="Q235" s="33"/>
      <c r="R235" s="33"/>
      <c r="S235" s="33"/>
      <c r="T235" s="70"/>
    </row>
    <row r="236" spans="2:20" x14ac:dyDescent="0.2">
      <c r="Q236" s="33"/>
      <c r="R236" s="33"/>
      <c r="S236" s="33"/>
      <c r="T236" s="70"/>
    </row>
    <row r="237" spans="2:20" x14ac:dyDescent="0.2">
      <c r="B237" s="365"/>
    </row>
    <row r="238" spans="2:20" x14ac:dyDescent="0.2">
      <c r="B238" s="365"/>
    </row>
    <row r="239" spans="2:20" x14ac:dyDescent="0.2">
      <c r="B239" s="365"/>
    </row>
    <row r="240" spans="2:20" x14ac:dyDescent="0.2">
      <c r="B240" s="365"/>
    </row>
    <row r="241" spans="2:20" x14ac:dyDescent="0.2">
      <c r="B241" s="127"/>
    </row>
    <row r="242" spans="2:20" x14ac:dyDescent="0.2">
      <c r="B242" s="127"/>
    </row>
    <row r="243" spans="2:20" x14ac:dyDescent="0.2">
      <c r="B243" s="127"/>
    </row>
    <row r="244" spans="2:20" x14ac:dyDescent="0.2">
      <c r="B244" s="127"/>
    </row>
    <row r="245" spans="2:20" x14ac:dyDescent="0.2">
      <c r="B245" s="127"/>
    </row>
    <row r="246" spans="2:20" x14ac:dyDescent="0.2">
      <c r="B246" s="127"/>
    </row>
    <row r="247" spans="2:20" x14ac:dyDescent="0.2">
      <c r="B247" s="127"/>
    </row>
    <row r="248" spans="2:20" x14ac:dyDescent="0.2">
      <c r="B248" s="365"/>
    </row>
    <row r="249" spans="2:20" x14ac:dyDescent="0.2">
      <c r="B249" s="125"/>
    </row>
    <row r="250" spans="2:20" ht="15.75" x14ac:dyDescent="0.25">
      <c r="B250" s="318"/>
      <c r="Q250" s="33"/>
      <c r="R250" s="33"/>
      <c r="S250" s="33"/>
      <c r="T250" s="70"/>
    </row>
    <row r="251" spans="2:20" x14ac:dyDescent="0.2">
      <c r="B251" s="127"/>
      <c r="Q251" s="33"/>
      <c r="R251" s="33"/>
      <c r="S251" s="33"/>
      <c r="T251" s="70"/>
    </row>
    <row r="252" spans="2:20" x14ac:dyDescent="0.2">
      <c r="B252" s="127"/>
      <c r="Q252" s="33"/>
      <c r="R252" s="33"/>
      <c r="S252" s="33"/>
      <c r="T252" s="70"/>
    </row>
    <row r="253" spans="2:20" x14ac:dyDescent="0.2">
      <c r="B253" s="127"/>
      <c r="Q253" s="33"/>
      <c r="R253" s="33"/>
      <c r="S253" s="33"/>
      <c r="T253" s="70"/>
    </row>
    <row r="254" spans="2:20" x14ac:dyDescent="0.2">
      <c r="B254" s="127"/>
      <c r="Q254" s="33"/>
      <c r="R254" s="33"/>
      <c r="S254" s="33"/>
      <c r="T254" s="70"/>
    </row>
    <row r="255" spans="2:20" x14ac:dyDescent="0.2">
      <c r="B255" s="127"/>
      <c r="Q255" s="33"/>
      <c r="R255" s="33"/>
      <c r="S255" s="33"/>
      <c r="T255" s="70"/>
    </row>
    <row r="256" spans="2:20" x14ac:dyDescent="0.2">
      <c r="B256" s="375" t="s">
        <v>2899</v>
      </c>
      <c r="Q256" s="33"/>
      <c r="R256" s="33"/>
      <c r="S256" s="33"/>
      <c r="T256" s="70"/>
    </row>
    <row r="257" spans="2:20" x14ac:dyDescent="0.2">
      <c r="B257" s="375" t="s">
        <v>2899</v>
      </c>
      <c r="Q257" s="33"/>
      <c r="R257" s="33"/>
      <c r="S257" s="33"/>
      <c r="T257" s="70"/>
    </row>
    <row r="258" spans="2:20" x14ac:dyDescent="0.2">
      <c r="B258" s="125"/>
      <c r="Q258" s="33"/>
      <c r="R258" s="33"/>
      <c r="S258" s="33"/>
      <c r="T258" s="70"/>
    </row>
    <row r="259" spans="2:20" ht="15.75" x14ac:dyDescent="0.2">
      <c r="B259" s="351"/>
      <c r="Q259" s="33"/>
      <c r="R259" s="33"/>
      <c r="S259" s="33"/>
      <c r="T259" s="70"/>
    </row>
    <row r="260" spans="2:20" x14ac:dyDescent="0.2">
      <c r="B260" s="127"/>
    </row>
    <row r="261" spans="2:20" x14ac:dyDescent="0.2">
      <c r="B261" s="127"/>
    </row>
    <row r="262" spans="2:20" x14ac:dyDescent="0.2">
      <c r="B262" s="126" t="s">
        <v>2899</v>
      </c>
    </row>
    <row r="263" spans="2:20" x14ac:dyDescent="0.2">
      <c r="B263" s="125"/>
    </row>
    <row r="264" spans="2:20" ht="15.75" x14ac:dyDescent="0.25">
      <c r="B264" s="318"/>
    </row>
    <row r="265" spans="2:20" x14ac:dyDescent="0.2">
      <c r="B265" s="127"/>
    </row>
    <row r="266" spans="2:20" x14ac:dyDescent="0.2">
      <c r="B266" s="312"/>
    </row>
    <row r="267" spans="2:20" x14ac:dyDescent="0.2">
      <c r="B267" s="37"/>
    </row>
    <row r="268" spans="2:20" x14ac:dyDescent="0.2">
      <c r="B268" s="126" t="s">
        <v>2891</v>
      </c>
    </row>
    <row r="269" spans="2:20" x14ac:dyDescent="0.2">
      <c r="B269" s="126" t="s">
        <v>2891</v>
      </c>
    </row>
    <row r="270" spans="2:20" x14ac:dyDescent="0.2">
      <c r="B270" s="126" t="s">
        <v>2891</v>
      </c>
    </row>
    <row r="271" spans="2:20" x14ac:dyDescent="0.2">
      <c r="B271" s="126" t="s">
        <v>2891</v>
      </c>
    </row>
    <row r="272" spans="2:20" x14ac:dyDescent="0.2">
      <c r="B272" s="126" t="s">
        <v>2891</v>
      </c>
    </row>
    <row r="273" spans="2:2" x14ac:dyDescent="0.2">
      <c r="B273" s="126" t="s">
        <v>2891</v>
      </c>
    </row>
  </sheetData>
  <mergeCells count="1">
    <mergeCell ref="B148:B151"/>
  </mergeCells>
  <pageMargins left="0.5" right="0.5" top="0.5" bottom="0.5" header="0.3" footer="0.3"/>
  <pageSetup paperSize="3" orientation="landscape" r:id="rId1"/>
  <ignoredErrors>
    <ignoredError sqref="H5:H12 H15 H13:H14 H16:H17 J5:J11 H19:H20" numberStoredAsText="1"/>
    <ignoredError sqref="AG20 U5:U7 AG5 AC6:AG7 AC5:AF5 AG9:AG17 Q20 AC9:AF11 U13:X14 AC13:AF14 AC16:AF17 U20"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C495"/>
  <sheetViews>
    <sheetView zoomScale="90" zoomScaleNormal="90" workbookViewId="0">
      <pane ySplit="1" topLeftCell="A434" activePane="bottomLeft" state="frozen"/>
      <selection pane="bottomLeft" activeCell="L1" sqref="L1:L1048576"/>
    </sheetView>
  </sheetViews>
  <sheetFormatPr defaultRowHeight="12.75" x14ac:dyDescent="0.2"/>
  <cols>
    <col min="1" max="1" width="22.42578125" style="241" bestFit="1" customWidth="1"/>
    <col min="2" max="2" width="21.7109375" style="241" customWidth="1"/>
    <col min="3" max="3" width="15.5703125" style="241" customWidth="1"/>
    <col min="4" max="4" width="29" style="241" customWidth="1"/>
    <col min="5" max="5" width="14.7109375" style="241" customWidth="1"/>
    <col min="6" max="6" width="14.28515625" style="241" bestFit="1" customWidth="1"/>
    <col min="7" max="7" width="15.7109375" style="241" bestFit="1" customWidth="1"/>
    <col min="8" max="8" width="15.7109375" style="241" customWidth="1"/>
    <col min="9" max="9" width="16.7109375" style="241" bestFit="1" customWidth="1"/>
    <col min="10" max="10" width="16.85546875" style="241" bestFit="1" customWidth="1"/>
    <col min="11" max="11" width="8.7109375" style="241" bestFit="1" customWidth="1"/>
    <col min="12" max="12" width="11.28515625" style="241" bestFit="1" customWidth="1"/>
    <col min="13" max="13" width="7.28515625" style="241" bestFit="1" customWidth="1"/>
    <col min="14" max="14" width="8.28515625" style="241" bestFit="1" customWidth="1"/>
    <col min="15" max="15" width="9.28515625" style="566" customWidth="1"/>
    <col min="16" max="17" width="9.28515625" style="567" customWidth="1"/>
    <col min="18" max="18" width="9.28515625" style="568" customWidth="1"/>
    <col min="19" max="19" width="9.140625" style="241"/>
    <col min="20" max="20" width="8.42578125" style="241" customWidth="1"/>
    <col min="21" max="26" width="9.140625" style="241"/>
    <col min="27" max="27" width="7.7109375" style="241" customWidth="1"/>
    <col min="28" max="28" width="7.28515625" style="241" customWidth="1"/>
    <col min="29" max="29" width="7" style="241" customWidth="1"/>
    <col min="30" max="30" width="7.7109375" style="241" customWidth="1"/>
    <col min="31" max="16384" width="9.140625" style="241"/>
  </cols>
  <sheetData>
    <row r="1" spans="1:42" s="635" customFormat="1" ht="74.25" customHeight="1" thickBot="1" x14ac:dyDescent="0.25">
      <c r="A1" s="618" t="s">
        <v>131</v>
      </c>
      <c r="B1" s="619" t="s">
        <v>138</v>
      </c>
      <c r="C1" s="619" t="s">
        <v>98</v>
      </c>
      <c r="D1" s="618" t="s">
        <v>99</v>
      </c>
      <c r="E1" s="618" t="s">
        <v>100</v>
      </c>
      <c r="F1" s="620" t="s">
        <v>2519</v>
      </c>
      <c r="G1" s="621" t="s">
        <v>501</v>
      </c>
      <c r="H1" s="622" t="s">
        <v>2815</v>
      </c>
      <c r="I1" s="622" t="s">
        <v>2543</v>
      </c>
      <c r="J1" s="621" t="s">
        <v>260</v>
      </c>
      <c r="K1" s="621" t="s">
        <v>974</v>
      </c>
      <c r="L1" s="623" t="s">
        <v>132</v>
      </c>
      <c r="M1" s="624" t="s">
        <v>77</v>
      </c>
      <c r="N1" s="625" t="s">
        <v>78</v>
      </c>
      <c r="O1" s="626" t="s">
        <v>2515</v>
      </c>
      <c r="P1" s="627" t="s">
        <v>2670</v>
      </c>
      <c r="Q1" s="627" t="s">
        <v>2517</v>
      </c>
      <c r="R1" s="628" t="s">
        <v>2518</v>
      </c>
      <c r="S1" s="629" t="s">
        <v>2463</v>
      </c>
      <c r="T1" s="630" t="s">
        <v>2464</v>
      </c>
      <c r="U1" s="630" t="s">
        <v>2465</v>
      </c>
      <c r="V1" s="631" t="s">
        <v>2466</v>
      </c>
      <c r="W1" s="632" t="s">
        <v>2467</v>
      </c>
      <c r="X1" s="630" t="s">
        <v>2468</v>
      </c>
      <c r="Y1" s="630" t="s">
        <v>2469</v>
      </c>
      <c r="Z1" s="631" t="s">
        <v>2470</v>
      </c>
      <c r="AA1" s="632" t="s">
        <v>2471</v>
      </c>
      <c r="AB1" s="630" t="s">
        <v>2472</v>
      </c>
      <c r="AC1" s="630" t="s">
        <v>2473</v>
      </c>
      <c r="AD1" s="631" t="s">
        <v>2474</v>
      </c>
      <c r="AE1" s="633" t="s">
        <v>2484</v>
      </c>
      <c r="AF1" s="618" t="s">
        <v>133</v>
      </c>
      <c r="AG1" s="618" t="s">
        <v>134</v>
      </c>
      <c r="AH1" s="618" t="s">
        <v>135</v>
      </c>
      <c r="AI1" s="618" t="s">
        <v>136</v>
      </c>
      <c r="AJ1" s="618" t="s">
        <v>137</v>
      </c>
      <c r="AK1" s="618" t="s">
        <v>2104</v>
      </c>
      <c r="AL1" s="618" t="s">
        <v>2105</v>
      </c>
      <c r="AM1" s="618" t="s">
        <v>2106</v>
      </c>
      <c r="AN1" s="618" t="s">
        <v>144</v>
      </c>
      <c r="AO1" s="634" t="s">
        <v>145</v>
      </c>
      <c r="AP1" s="618" t="s">
        <v>146</v>
      </c>
    </row>
    <row r="2" spans="1:42" s="18" customFormat="1" ht="18" x14ac:dyDescent="0.25">
      <c r="A2" s="614" t="s">
        <v>1451</v>
      </c>
      <c r="B2" s="33"/>
      <c r="C2" s="33"/>
      <c r="D2" s="34"/>
      <c r="G2" s="36"/>
      <c r="H2" s="36"/>
      <c r="I2" s="36"/>
      <c r="J2" s="36"/>
      <c r="K2" s="36"/>
      <c r="L2" s="5"/>
      <c r="M2" s="35"/>
      <c r="N2" s="35"/>
      <c r="O2" s="345"/>
      <c r="P2" s="35"/>
      <c r="Q2" s="35"/>
      <c r="R2" s="187"/>
      <c r="S2" s="33"/>
      <c r="T2" s="33"/>
      <c r="U2" s="33"/>
      <c r="V2" s="70"/>
      <c r="W2" s="44"/>
      <c r="X2" s="33"/>
      <c r="Y2" s="33"/>
      <c r="Z2" s="70"/>
      <c r="AA2" s="44"/>
      <c r="AB2" s="33"/>
      <c r="AC2" s="33"/>
      <c r="AD2" s="70"/>
    </row>
    <row r="3" spans="1:42" s="18" customFormat="1" ht="18.75" customHeight="1" x14ac:dyDescent="0.2">
      <c r="B3" s="33"/>
      <c r="C3" s="33"/>
      <c r="D3" s="34"/>
      <c r="G3" s="36"/>
      <c r="H3" s="36"/>
      <c r="I3" s="36"/>
      <c r="J3" s="36"/>
      <c r="K3" s="36"/>
      <c r="L3" s="5"/>
      <c r="M3" s="35"/>
      <c r="N3" s="35"/>
      <c r="O3" s="345"/>
      <c r="P3" s="35"/>
      <c r="Q3" s="35"/>
      <c r="R3" s="187"/>
      <c r="S3" s="33"/>
      <c r="T3" s="33"/>
      <c r="U3" s="33"/>
      <c r="V3" s="70"/>
      <c r="W3" s="44"/>
      <c r="X3" s="33"/>
      <c r="Y3" s="33"/>
      <c r="Z3" s="70"/>
      <c r="AA3" s="44"/>
      <c r="AB3" s="33"/>
      <c r="AC3" s="33"/>
      <c r="AD3" s="70"/>
      <c r="AE3" s="33"/>
    </row>
    <row r="4" spans="1:42" s="18" customFormat="1" ht="18.75" customHeight="1" x14ac:dyDescent="0.2">
      <c r="B4" s="33"/>
      <c r="C4" s="33"/>
      <c r="D4" s="34"/>
      <c r="G4" s="36"/>
      <c r="H4" s="36"/>
      <c r="I4" s="36"/>
      <c r="J4" s="36"/>
      <c r="K4" s="36"/>
      <c r="L4" s="5"/>
      <c r="M4" s="35"/>
      <c r="N4" s="35"/>
      <c r="O4" s="345"/>
      <c r="P4" s="35"/>
      <c r="Q4" s="35"/>
      <c r="R4" s="187"/>
      <c r="S4" s="33"/>
      <c r="T4" s="33"/>
      <c r="U4" s="33"/>
      <c r="V4" s="70"/>
      <c r="W4" s="44"/>
      <c r="X4" s="33"/>
      <c r="Y4" s="33"/>
      <c r="Z4" s="70"/>
      <c r="AA4" s="44"/>
      <c r="AB4" s="33"/>
      <c r="AC4" s="33"/>
      <c r="AD4" s="70"/>
      <c r="AE4" s="33"/>
    </row>
    <row r="5" spans="1:42" s="18" customFormat="1" x14ac:dyDescent="0.2">
      <c r="A5" s="18" t="s">
        <v>510</v>
      </c>
      <c r="B5" s="33" t="s">
        <v>590</v>
      </c>
      <c r="C5" s="33" t="s">
        <v>2662</v>
      </c>
      <c r="D5" s="34" t="s">
        <v>2818</v>
      </c>
      <c r="E5" s="33" t="s">
        <v>2814</v>
      </c>
      <c r="F5" s="33" t="s">
        <v>2521</v>
      </c>
      <c r="G5" s="77">
        <v>7331423006038</v>
      </c>
      <c r="H5" s="77" t="s">
        <v>259</v>
      </c>
      <c r="I5" s="77">
        <v>7331423006038</v>
      </c>
      <c r="J5" s="36" t="s">
        <v>568</v>
      </c>
      <c r="K5" s="36" t="s">
        <v>977</v>
      </c>
      <c r="L5" s="5">
        <v>2.99</v>
      </c>
      <c r="M5" s="35">
        <v>1</v>
      </c>
      <c r="N5" s="187">
        <v>9</v>
      </c>
      <c r="O5" s="99">
        <f>CONVERT(9,"g","lbm")</f>
        <v>1.9841603596638981E-2</v>
      </c>
      <c r="P5" s="33">
        <f>CONVERT(17,"cm","in")</f>
        <v>6.6929133858267722</v>
      </c>
      <c r="Q5" s="100">
        <v>1.5</v>
      </c>
      <c r="R5" s="101">
        <v>0.875</v>
      </c>
      <c r="S5" s="99">
        <f>CONVERT(675,"g","lbm")</f>
        <v>1.4881202697479237</v>
      </c>
      <c r="T5" s="100">
        <v>4.75</v>
      </c>
      <c r="U5" s="100">
        <v>4.75</v>
      </c>
      <c r="V5" s="101">
        <v>7.125</v>
      </c>
      <c r="W5" s="44" t="s">
        <v>259</v>
      </c>
      <c r="X5" s="33" t="s">
        <v>259</v>
      </c>
      <c r="Y5" s="33" t="s">
        <v>259</v>
      </c>
      <c r="Z5" s="70" t="s">
        <v>259</v>
      </c>
      <c r="AA5" s="44">
        <v>13.95</v>
      </c>
      <c r="AB5" s="33">
        <v>12.375</v>
      </c>
      <c r="AC5" s="33">
        <v>12.5</v>
      </c>
      <c r="AD5" s="70">
        <v>7.75</v>
      </c>
      <c r="AE5" s="44">
        <f>AB5*AC5*AD5/(12^3)</f>
        <v>0.69376627604166663</v>
      </c>
      <c r="AF5" s="37" t="s">
        <v>2964</v>
      </c>
      <c r="AG5" s="37" t="s">
        <v>2959</v>
      </c>
      <c r="AH5" s="37" t="s">
        <v>1849</v>
      </c>
      <c r="AI5" s="37" t="s">
        <v>2960</v>
      </c>
      <c r="AJ5" s="37" t="s">
        <v>2961</v>
      </c>
      <c r="AK5" s="37" t="s">
        <v>1635</v>
      </c>
      <c r="AL5" s="37" t="s">
        <v>2962</v>
      </c>
      <c r="AM5" s="37" t="s">
        <v>2963</v>
      </c>
      <c r="AN5" s="37" t="s">
        <v>481</v>
      </c>
      <c r="AO5" s="18" t="s">
        <v>2909</v>
      </c>
      <c r="AP5" s="94" t="s">
        <v>2908</v>
      </c>
    </row>
    <row r="6" spans="1:42" s="18" customFormat="1" x14ac:dyDescent="0.2">
      <c r="A6" s="18" t="s">
        <v>510</v>
      </c>
      <c r="B6" s="33" t="s">
        <v>2826</v>
      </c>
      <c r="C6" s="33"/>
      <c r="D6" s="34" t="s">
        <v>2827</v>
      </c>
      <c r="E6" s="33" t="s">
        <v>2776</v>
      </c>
      <c r="F6" s="33" t="s">
        <v>2521</v>
      </c>
      <c r="G6" s="77">
        <v>7331423008452</v>
      </c>
      <c r="H6" s="77" t="s">
        <v>259</v>
      </c>
      <c r="I6" s="77">
        <v>7331423008452</v>
      </c>
      <c r="J6" s="36" t="s">
        <v>568</v>
      </c>
      <c r="K6" s="36" t="s">
        <v>977</v>
      </c>
      <c r="L6" s="5">
        <v>2.99</v>
      </c>
      <c r="M6" s="35">
        <v>1</v>
      </c>
      <c r="N6" s="187">
        <v>1</v>
      </c>
      <c r="O6" s="99">
        <f>CONVERT(9,"g","lbm")</f>
        <v>1.9841603596638981E-2</v>
      </c>
      <c r="P6" s="33">
        <f>CONVERT(17,"cm","in")</f>
        <v>6.6929133858267722</v>
      </c>
      <c r="Q6" s="100">
        <v>1.5</v>
      </c>
      <c r="R6" s="101">
        <v>0.875</v>
      </c>
      <c r="S6" s="99">
        <f>CONVERT(13.8,"kg","lbm")</f>
        <v>30.423792181513107</v>
      </c>
      <c r="T6" s="33">
        <f>CONVERT(37,"mm","in")</f>
        <v>1.4566929133858268</v>
      </c>
      <c r="U6" s="33">
        <f>CONVERT(37,"mm","in")</f>
        <v>1.4566929133858268</v>
      </c>
      <c r="V6" s="70">
        <f>CONVERT(101.5,"mm","in")</f>
        <v>3.9960629921259843</v>
      </c>
      <c r="W6" s="44" t="s">
        <v>259</v>
      </c>
      <c r="X6" s="33" t="s">
        <v>259</v>
      </c>
      <c r="Y6" s="33" t="s">
        <v>259</v>
      </c>
      <c r="Z6" s="70" t="s">
        <v>259</v>
      </c>
      <c r="AA6" s="44">
        <v>13.95</v>
      </c>
      <c r="AB6" s="33">
        <v>12.375</v>
      </c>
      <c r="AC6" s="33">
        <v>12.5</v>
      </c>
      <c r="AD6" s="70">
        <v>7.75</v>
      </c>
      <c r="AE6" s="44">
        <f>AB6*AC6*AD6/(12^3)</f>
        <v>0.69376627604166663</v>
      </c>
      <c r="AF6" s="37" t="s">
        <v>2966</v>
      </c>
      <c r="AG6" s="37" t="s">
        <v>2959</v>
      </c>
      <c r="AH6" s="37" t="s">
        <v>1849</v>
      </c>
      <c r="AI6" s="37" t="s">
        <v>2960</v>
      </c>
      <c r="AJ6" s="37" t="s">
        <v>2961</v>
      </c>
      <c r="AK6" s="37" t="s">
        <v>1635</v>
      </c>
      <c r="AL6" s="37" t="s">
        <v>2962</v>
      </c>
      <c r="AM6" s="37" t="s">
        <v>2963</v>
      </c>
      <c r="AN6" s="37" t="s">
        <v>481</v>
      </c>
      <c r="AO6" s="18" t="s">
        <v>2909</v>
      </c>
      <c r="AP6" s="94" t="s">
        <v>2908</v>
      </c>
    </row>
    <row r="7" spans="1:42" s="18" customFormat="1" x14ac:dyDescent="0.2">
      <c r="A7" s="18" t="s">
        <v>510</v>
      </c>
      <c r="B7" s="33" t="s">
        <v>956</v>
      </c>
      <c r="C7" s="33" t="s">
        <v>1019</v>
      </c>
      <c r="D7" s="34" t="s">
        <v>2415</v>
      </c>
      <c r="E7" s="33" t="s">
        <v>1019</v>
      </c>
      <c r="F7" s="33"/>
      <c r="G7" s="47">
        <v>7331423007554</v>
      </c>
      <c r="H7" s="47"/>
      <c r="I7" s="47"/>
      <c r="J7" s="36" t="s">
        <v>568</v>
      </c>
      <c r="K7" s="36" t="s">
        <v>977</v>
      </c>
      <c r="L7" s="5">
        <v>3.99</v>
      </c>
      <c r="M7" s="35">
        <v>25</v>
      </c>
      <c r="N7" s="35">
        <v>200</v>
      </c>
      <c r="O7" s="345"/>
      <c r="P7" s="35"/>
      <c r="Q7" s="35"/>
      <c r="R7" s="187"/>
      <c r="S7" s="33">
        <v>0.1</v>
      </c>
      <c r="T7" s="33">
        <v>8.8699999999999992</v>
      </c>
      <c r="U7" s="33">
        <v>2.75</v>
      </c>
      <c r="V7" s="70">
        <v>1</v>
      </c>
      <c r="W7" s="99">
        <v>0.85</v>
      </c>
      <c r="X7" s="33">
        <v>8.75</v>
      </c>
      <c r="Y7" s="100">
        <v>3.75</v>
      </c>
      <c r="Z7" s="101">
        <v>1.75</v>
      </c>
      <c r="AA7" s="44">
        <v>7.65</v>
      </c>
      <c r="AB7" s="33">
        <v>13</v>
      </c>
      <c r="AC7" s="33">
        <v>8.5</v>
      </c>
      <c r="AD7" s="70">
        <v>4</v>
      </c>
      <c r="AE7" s="33">
        <f t="shared" ref="AE7:AE48" si="0">AB7*AC7*AD7/(12^3)</f>
        <v>0.25578703703703703</v>
      </c>
      <c r="AF7" s="37" t="s">
        <v>1851</v>
      </c>
      <c r="AG7" s="37" t="s">
        <v>1852</v>
      </c>
      <c r="AH7" s="37" t="s">
        <v>426</v>
      </c>
      <c r="AI7" s="37" t="s">
        <v>1850</v>
      </c>
      <c r="AJ7" s="37" t="s">
        <v>430</v>
      </c>
      <c r="AN7" s="37" t="s">
        <v>431</v>
      </c>
      <c r="AO7" s="94" t="s">
        <v>520</v>
      </c>
    </row>
    <row r="8" spans="1:42" s="18" customFormat="1" x14ac:dyDescent="0.2">
      <c r="A8" s="18" t="s">
        <v>510</v>
      </c>
      <c r="B8" s="33" t="s">
        <v>956</v>
      </c>
      <c r="C8" s="33" t="s">
        <v>648</v>
      </c>
      <c r="D8" s="34" t="s">
        <v>2415</v>
      </c>
      <c r="E8" s="33" t="s">
        <v>648</v>
      </c>
      <c r="F8" s="33"/>
      <c r="G8" s="77">
        <v>7331423002238</v>
      </c>
      <c r="H8" s="77"/>
      <c r="I8" s="77"/>
      <c r="J8" s="36" t="s">
        <v>568</v>
      </c>
      <c r="K8" s="36" t="s">
        <v>977</v>
      </c>
      <c r="L8" s="5">
        <v>3.99</v>
      </c>
      <c r="M8" s="35">
        <v>25</v>
      </c>
      <c r="N8" s="35">
        <v>200</v>
      </c>
      <c r="O8" s="345"/>
      <c r="P8" s="35"/>
      <c r="Q8" s="35"/>
      <c r="R8" s="187"/>
      <c r="S8" s="33">
        <v>0.1</v>
      </c>
      <c r="T8" s="33">
        <v>8.8699999999999992</v>
      </c>
      <c r="U8" s="33">
        <v>2.75</v>
      </c>
      <c r="V8" s="70">
        <v>1</v>
      </c>
      <c r="W8" s="99">
        <v>0.85</v>
      </c>
      <c r="X8" s="33">
        <v>8.75</v>
      </c>
      <c r="Y8" s="100">
        <v>3.75</v>
      </c>
      <c r="Z8" s="101">
        <v>1.75</v>
      </c>
      <c r="AA8" s="44">
        <v>7.65</v>
      </c>
      <c r="AB8" s="33">
        <v>13</v>
      </c>
      <c r="AC8" s="33">
        <v>8.5</v>
      </c>
      <c r="AD8" s="70">
        <v>4</v>
      </c>
      <c r="AE8" s="33">
        <f t="shared" si="0"/>
        <v>0.25578703703703703</v>
      </c>
      <c r="AF8" s="37" t="s">
        <v>1851</v>
      </c>
      <c r="AG8" s="37" t="s">
        <v>1852</v>
      </c>
      <c r="AH8" s="37" t="s">
        <v>426</v>
      </c>
      <c r="AI8" s="37" t="s">
        <v>1850</v>
      </c>
      <c r="AJ8" s="37" t="s">
        <v>430</v>
      </c>
      <c r="AN8" s="37" t="s">
        <v>431</v>
      </c>
      <c r="AO8" s="94" t="s">
        <v>520</v>
      </c>
    </row>
    <row r="9" spans="1:42" s="18" customFormat="1" x14ac:dyDescent="0.2">
      <c r="A9" s="18" t="s">
        <v>510</v>
      </c>
      <c r="B9" s="33" t="s">
        <v>956</v>
      </c>
      <c r="C9" s="33" t="s">
        <v>222</v>
      </c>
      <c r="D9" s="34" t="s">
        <v>2415</v>
      </c>
      <c r="E9" s="33" t="s">
        <v>222</v>
      </c>
      <c r="F9" s="33"/>
      <c r="G9" s="77">
        <v>7331423003273</v>
      </c>
      <c r="H9" s="77"/>
      <c r="I9" s="77"/>
      <c r="J9" s="36" t="s">
        <v>568</v>
      </c>
      <c r="K9" s="36" t="s">
        <v>977</v>
      </c>
      <c r="L9" s="5">
        <v>3.99</v>
      </c>
      <c r="M9" s="35">
        <v>25</v>
      </c>
      <c r="N9" s="35">
        <v>200</v>
      </c>
      <c r="O9" s="345"/>
      <c r="P9" s="35"/>
      <c r="Q9" s="35"/>
      <c r="R9" s="187"/>
      <c r="S9" s="33">
        <v>0.1</v>
      </c>
      <c r="T9" s="33">
        <v>8.8699999999999992</v>
      </c>
      <c r="U9" s="33">
        <v>2.75</v>
      </c>
      <c r="V9" s="70">
        <v>1</v>
      </c>
      <c r="W9" s="99">
        <v>0.85</v>
      </c>
      <c r="X9" s="33">
        <v>8.75</v>
      </c>
      <c r="Y9" s="100">
        <v>3.75</v>
      </c>
      <c r="Z9" s="101">
        <v>1.75</v>
      </c>
      <c r="AA9" s="44">
        <v>7.65</v>
      </c>
      <c r="AB9" s="33">
        <v>13</v>
      </c>
      <c r="AC9" s="33">
        <v>8.5</v>
      </c>
      <c r="AD9" s="70">
        <v>4</v>
      </c>
      <c r="AE9" s="33">
        <f t="shared" si="0"/>
        <v>0.25578703703703703</v>
      </c>
      <c r="AF9" s="37" t="s">
        <v>1851</v>
      </c>
      <c r="AG9" s="37" t="s">
        <v>1852</v>
      </c>
      <c r="AH9" s="37" t="s">
        <v>426</v>
      </c>
      <c r="AI9" s="37" t="s">
        <v>1850</v>
      </c>
      <c r="AJ9" s="37" t="s">
        <v>430</v>
      </c>
      <c r="AN9" s="37" t="s">
        <v>431</v>
      </c>
      <c r="AO9" s="94" t="s">
        <v>520</v>
      </c>
    </row>
    <row r="10" spans="1:42" s="18" customFormat="1" x14ac:dyDescent="0.2">
      <c r="A10" s="18" t="s">
        <v>510</v>
      </c>
      <c r="B10" s="19" t="s">
        <v>375</v>
      </c>
      <c r="C10" s="19" t="s">
        <v>655</v>
      </c>
      <c r="D10" s="19" t="s">
        <v>509</v>
      </c>
      <c r="E10" s="18" t="s">
        <v>486</v>
      </c>
      <c r="G10" s="47">
        <v>7331423000333</v>
      </c>
      <c r="H10" s="47"/>
      <c r="I10" s="47"/>
      <c r="J10" s="36" t="s">
        <v>568</v>
      </c>
      <c r="K10" s="36" t="s">
        <v>977</v>
      </c>
      <c r="L10" s="5">
        <v>9.99</v>
      </c>
      <c r="M10" s="35">
        <v>20</v>
      </c>
      <c r="N10" s="35">
        <v>120</v>
      </c>
      <c r="O10" s="345"/>
      <c r="P10" s="35"/>
      <c r="Q10" s="35"/>
      <c r="R10" s="187"/>
      <c r="S10" s="33">
        <v>0.15</v>
      </c>
      <c r="T10" s="33">
        <v>0.9</v>
      </c>
      <c r="U10" s="33">
        <v>1.625</v>
      </c>
      <c r="V10" s="70">
        <v>7.875</v>
      </c>
      <c r="W10" s="44">
        <v>2.2999999999999998</v>
      </c>
      <c r="X10" s="33">
        <v>8</v>
      </c>
      <c r="Y10" s="33">
        <v>4.25</v>
      </c>
      <c r="Z10" s="70">
        <v>7.5</v>
      </c>
      <c r="AA10" s="44">
        <v>13</v>
      </c>
      <c r="AB10" s="33">
        <v>14.25</v>
      </c>
      <c r="AC10" s="33">
        <v>16.25</v>
      </c>
      <c r="AD10" s="70">
        <v>8.75</v>
      </c>
      <c r="AE10" s="33">
        <f t="shared" si="0"/>
        <v>1.1725531684027777</v>
      </c>
      <c r="AF10" s="37" t="s">
        <v>477</v>
      </c>
      <c r="AG10" s="37" t="s">
        <v>869</v>
      </c>
      <c r="AH10" s="37" t="s">
        <v>478</v>
      </c>
      <c r="AI10" s="37" t="s">
        <v>479</v>
      </c>
      <c r="AJ10" s="37" t="s">
        <v>480</v>
      </c>
      <c r="AK10" s="37"/>
      <c r="AL10" s="37"/>
      <c r="AM10" s="37"/>
      <c r="AN10" s="37" t="s">
        <v>481</v>
      </c>
      <c r="AO10" s="94" t="s">
        <v>520</v>
      </c>
      <c r="AP10" s="13"/>
    </row>
    <row r="11" spans="1:42" s="18" customFormat="1" x14ac:dyDescent="0.2">
      <c r="A11" s="18" t="s">
        <v>510</v>
      </c>
      <c r="B11" s="19" t="s">
        <v>375</v>
      </c>
      <c r="C11" s="19" t="s">
        <v>67</v>
      </c>
      <c r="D11" s="19" t="s">
        <v>557</v>
      </c>
      <c r="E11" s="18" t="s">
        <v>558</v>
      </c>
      <c r="G11" s="47">
        <v>7331423001989</v>
      </c>
      <c r="H11" s="47"/>
      <c r="I11" s="47"/>
      <c r="J11" s="36" t="s">
        <v>568</v>
      </c>
      <c r="K11" s="36" t="s">
        <v>977</v>
      </c>
      <c r="L11" s="5">
        <v>9.99</v>
      </c>
      <c r="M11" s="35">
        <v>20</v>
      </c>
      <c r="N11" s="35">
        <v>120</v>
      </c>
      <c r="O11" s="345"/>
      <c r="P11" s="35"/>
      <c r="Q11" s="35"/>
      <c r="R11" s="187"/>
      <c r="S11" s="33">
        <v>0.15</v>
      </c>
      <c r="T11" s="33">
        <v>0.9</v>
      </c>
      <c r="U11" s="33">
        <v>1.625</v>
      </c>
      <c r="V11" s="70">
        <v>7.875</v>
      </c>
      <c r="W11" s="44">
        <v>2.2999999999999998</v>
      </c>
      <c r="X11" s="33">
        <v>8</v>
      </c>
      <c r="Y11" s="33">
        <v>4.25</v>
      </c>
      <c r="Z11" s="70">
        <v>7.5</v>
      </c>
      <c r="AA11" s="44">
        <v>13</v>
      </c>
      <c r="AB11" s="33">
        <v>14.25</v>
      </c>
      <c r="AC11" s="33">
        <v>16.25</v>
      </c>
      <c r="AD11" s="70">
        <v>8.75</v>
      </c>
      <c r="AE11" s="33">
        <f t="shared" si="0"/>
        <v>1.1725531684027777</v>
      </c>
      <c r="AF11" s="37" t="s">
        <v>477</v>
      </c>
      <c r="AG11" s="37" t="s">
        <v>869</v>
      </c>
      <c r="AH11" s="37" t="s">
        <v>478</v>
      </c>
      <c r="AI11" s="37" t="s">
        <v>479</v>
      </c>
      <c r="AJ11" s="37" t="s">
        <v>480</v>
      </c>
      <c r="AK11" s="37"/>
      <c r="AL11" s="37"/>
      <c r="AM11" s="37"/>
      <c r="AN11" s="37" t="s">
        <v>481</v>
      </c>
      <c r="AO11" s="94" t="s">
        <v>520</v>
      </c>
      <c r="AP11" s="13"/>
    </row>
    <row r="12" spans="1:42" s="18" customFormat="1" x14ac:dyDescent="0.2">
      <c r="A12" s="18" t="s">
        <v>510</v>
      </c>
      <c r="B12" s="19" t="s">
        <v>376</v>
      </c>
      <c r="C12" s="19" t="s">
        <v>656</v>
      </c>
      <c r="D12" s="19" t="s">
        <v>472</v>
      </c>
      <c r="E12" s="18" t="s">
        <v>486</v>
      </c>
      <c r="G12" s="47">
        <v>7331423402410</v>
      </c>
      <c r="H12" s="47"/>
      <c r="I12" s="47"/>
      <c r="J12" s="36" t="s">
        <v>568</v>
      </c>
      <c r="K12" s="36" t="s">
        <v>977</v>
      </c>
      <c r="L12" s="5">
        <v>2.99</v>
      </c>
      <c r="M12" s="35">
        <v>10</v>
      </c>
      <c r="N12" s="35">
        <v>240</v>
      </c>
      <c r="O12" s="345"/>
      <c r="P12" s="35"/>
      <c r="Q12" s="35"/>
      <c r="R12" s="187"/>
      <c r="S12" s="100">
        <v>0.05</v>
      </c>
      <c r="T12" s="100">
        <v>8</v>
      </c>
      <c r="U12" s="100">
        <v>2.5</v>
      </c>
      <c r="V12" s="101">
        <v>0.75</v>
      </c>
      <c r="W12" s="99">
        <v>0.5</v>
      </c>
      <c r="X12" s="100">
        <v>8</v>
      </c>
      <c r="Y12" s="100">
        <v>5.75</v>
      </c>
      <c r="Z12" s="101">
        <v>2.5</v>
      </c>
      <c r="AA12" s="44">
        <v>13.4</v>
      </c>
      <c r="AB12" s="33">
        <v>15.75</v>
      </c>
      <c r="AC12" s="33">
        <v>11.75</v>
      </c>
      <c r="AD12" s="70">
        <v>17</v>
      </c>
      <c r="AE12" s="33">
        <f t="shared" si="0"/>
        <v>1.8206380208333333</v>
      </c>
      <c r="AF12" s="37" t="s">
        <v>359</v>
      </c>
      <c r="AG12" s="37" t="s">
        <v>869</v>
      </c>
      <c r="AH12" s="37" t="s">
        <v>478</v>
      </c>
      <c r="AI12" s="37" t="s">
        <v>479</v>
      </c>
      <c r="AJ12" s="37" t="s">
        <v>480</v>
      </c>
      <c r="AK12" s="37"/>
      <c r="AL12" s="37"/>
      <c r="AM12" s="37"/>
      <c r="AN12" s="37" t="s">
        <v>481</v>
      </c>
      <c r="AO12" s="94" t="s">
        <v>520</v>
      </c>
      <c r="AP12" s="13"/>
    </row>
    <row r="13" spans="1:42" s="18" customFormat="1" x14ac:dyDescent="0.2">
      <c r="A13" s="18" t="s">
        <v>510</v>
      </c>
      <c r="B13" s="19" t="s">
        <v>376</v>
      </c>
      <c r="C13" s="19" t="s">
        <v>657</v>
      </c>
      <c r="D13" s="19" t="s">
        <v>470</v>
      </c>
      <c r="E13" s="18" t="s">
        <v>486</v>
      </c>
      <c r="G13" s="77">
        <v>7331423000579</v>
      </c>
      <c r="H13" s="77"/>
      <c r="I13" s="77"/>
      <c r="J13" s="36" t="s">
        <v>568</v>
      </c>
      <c r="K13" s="36" t="s">
        <v>977</v>
      </c>
      <c r="L13" s="5">
        <v>2.99</v>
      </c>
      <c r="M13" s="35">
        <v>36</v>
      </c>
      <c r="N13" s="35">
        <v>288</v>
      </c>
      <c r="O13" s="345"/>
      <c r="P13" s="35"/>
      <c r="Q13" s="35"/>
      <c r="R13" s="187"/>
      <c r="S13" s="100">
        <v>0.05</v>
      </c>
      <c r="T13" s="100">
        <v>8</v>
      </c>
      <c r="U13" s="100">
        <v>2.5</v>
      </c>
      <c r="V13" s="101">
        <v>0.75</v>
      </c>
      <c r="W13" s="44">
        <v>1.75</v>
      </c>
      <c r="X13" s="100">
        <v>9</v>
      </c>
      <c r="Y13" s="100">
        <v>6.5</v>
      </c>
      <c r="Z13" s="101">
        <v>8</v>
      </c>
      <c r="AA13" s="44">
        <v>15.2</v>
      </c>
      <c r="AB13" s="33">
        <v>18.5</v>
      </c>
      <c r="AC13" s="33">
        <v>14</v>
      </c>
      <c r="AD13" s="70">
        <v>17</v>
      </c>
      <c r="AE13" s="33">
        <f t="shared" si="0"/>
        <v>2.5480324074074074</v>
      </c>
      <c r="AF13" s="37" t="s">
        <v>359</v>
      </c>
      <c r="AG13" s="37" t="s">
        <v>869</v>
      </c>
      <c r="AH13" s="37" t="s">
        <v>478</v>
      </c>
      <c r="AI13" s="37" t="s">
        <v>479</v>
      </c>
      <c r="AJ13" s="37" t="s">
        <v>480</v>
      </c>
      <c r="AK13" s="37"/>
      <c r="AL13" s="37"/>
      <c r="AM13" s="37"/>
      <c r="AN13" s="37" t="s">
        <v>481</v>
      </c>
      <c r="AO13" s="94" t="s">
        <v>520</v>
      </c>
      <c r="AP13" s="13"/>
    </row>
    <row r="14" spans="1:42" s="18" customFormat="1" x14ac:dyDescent="0.2">
      <c r="A14" s="18" t="s">
        <v>510</v>
      </c>
      <c r="B14" s="19" t="s">
        <v>376</v>
      </c>
      <c r="C14" s="19" t="s">
        <v>369</v>
      </c>
      <c r="D14" s="19" t="s">
        <v>471</v>
      </c>
      <c r="E14" s="19" t="s">
        <v>369</v>
      </c>
      <c r="F14" s="19"/>
      <c r="G14" s="47">
        <v>7331423002410</v>
      </c>
      <c r="H14" s="47"/>
      <c r="I14" s="47"/>
      <c r="J14" s="36" t="s">
        <v>568</v>
      </c>
      <c r="K14" s="36" t="s">
        <v>977</v>
      </c>
      <c r="L14" s="5">
        <v>2.99</v>
      </c>
      <c r="M14" s="35">
        <v>24</v>
      </c>
      <c r="N14" s="35">
        <v>144</v>
      </c>
      <c r="O14" s="345"/>
      <c r="P14" s="35"/>
      <c r="Q14" s="35"/>
      <c r="R14" s="187"/>
      <c r="S14" s="100">
        <v>0.05</v>
      </c>
      <c r="T14" s="100">
        <v>8</v>
      </c>
      <c r="U14" s="100">
        <v>2.5</v>
      </c>
      <c r="V14" s="101">
        <v>0.75</v>
      </c>
      <c r="W14" s="99">
        <v>1.1499999999999999</v>
      </c>
      <c r="X14" s="100">
        <v>8</v>
      </c>
      <c r="Y14" s="100">
        <v>4.25</v>
      </c>
      <c r="Z14" s="101">
        <v>7.5</v>
      </c>
      <c r="AA14" s="44">
        <v>8.5</v>
      </c>
      <c r="AB14" s="33">
        <v>16</v>
      </c>
      <c r="AC14" s="33">
        <v>14</v>
      </c>
      <c r="AD14" s="70">
        <v>9</v>
      </c>
      <c r="AE14" s="33">
        <f t="shared" si="0"/>
        <v>1.1666666666666667</v>
      </c>
      <c r="AF14" s="37" t="s">
        <v>359</v>
      </c>
      <c r="AG14" s="37" t="s">
        <v>869</v>
      </c>
      <c r="AH14" s="37" t="s">
        <v>478</v>
      </c>
      <c r="AI14" s="37" t="s">
        <v>479</v>
      </c>
      <c r="AJ14" s="37" t="s">
        <v>480</v>
      </c>
      <c r="AK14" s="37"/>
      <c r="AL14" s="37"/>
      <c r="AM14" s="37"/>
      <c r="AN14" s="37" t="s">
        <v>481</v>
      </c>
      <c r="AO14" s="94" t="s">
        <v>520</v>
      </c>
      <c r="AP14" s="13"/>
    </row>
    <row r="15" spans="1:42" s="18" customFormat="1" x14ac:dyDescent="0.2">
      <c r="A15" s="18" t="s">
        <v>510</v>
      </c>
      <c r="B15" s="19" t="s">
        <v>376</v>
      </c>
      <c r="C15" s="19" t="s">
        <v>370</v>
      </c>
      <c r="D15" s="19" t="s">
        <v>471</v>
      </c>
      <c r="E15" s="19" t="s">
        <v>370</v>
      </c>
      <c r="F15" s="19"/>
      <c r="G15" s="47">
        <v>7331423000159</v>
      </c>
      <c r="H15" s="47"/>
      <c r="I15" s="47"/>
      <c r="J15" s="36" t="s">
        <v>568</v>
      </c>
      <c r="K15" s="36" t="s">
        <v>977</v>
      </c>
      <c r="L15" s="5">
        <v>3.99</v>
      </c>
      <c r="M15" s="35">
        <v>24</v>
      </c>
      <c r="N15" s="35">
        <v>144</v>
      </c>
      <c r="O15" s="345"/>
      <c r="P15" s="35"/>
      <c r="Q15" s="35"/>
      <c r="R15" s="187"/>
      <c r="S15" s="100">
        <v>0.05</v>
      </c>
      <c r="T15" s="100">
        <v>8</v>
      </c>
      <c r="U15" s="100">
        <v>2.5</v>
      </c>
      <c r="V15" s="101">
        <v>0.75</v>
      </c>
      <c r="W15" s="99">
        <v>1.1499999999999999</v>
      </c>
      <c r="X15" s="100">
        <v>8</v>
      </c>
      <c r="Y15" s="100">
        <v>4.25</v>
      </c>
      <c r="Z15" s="101">
        <v>7.5</v>
      </c>
      <c r="AA15" s="44">
        <v>8.5</v>
      </c>
      <c r="AB15" s="33">
        <v>16</v>
      </c>
      <c r="AC15" s="33">
        <v>14</v>
      </c>
      <c r="AD15" s="70">
        <v>9</v>
      </c>
      <c r="AE15" s="33">
        <f t="shared" si="0"/>
        <v>1.1666666666666667</v>
      </c>
      <c r="AF15" s="37" t="s">
        <v>359</v>
      </c>
      <c r="AG15" s="37" t="s">
        <v>869</v>
      </c>
      <c r="AH15" s="37" t="s">
        <v>478</v>
      </c>
      <c r="AI15" s="37" t="s">
        <v>479</v>
      </c>
      <c r="AJ15" s="37" t="s">
        <v>480</v>
      </c>
      <c r="AK15" s="37"/>
      <c r="AL15" s="37"/>
      <c r="AM15" s="37"/>
      <c r="AN15" s="37" t="s">
        <v>481</v>
      </c>
      <c r="AO15" s="94" t="s">
        <v>520</v>
      </c>
      <c r="AP15" s="13"/>
    </row>
    <row r="16" spans="1:42" s="18" customFormat="1" x14ac:dyDescent="0.2">
      <c r="A16" s="18" t="s">
        <v>510</v>
      </c>
      <c r="B16" s="19" t="s">
        <v>376</v>
      </c>
      <c r="C16" s="19" t="s">
        <v>371</v>
      </c>
      <c r="D16" s="19" t="s">
        <v>471</v>
      </c>
      <c r="E16" s="19" t="s">
        <v>371</v>
      </c>
      <c r="F16" s="19"/>
      <c r="G16" s="47">
        <v>7331423000173</v>
      </c>
      <c r="H16" s="47"/>
      <c r="I16" s="47"/>
      <c r="J16" s="36" t="s">
        <v>568</v>
      </c>
      <c r="K16" s="36" t="s">
        <v>977</v>
      </c>
      <c r="L16" s="5">
        <v>4.99</v>
      </c>
      <c r="M16" s="35">
        <v>24</v>
      </c>
      <c r="N16" s="35">
        <v>144</v>
      </c>
      <c r="O16" s="345"/>
      <c r="P16" s="35"/>
      <c r="Q16" s="35"/>
      <c r="R16" s="187"/>
      <c r="S16" s="100">
        <v>0.05</v>
      </c>
      <c r="T16" s="100">
        <v>8</v>
      </c>
      <c r="U16" s="100">
        <v>2.5</v>
      </c>
      <c r="V16" s="101">
        <v>0.75</v>
      </c>
      <c r="W16" s="99">
        <v>1.1499999999999999</v>
      </c>
      <c r="X16" s="100">
        <v>8</v>
      </c>
      <c r="Y16" s="100">
        <v>4.25</v>
      </c>
      <c r="Z16" s="101">
        <v>7.5</v>
      </c>
      <c r="AA16" s="44">
        <v>8.5</v>
      </c>
      <c r="AB16" s="33">
        <v>16</v>
      </c>
      <c r="AC16" s="33">
        <v>14</v>
      </c>
      <c r="AD16" s="70">
        <v>9</v>
      </c>
      <c r="AE16" s="33">
        <f t="shared" si="0"/>
        <v>1.1666666666666667</v>
      </c>
      <c r="AF16" s="37" t="s">
        <v>359</v>
      </c>
      <c r="AG16" s="37" t="s">
        <v>869</v>
      </c>
      <c r="AH16" s="37" t="s">
        <v>478</v>
      </c>
      <c r="AI16" s="37" t="s">
        <v>479</v>
      </c>
      <c r="AJ16" s="37" t="s">
        <v>480</v>
      </c>
      <c r="AK16" s="37"/>
      <c r="AL16" s="37"/>
      <c r="AM16" s="37"/>
      <c r="AN16" s="37" t="s">
        <v>481</v>
      </c>
      <c r="AO16" s="94" t="s">
        <v>520</v>
      </c>
      <c r="AP16" s="13"/>
    </row>
    <row r="17" spans="1:42" s="18" customFormat="1" x14ac:dyDescent="0.2">
      <c r="A17" s="18" t="s">
        <v>510</v>
      </c>
      <c r="B17" s="19" t="s">
        <v>376</v>
      </c>
      <c r="C17" s="19" t="s">
        <v>372</v>
      </c>
      <c r="D17" s="19" t="s">
        <v>471</v>
      </c>
      <c r="E17" s="19" t="s">
        <v>372</v>
      </c>
      <c r="F17" s="19"/>
      <c r="G17" s="47">
        <v>7331423000166</v>
      </c>
      <c r="H17" s="47"/>
      <c r="I17" s="47"/>
      <c r="J17" s="36" t="s">
        <v>568</v>
      </c>
      <c r="K17" s="36" t="s">
        <v>977</v>
      </c>
      <c r="L17" s="5">
        <v>5.99</v>
      </c>
      <c r="M17" s="35">
        <v>24</v>
      </c>
      <c r="N17" s="35">
        <v>144</v>
      </c>
      <c r="O17" s="345"/>
      <c r="P17" s="35"/>
      <c r="Q17" s="35"/>
      <c r="R17" s="187"/>
      <c r="S17" s="100">
        <v>0.05</v>
      </c>
      <c r="T17" s="100">
        <v>8</v>
      </c>
      <c r="U17" s="100">
        <v>2.5</v>
      </c>
      <c r="V17" s="101">
        <v>0.75</v>
      </c>
      <c r="W17" s="99">
        <v>1.1499999999999999</v>
      </c>
      <c r="X17" s="100">
        <v>8</v>
      </c>
      <c r="Y17" s="100">
        <v>4.25</v>
      </c>
      <c r="Z17" s="101">
        <v>7.5</v>
      </c>
      <c r="AA17" s="44">
        <v>8.5</v>
      </c>
      <c r="AB17" s="33">
        <v>16</v>
      </c>
      <c r="AC17" s="33">
        <v>14</v>
      </c>
      <c r="AD17" s="70">
        <v>9</v>
      </c>
      <c r="AE17" s="33">
        <f t="shared" si="0"/>
        <v>1.1666666666666667</v>
      </c>
      <c r="AF17" s="37" t="s">
        <v>359</v>
      </c>
      <c r="AG17" s="37" t="s">
        <v>869</v>
      </c>
      <c r="AH17" s="37" t="s">
        <v>478</v>
      </c>
      <c r="AI17" s="37" t="s">
        <v>479</v>
      </c>
      <c r="AJ17" s="37" t="s">
        <v>480</v>
      </c>
      <c r="AK17" s="37"/>
      <c r="AL17" s="37"/>
      <c r="AM17" s="37"/>
      <c r="AN17" s="37" t="s">
        <v>481</v>
      </c>
      <c r="AO17" s="94" t="s">
        <v>520</v>
      </c>
      <c r="AP17" s="13"/>
    </row>
    <row r="18" spans="1:42" s="18" customFormat="1" x14ac:dyDescent="0.2">
      <c r="A18" s="18" t="s">
        <v>510</v>
      </c>
      <c r="B18" s="19" t="s">
        <v>376</v>
      </c>
      <c r="C18" s="19" t="s">
        <v>373</v>
      </c>
      <c r="D18" s="19" t="s">
        <v>471</v>
      </c>
      <c r="E18" s="19" t="s">
        <v>373</v>
      </c>
      <c r="F18" s="19"/>
      <c r="G18" s="47">
        <v>7331423000500</v>
      </c>
      <c r="H18" s="47"/>
      <c r="I18" s="47"/>
      <c r="J18" s="36" t="s">
        <v>568</v>
      </c>
      <c r="K18" s="36" t="s">
        <v>977</v>
      </c>
      <c r="L18" s="5">
        <v>6.99</v>
      </c>
      <c r="M18" s="35">
        <v>24</v>
      </c>
      <c r="N18" s="35">
        <v>144</v>
      </c>
      <c r="O18" s="345"/>
      <c r="P18" s="35"/>
      <c r="Q18" s="35"/>
      <c r="R18" s="187"/>
      <c r="S18" s="100">
        <v>0.05</v>
      </c>
      <c r="T18" s="100">
        <v>8</v>
      </c>
      <c r="U18" s="100">
        <v>2.5</v>
      </c>
      <c r="V18" s="101">
        <v>0.75</v>
      </c>
      <c r="W18" s="99">
        <v>1.1499999999999999</v>
      </c>
      <c r="X18" s="100">
        <v>8</v>
      </c>
      <c r="Y18" s="100">
        <v>4.25</v>
      </c>
      <c r="Z18" s="101">
        <v>7.5</v>
      </c>
      <c r="AA18" s="44">
        <v>8.5</v>
      </c>
      <c r="AB18" s="33">
        <v>16</v>
      </c>
      <c r="AC18" s="33">
        <v>14</v>
      </c>
      <c r="AD18" s="70">
        <v>9</v>
      </c>
      <c r="AE18" s="33">
        <f t="shared" si="0"/>
        <v>1.1666666666666667</v>
      </c>
      <c r="AF18" s="37" t="s">
        <v>359</v>
      </c>
      <c r="AG18" s="37" t="s">
        <v>869</v>
      </c>
      <c r="AH18" s="37" t="s">
        <v>478</v>
      </c>
      <c r="AI18" s="37" t="s">
        <v>479</v>
      </c>
      <c r="AJ18" s="37" t="s">
        <v>480</v>
      </c>
      <c r="AK18" s="37"/>
      <c r="AL18" s="37"/>
      <c r="AM18" s="37"/>
      <c r="AN18" s="37" t="s">
        <v>481</v>
      </c>
      <c r="AO18" s="94" t="s">
        <v>520</v>
      </c>
      <c r="AP18" s="13"/>
    </row>
    <row r="19" spans="1:42" s="18" customFormat="1" x14ac:dyDescent="0.2">
      <c r="A19" s="18" t="s">
        <v>510</v>
      </c>
      <c r="B19" s="19" t="s">
        <v>376</v>
      </c>
      <c r="C19" s="19" t="s">
        <v>374</v>
      </c>
      <c r="D19" s="19" t="s">
        <v>471</v>
      </c>
      <c r="E19" s="19" t="s">
        <v>374</v>
      </c>
      <c r="F19" s="19"/>
      <c r="G19" s="47">
        <v>7331423000517</v>
      </c>
      <c r="H19" s="47"/>
      <c r="I19" s="47"/>
      <c r="J19" s="36" t="s">
        <v>568</v>
      </c>
      <c r="K19" s="36" t="s">
        <v>977</v>
      </c>
      <c r="L19" s="5">
        <v>7.99</v>
      </c>
      <c r="M19" s="35">
        <v>24</v>
      </c>
      <c r="N19" s="35">
        <v>144</v>
      </c>
      <c r="O19" s="345"/>
      <c r="P19" s="35"/>
      <c r="Q19" s="35"/>
      <c r="R19" s="187"/>
      <c r="S19" s="100">
        <v>0.05</v>
      </c>
      <c r="T19" s="100">
        <v>8</v>
      </c>
      <c r="U19" s="100">
        <v>2.5</v>
      </c>
      <c r="V19" s="101">
        <v>0.75</v>
      </c>
      <c r="W19" s="99">
        <v>1.1499999999999999</v>
      </c>
      <c r="X19" s="100">
        <v>8</v>
      </c>
      <c r="Y19" s="100">
        <v>4.25</v>
      </c>
      <c r="Z19" s="101">
        <v>7.5</v>
      </c>
      <c r="AA19" s="44">
        <v>8.5</v>
      </c>
      <c r="AB19" s="33">
        <v>16</v>
      </c>
      <c r="AC19" s="33">
        <v>14</v>
      </c>
      <c r="AD19" s="70">
        <v>9</v>
      </c>
      <c r="AE19" s="33">
        <f t="shared" si="0"/>
        <v>1.1666666666666667</v>
      </c>
      <c r="AF19" s="37" t="s">
        <v>359</v>
      </c>
      <c r="AG19" s="37" t="s">
        <v>869</v>
      </c>
      <c r="AH19" s="37" t="s">
        <v>478</v>
      </c>
      <c r="AI19" s="37" t="s">
        <v>479</v>
      </c>
      <c r="AJ19" s="37" t="s">
        <v>480</v>
      </c>
      <c r="AK19" s="37"/>
      <c r="AL19" s="37"/>
      <c r="AM19" s="37"/>
      <c r="AN19" s="37" t="s">
        <v>481</v>
      </c>
      <c r="AO19" s="94" t="s">
        <v>520</v>
      </c>
      <c r="AP19" s="13"/>
    </row>
    <row r="20" spans="1:42" s="18" customFormat="1" x14ac:dyDescent="0.2">
      <c r="A20" s="18" t="s">
        <v>510</v>
      </c>
      <c r="B20" s="33" t="s">
        <v>586</v>
      </c>
      <c r="C20" s="33" t="s">
        <v>217</v>
      </c>
      <c r="D20" s="34" t="s">
        <v>1598</v>
      </c>
      <c r="E20" s="33" t="s">
        <v>217</v>
      </c>
      <c r="F20" s="33"/>
      <c r="G20" s="77">
        <v>7331423002191</v>
      </c>
      <c r="H20" s="77"/>
      <c r="I20" s="77"/>
      <c r="J20" s="36" t="s">
        <v>568</v>
      </c>
      <c r="K20" s="36" t="s">
        <v>977</v>
      </c>
      <c r="L20" s="5">
        <v>2.99</v>
      </c>
      <c r="M20" s="35">
        <v>24</v>
      </c>
      <c r="N20" s="35">
        <v>144</v>
      </c>
      <c r="O20" s="345"/>
      <c r="P20" s="35"/>
      <c r="Q20" s="35"/>
      <c r="R20" s="187"/>
      <c r="S20" s="100">
        <v>0.05</v>
      </c>
      <c r="T20" s="100">
        <v>8</v>
      </c>
      <c r="U20" s="100">
        <v>2.5</v>
      </c>
      <c r="V20" s="101">
        <v>0.75</v>
      </c>
      <c r="W20" s="99">
        <v>1.1499999999999999</v>
      </c>
      <c r="X20" s="100">
        <v>8</v>
      </c>
      <c r="Y20" s="100">
        <v>4.25</v>
      </c>
      <c r="Z20" s="101">
        <v>7.5</v>
      </c>
      <c r="AA20" s="44">
        <v>8.5</v>
      </c>
      <c r="AB20" s="33">
        <v>16</v>
      </c>
      <c r="AC20" s="33">
        <v>14</v>
      </c>
      <c r="AD20" s="70">
        <v>9</v>
      </c>
      <c r="AE20" s="33">
        <f t="shared" si="0"/>
        <v>1.1666666666666667</v>
      </c>
      <c r="AF20" s="37" t="s">
        <v>359</v>
      </c>
      <c r="AG20" s="37" t="s">
        <v>874</v>
      </c>
      <c r="AH20" s="37" t="s">
        <v>478</v>
      </c>
      <c r="AI20" s="37" t="s">
        <v>107</v>
      </c>
      <c r="AJ20" s="37" t="s">
        <v>480</v>
      </c>
      <c r="AK20" s="37"/>
      <c r="AL20" s="37"/>
      <c r="AM20" s="37"/>
      <c r="AN20" s="37" t="s">
        <v>481</v>
      </c>
      <c r="AO20" s="94" t="s">
        <v>520</v>
      </c>
    </row>
    <row r="21" spans="1:42" s="18" customFormat="1" x14ac:dyDescent="0.2">
      <c r="A21" s="18" t="s">
        <v>510</v>
      </c>
      <c r="B21" s="33" t="s">
        <v>586</v>
      </c>
      <c r="C21" s="33" t="s">
        <v>484</v>
      </c>
      <c r="D21" s="34" t="s">
        <v>1598</v>
      </c>
      <c r="E21" s="33" t="s">
        <v>484</v>
      </c>
      <c r="F21" s="33"/>
      <c r="G21" s="77">
        <v>7331423002245</v>
      </c>
      <c r="H21" s="77"/>
      <c r="I21" s="77"/>
      <c r="J21" s="36" t="s">
        <v>568</v>
      </c>
      <c r="K21" s="36" t="s">
        <v>977</v>
      </c>
      <c r="L21" s="5">
        <v>2.99</v>
      </c>
      <c r="M21" s="35">
        <v>24</v>
      </c>
      <c r="N21" s="35">
        <v>144</v>
      </c>
      <c r="O21" s="345"/>
      <c r="P21" s="35"/>
      <c r="Q21" s="35"/>
      <c r="R21" s="187"/>
      <c r="S21" s="100">
        <v>0.05</v>
      </c>
      <c r="T21" s="100">
        <v>8</v>
      </c>
      <c r="U21" s="100">
        <v>2.5</v>
      </c>
      <c r="V21" s="101">
        <v>0.75</v>
      </c>
      <c r="W21" s="99">
        <v>1.1499999999999999</v>
      </c>
      <c r="X21" s="100">
        <v>8</v>
      </c>
      <c r="Y21" s="100">
        <v>4.25</v>
      </c>
      <c r="Z21" s="101">
        <v>7.5</v>
      </c>
      <c r="AA21" s="44">
        <v>8.5</v>
      </c>
      <c r="AB21" s="33">
        <v>16</v>
      </c>
      <c r="AC21" s="33">
        <v>14</v>
      </c>
      <c r="AD21" s="70">
        <v>9</v>
      </c>
      <c r="AE21" s="33">
        <f t="shared" si="0"/>
        <v>1.1666666666666667</v>
      </c>
      <c r="AF21" s="37" t="s">
        <v>359</v>
      </c>
      <c r="AG21" s="37" t="s">
        <v>874</v>
      </c>
      <c r="AH21" s="37" t="s">
        <v>478</v>
      </c>
      <c r="AI21" s="37" t="s">
        <v>107</v>
      </c>
      <c r="AJ21" s="37" t="s">
        <v>480</v>
      </c>
      <c r="AK21" s="37"/>
      <c r="AL21" s="37"/>
      <c r="AM21" s="37"/>
      <c r="AN21" s="37" t="s">
        <v>481</v>
      </c>
      <c r="AO21" s="94" t="s">
        <v>520</v>
      </c>
    </row>
    <row r="22" spans="1:42" s="18" customFormat="1" x14ac:dyDescent="0.2">
      <c r="A22" s="18" t="s">
        <v>510</v>
      </c>
      <c r="B22" s="33" t="s">
        <v>1030</v>
      </c>
      <c r="C22" s="33" t="s">
        <v>1031</v>
      </c>
      <c r="D22" s="34" t="s">
        <v>83</v>
      </c>
      <c r="E22" s="33" t="s">
        <v>1031</v>
      </c>
      <c r="F22" s="33"/>
      <c r="G22" s="77">
        <v>7331423006205</v>
      </c>
      <c r="H22" s="77"/>
      <c r="I22" s="77"/>
      <c r="J22" s="36" t="s">
        <v>568</v>
      </c>
      <c r="K22" s="36" t="s">
        <v>977</v>
      </c>
      <c r="L22" s="5">
        <v>3.99</v>
      </c>
      <c r="M22" s="35">
        <v>1</v>
      </c>
      <c r="N22" s="35">
        <v>12</v>
      </c>
      <c r="O22" s="345"/>
      <c r="P22" s="35"/>
      <c r="Q22" s="35"/>
      <c r="R22" s="187"/>
      <c r="S22" s="33">
        <v>0.1</v>
      </c>
      <c r="T22" s="33">
        <v>8.8699999999999992</v>
      </c>
      <c r="U22" s="33">
        <v>2.75</v>
      </c>
      <c r="V22" s="70">
        <v>1</v>
      </c>
      <c r="W22" s="44">
        <v>1.5</v>
      </c>
      <c r="X22" s="33">
        <v>8.75</v>
      </c>
      <c r="Y22" s="33">
        <v>5</v>
      </c>
      <c r="Z22" s="70">
        <v>9.5</v>
      </c>
      <c r="AA22" s="91">
        <v>13.25</v>
      </c>
      <c r="AB22" s="87">
        <v>9.5</v>
      </c>
      <c r="AC22" s="87">
        <v>15.25</v>
      </c>
      <c r="AD22" s="70">
        <v>17</v>
      </c>
      <c r="AE22" s="33">
        <f t="shared" si="0"/>
        <v>1.4252748842592593</v>
      </c>
      <c r="AF22" s="37" t="s">
        <v>1851</v>
      </c>
      <c r="AG22" s="37" t="s">
        <v>1852</v>
      </c>
      <c r="AH22" s="37" t="s">
        <v>426</v>
      </c>
      <c r="AI22" s="37" t="s">
        <v>1850</v>
      </c>
      <c r="AJ22" s="37" t="s">
        <v>430</v>
      </c>
      <c r="AK22" s="37"/>
      <c r="AL22" s="37"/>
      <c r="AM22" s="37"/>
      <c r="AN22" s="37" t="s">
        <v>431</v>
      </c>
      <c r="AO22" s="94" t="s">
        <v>520</v>
      </c>
    </row>
    <row r="23" spans="1:42" s="18" customFormat="1" ht="12" customHeight="1" x14ac:dyDescent="0.2">
      <c r="A23" s="18" t="s">
        <v>510</v>
      </c>
      <c r="B23" s="33" t="s">
        <v>588</v>
      </c>
      <c r="C23" s="33" t="s">
        <v>655</v>
      </c>
      <c r="D23" s="34" t="s">
        <v>102</v>
      </c>
      <c r="E23" s="33" t="s">
        <v>655</v>
      </c>
      <c r="F23" s="33"/>
      <c r="G23" s="77">
        <v>7331423002399</v>
      </c>
      <c r="H23" s="77"/>
      <c r="I23" s="77"/>
      <c r="J23" s="36" t="s">
        <v>568</v>
      </c>
      <c r="K23" s="36" t="s">
        <v>977</v>
      </c>
      <c r="L23" s="5">
        <v>2.99</v>
      </c>
      <c r="M23" s="35">
        <v>1</v>
      </c>
      <c r="N23" s="35">
        <v>1</v>
      </c>
      <c r="O23" s="345"/>
      <c r="P23" s="35"/>
      <c r="Q23" s="35"/>
      <c r="R23" s="187"/>
      <c r="S23" s="100">
        <v>0.02</v>
      </c>
      <c r="T23" s="100">
        <v>6.75</v>
      </c>
      <c r="U23" s="100">
        <v>1.5</v>
      </c>
      <c r="V23" s="101">
        <v>0.5</v>
      </c>
      <c r="W23" s="44" t="s">
        <v>856</v>
      </c>
      <c r="X23" s="33" t="s">
        <v>856</v>
      </c>
      <c r="Y23" s="33" t="s">
        <v>856</v>
      </c>
      <c r="Z23" s="70" t="s">
        <v>856</v>
      </c>
      <c r="AA23" s="44">
        <v>6.35</v>
      </c>
      <c r="AB23" s="33">
        <v>6.5</v>
      </c>
      <c r="AC23" s="33">
        <v>6.5</v>
      </c>
      <c r="AD23" s="70">
        <v>14.25</v>
      </c>
      <c r="AE23" s="33">
        <f t="shared" si="0"/>
        <v>0.3484157986111111</v>
      </c>
      <c r="AF23" s="37" t="s">
        <v>163</v>
      </c>
      <c r="AG23" s="37" t="s">
        <v>876</v>
      </c>
      <c r="AH23" s="37" t="s">
        <v>86</v>
      </c>
      <c r="AI23" s="40" t="s">
        <v>87</v>
      </c>
      <c r="AJ23" s="40" t="s">
        <v>51</v>
      </c>
      <c r="AK23" s="40"/>
      <c r="AL23" s="40"/>
      <c r="AM23" s="40"/>
      <c r="AN23" s="18" t="s">
        <v>110</v>
      </c>
      <c r="AO23" s="94" t="s">
        <v>520</v>
      </c>
    </row>
    <row r="24" spans="1:42" s="18" customFormat="1" x14ac:dyDescent="0.2">
      <c r="A24" s="18" t="s">
        <v>510</v>
      </c>
      <c r="B24" s="33" t="s">
        <v>588</v>
      </c>
      <c r="C24" s="33" t="s">
        <v>76</v>
      </c>
      <c r="D24" s="34" t="s">
        <v>103</v>
      </c>
      <c r="E24" s="33" t="s">
        <v>76</v>
      </c>
      <c r="F24" s="33"/>
      <c r="G24" s="77">
        <v>7331423002405</v>
      </c>
      <c r="H24" s="77"/>
      <c r="I24" s="77"/>
      <c r="J24" s="36" t="s">
        <v>568</v>
      </c>
      <c r="K24" s="36" t="s">
        <v>977</v>
      </c>
      <c r="L24" s="5">
        <v>2.99</v>
      </c>
      <c r="M24" s="35">
        <v>1</v>
      </c>
      <c r="N24" s="35">
        <v>1</v>
      </c>
      <c r="O24" s="345"/>
      <c r="P24" s="35"/>
      <c r="Q24" s="35"/>
      <c r="R24" s="187"/>
      <c r="S24" s="100">
        <v>0.02</v>
      </c>
      <c r="T24" s="100">
        <v>6.75</v>
      </c>
      <c r="U24" s="100">
        <v>1.5</v>
      </c>
      <c r="V24" s="101">
        <v>0.5</v>
      </c>
      <c r="W24" s="44" t="s">
        <v>856</v>
      </c>
      <c r="X24" s="33" t="s">
        <v>856</v>
      </c>
      <c r="Y24" s="33" t="s">
        <v>856</v>
      </c>
      <c r="Z24" s="70" t="s">
        <v>856</v>
      </c>
      <c r="AA24" s="44">
        <v>6.35</v>
      </c>
      <c r="AB24" s="33">
        <v>6.5</v>
      </c>
      <c r="AC24" s="33">
        <v>6.5</v>
      </c>
      <c r="AD24" s="70">
        <v>14.25</v>
      </c>
      <c r="AE24" s="33">
        <f t="shared" si="0"/>
        <v>0.3484157986111111</v>
      </c>
      <c r="AF24" s="37" t="s">
        <v>163</v>
      </c>
      <c r="AG24" s="37" t="s">
        <v>876</v>
      </c>
      <c r="AH24" s="37" t="s">
        <v>86</v>
      </c>
      <c r="AI24" s="40" t="s">
        <v>87</v>
      </c>
      <c r="AJ24" s="40" t="s">
        <v>51</v>
      </c>
      <c r="AK24" s="40"/>
      <c r="AL24" s="40"/>
      <c r="AM24" s="40"/>
      <c r="AN24" s="18" t="s">
        <v>110</v>
      </c>
      <c r="AO24" s="94" t="s">
        <v>520</v>
      </c>
    </row>
    <row r="25" spans="1:42" s="18" customFormat="1" x14ac:dyDescent="0.2">
      <c r="A25" s="18" t="s">
        <v>510</v>
      </c>
      <c r="B25" s="19" t="s">
        <v>377</v>
      </c>
      <c r="C25" s="19" t="s">
        <v>245</v>
      </c>
      <c r="D25" s="19" t="s">
        <v>291</v>
      </c>
      <c r="E25" s="18" t="s">
        <v>486</v>
      </c>
      <c r="G25" s="47">
        <v>7331423002641</v>
      </c>
      <c r="H25" s="47"/>
      <c r="I25" s="47"/>
      <c r="J25" s="36" t="s">
        <v>568</v>
      </c>
      <c r="K25" s="36" t="s">
        <v>977</v>
      </c>
      <c r="L25" s="5">
        <v>2.99</v>
      </c>
      <c r="M25" s="35">
        <v>25</v>
      </c>
      <c r="N25" s="35">
        <v>500</v>
      </c>
      <c r="O25" s="345"/>
      <c r="P25" s="35"/>
      <c r="Q25" s="35"/>
      <c r="R25" s="187"/>
      <c r="S25" s="100">
        <v>0.02</v>
      </c>
      <c r="T25" s="100">
        <v>6.75</v>
      </c>
      <c r="U25" s="100">
        <v>1.5</v>
      </c>
      <c r="V25" s="101">
        <v>0.5</v>
      </c>
      <c r="W25" s="99">
        <v>0.6</v>
      </c>
      <c r="X25" s="100">
        <v>6.75</v>
      </c>
      <c r="Y25" s="100">
        <v>3.25</v>
      </c>
      <c r="Z25" s="101">
        <v>1.5</v>
      </c>
      <c r="AA25" s="44">
        <v>12</v>
      </c>
      <c r="AB25" s="33">
        <v>11.5</v>
      </c>
      <c r="AC25" s="33">
        <v>8</v>
      </c>
      <c r="AD25" s="70">
        <v>7.25</v>
      </c>
      <c r="AE25" s="33">
        <f t="shared" si="0"/>
        <v>0.38599537037037035</v>
      </c>
      <c r="AF25" s="37" t="s">
        <v>342</v>
      </c>
      <c r="AG25" s="37" t="s">
        <v>869</v>
      </c>
      <c r="AH25" s="37" t="s">
        <v>478</v>
      </c>
      <c r="AI25" s="37" t="s">
        <v>479</v>
      </c>
      <c r="AJ25" s="37" t="s">
        <v>480</v>
      </c>
      <c r="AK25" s="37"/>
      <c r="AL25" s="37"/>
      <c r="AM25" s="37"/>
      <c r="AN25" s="37" t="s">
        <v>481</v>
      </c>
      <c r="AO25" s="94" t="s">
        <v>520</v>
      </c>
      <c r="AP25" s="13"/>
    </row>
    <row r="26" spans="1:42" s="18" customFormat="1" x14ac:dyDescent="0.2">
      <c r="A26" s="18" t="s">
        <v>510</v>
      </c>
      <c r="B26" s="19" t="s">
        <v>377</v>
      </c>
      <c r="C26" s="19" t="s">
        <v>383</v>
      </c>
      <c r="D26" s="19" t="s">
        <v>307</v>
      </c>
      <c r="E26" s="19" t="s">
        <v>383</v>
      </c>
      <c r="F26" s="19"/>
      <c r="G26" s="47">
        <v>7331423000081</v>
      </c>
      <c r="H26" s="47"/>
      <c r="I26" s="47"/>
      <c r="J26" s="36" t="s">
        <v>568</v>
      </c>
      <c r="K26" s="36" t="s">
        <v>977</v>
      </c>
      <c r="L26" s="5">
        <v>2.99</v>
      </c>
      <c r="M26" s="35">
        <v>25</v>
      </c>
      <c r="N26" s="35">
        <v>500</v>
      </c>
      <c r="O26" s="345"/>
      <c r="P26" s="35"/>
      <c r="Q26" s="35"/>
      <c r="R26" s="187"/>
      <c r="S26" s="100">
        <v>0.02</v>
      </c>
      <c r="T26" s="100">
        <v>6.75</v>
      </c>
      <c r="U26" s="100">
        <v>1.5</v>
      </c>
      <c r="V26" s="101">
        <v>0.5</v>
      </c>
      <c r="W26" s="99">
        <v>0.6</v>
      </c>
      <c r="X26" s="100">
        <v>6.75</v>
      </c>
      <c r="Y26" s="100">
        <v>3.25</v>
      </c>
      <c r="Z26" s="101">
        <v>1.5</v>
      </c>
      <c r="AA26" s="44">
        <v>12</v>
      </c>
      <c r="AB26" s="33">
        <v>11.5</v>
      </c>
      <c r="AC26" s="33">
        <v>8</v>
      </c>
      <c r="AD26" s="70">
        <v>7.25</v>
      </c>
      <c r="AE26" s="33">
        <f t="shared" si="0"/>
        <v>0.38599537037037035</v>
      </c>
      <c r="AF26" s="37" t="s">
        <v>342</v>
      </c>
      <c r="AG26" s="37" t="s">
        <v>869</v>
      </c>
      <c r="AH26" s="37" t="s">
        <v>478</v>
      </c>
      <c r="AI26" s="37" t="s">
        <v>479</v>
      </c>
      <c r="AJ26" s="37" t="s">
        <v>480</v>
      </c>
      <c r="AK26" s="37"/>
      <c r="AL26" s="37"/>
      <c r="AM26" s="37"/>
      <c r="AN26" s="37" t="s">
        <v>481</v>
      </c>
      <c r="AO26" s="94" t="s">
        <v>520</v>
      </c>
      <c r="AP26" s="13"/>
    </row>
    <row r="27" spans="1:42" s="18" customFormat="1" x14ac:dyDescent="0.2">
      <c r="A27" s="18" t="s">
        <v>510</v>
      </c>
      <c r="B27" s="19" t="s">
        <v>377</v>
      </c>
      <c r="C27" s="19" t="s">
        <v>370</v>
      </c>
      <c r="D27" s="19" t="s">
        <v>308</v>
      </c>
      <c r="E27" s="19" t="s">
        <v>370</v>
      </c>
      <c r="F27" s="19"/>
      <c r="G27" s="47">
        <v>7331423000043</v>
      </c>
      <c r="H27" s="47"/>
      <c r="I27" s="47"/>
      <c r="J27" s="36" t="s">
        <v>568</v>
      </c>
      <c r="K27" s="36" t="s">
        <v>977</v>
      </c>
      <c r="L27" s="5">
        <v>2.99</v>
      </c>
      <c r="M27" s="35">
        <v>25</v>
      </c>
      <c r="N27" s="35">
        <v>500</v>
      </c>
      <c r="O27" s="345"/>
      <c r="P27" s="35"/>
      <c r="Q27" s="35"/>
      <c r="R27" s="187"/>
      <c r="S27" s="100">
        <v>0.02</v>
      </c>
      <c r="T27" s="100">
        <v>6.75</v>
      </c>
      <c r="U27" s="100">
        <v>1.5</v>
      </c>
      <c r="V27" s="101">
        <v>0.5</v>
      </c>
      <c r="W27" s="99">
        <v>0.6</v>
      </c>
      <c r="X27" s="100">
        <v>6.75</v>
      </c>
      <c r="Y27" s="100">
        <v>3.25</v>
      </c>
      <c r="Z27" s="101">
        <v>1.5</v>
      </c>
      <c r="AA27" s="44">
        <v>12</v>
      </c>
      <c r="AB27" s="33">
        <v>11.5</v>
      </c>
      <c r="AC27" s="33">
        <v>8</v>
      </c>
      <c r="AD27" s="70">
        <v>7.25</v>
      </c>
      <c r="AE27" s="33">
        <f t="shared" si="0"/>
        <v>0.38599537037037035</v>
      </c>
      <c r="AF27" s="37" t="s">
        <v>342</v>
      </c>
      <c r="AG27" s="37" t="s">
        <v>869</v>
      </c>
      <c r="AH27" s="37" t="s">
        <v>478</v>
      </c>
      <c r="AI27" s="37" t="s">
        <v>479</v>
      </c>
      <c r="AJ27" s="37" t="s">
        <v>480</v>
      </c>
      <c r="AK27" s="37"/>
      <c r="AL27" s="37"/>
      <c r="AM27" s="37"/>
      <c r="AN27" s="37" t="s">
        <v>481</v>
      </c>
      <c r="AO27" s="94" t="s">
        <v>520</v>
      </c>
      <c r="AP27" s="13"/>
    </row>
    <row r="28" spans="1:42" s="18" customFormat="1" x14ac:dyDescent="0.2">
      <c r="A28" s="18" t="s">
        <v>510</v>
      </c>
      <c r="B28" s="19" t="s">
        <v>377</v>
      </c>
      <c r="C28" s="19" t="s">
        <v>343</v>
      </c>
      <c r="D28" s="19" t="s">
        <v>309</v>
      </c>
      <c r="E28" s="19" t="s">
        <v>485</v>
      </c>
      <c r="F28" s="19"/>
      <c r="G28" s="47">
        <v>7331423000074</v>
      </c>
      <c r="H28" s="47"/>
      <c r="I28" s="47"/>
      <c r="J28" s="36" t="s">
        <v>568</v>
      </c>
      <c r="K28" s="36" t="s">
        <v>977</v>
      </c>
      <c r="L28" s="5">
        <v>2.99</v>
      </c>
      <c r="M28" s="35">
        <v>25</v>
      </c>
      <c r="N28" s="35">
        <v>500</v>
      </c>
      <c r="O28" s="345"/>
      <c r="P28" s="35"/>
      <c r="Q28" s="35"/>
      <c r="R28" s="187"/>
      <c r="S28" s="100">
        <v>0.02</v>
      </c>
      <c r="T28" s="100">
        <v>6.75</v>
      </c>
      <c r="U28" s="100">
        <v>1.5</v>
      </c>
      <c r="V28" s="101">
        <v>0.5</v>
      </c>
      <c r="W28" s="99">
        <v>0.6</v>
      </c>
      <c r="X28" s="100">
        <v>6.75</v>
      </c>
      <c r="Y28" s="100">
        <v>3.25</v>
      </c>
      <c r="Z28" s="101">
        <v>1.5</v>
      </c>
      <c r="AA28" s="44">
        <v>12</v>
      </c>
      <c r="AB28" s="33">
        <v>11.5</v>
      </c>
      <c r="AC28" s="33">
        <v>8</v>
      </c>
      <c r="AD28" s="70">
        <v>7.25</v>
      </c>
      <c r="AE28" s="33">
        <f t="shared" si="0"/>
        <v>0.38599537037037035</v>
      </c>
      <c r="AF28" s="37" t="s">
        <v>342</v>
      </c>
      <c r="AG28" s="37" t="s">
        <v>869</v>
      </c>
      <c r="AH28" s="37" t="s">
        <v>478</v>
      </c>
      <c r="AI28" s="37" t="s">
        <v>479</v>
      </c>
      <c r="AJ28" s="37" t="s">
        <v>480</v>
      </c>
      <c r="AK28" s="37"/>
      <c r="AL28" s="37"/>
      <c r="AM28" s="37"/>
      <c r="AN28" s="37" t="s">
        <v>481</v>
      </c>
      <c r="AO28" s="94" t="s">
        <v>520</v>
      </c>
      <c r="AP28" s="13"/>
    </row>
    <row r="29" spans="1:42" s="18" customFormat="1" x14ac:dyDescent="0.2">
      <c r="A29" s="18" t="s">
        <v>510</v>
      </c>
      <c r="B29" s="19" t="s">
        <v>377</v>
      </c>
      <c r="C29" s="19" t="s">
        <v>371</v>
      </c>
      <c r="D29" s="19" t="s">
        <v>310</v>
      </c>
      <c r="E29" s="19" t="s">
        <v>371</v>
      </c>
      <c r="F29" s="19"/>
      <c r="G29" s="47">
        <v>7331423000050</v>
      </c>
      <c r="H29" s="47"/>
      <c r="I29" s="47"/>
      <c r="J29" s="36" t="s">
        <v>568</v>
      </c>
      <c r="K29" s="36" t="s">
        <v>977</v>
      </c>
      <c r="L29" s="5">
        <v>2.99</v>
      </c>
      <c r="M29" s="35">
        <v>25</v>
      </c>
      <c r="N29" s="35">
        <v>500</v>
      </c>
      <c r="O29" s="345"/>
      <c r="P29" s="35"/>
      <c r="Q29" s="35"/>
      <c r="R29" s="187"/>
      <c r="S29" s="100">
        <v>0.02</v>
      </c>
      <c r="T29" s="100">
        <v>6.75</v>
      </c>
      <c r="U29" s="100">
        <v>1.5</v>
      </c>
      <c r="V29" s="101">
        <v>0.5</v>
      </c>
      <c r="W29" s="99">
        <v>0.6</v>
      </c>
      <c r="X29" s="100">
        <v>6.75</v>
      </c>
      <c r="Y29" s="100">
        <v>3.25</v>
      </c>
      <c r="Z29" s="101">
        <v>1.5</v>
      </c>
      <c r="AA29" s="44">
        <v>12</v>
      </c>
      <c r="AB29" s="33">
        <v>11.5</v>
      </c>
      <c r="AC29" s="33">
        <v>8</v>
      </c>
      <c r="AD29" s="70">
        <v>7.25</v>
      </c>
      <c r="AE29" s="33">
        <f t="shared" si="0"/>
        <v>0.38599537037037035</v>
      </c>
      <c r="AF29" s="37" t="s">
        <v>342</v>
      </c>
      <c r="AG29" s="37" t="s">
        <v>869</v>
      </c>
      <c r="AH29" s="37" t="s">
        <v>478</v>
      </c>
      <c r="AI29" s="37" t="s">
        <v>479</v>
      </c>
      <c r="AJ29" s="37" t="s">
        <v>480</v>
      </c>
      <c r="AK29" s="37"/>
      <c r="AL29" s="37"/>
      <c r="AM29" s="37"/>
      <c r="AN29" s="37" t="s">
        <v>481</v>
      </c>
      <c r="AO29" s="94" t="s">
        <v>520</v>
      </c>
      <c r="AP29" s="13"/>
    </row>
    <row r="30" spans="1:42" s="18" customFormat="1" x14ac:dyDescent="0.2">
      <c r="A30" s="18" t="s">
        <v>510</v>
      </c>
      <c r="B30" s="19" t="s">
        <v>377</v>
      </c>
      <c r="C30" s="19" t="s">
        <v>292</v>
      </c>
      <c r="D30" s="19" t="s">
        <v>311</v>
      </c>
      <c r="E30" s="19" t="s">
        <v>330</v>
      </c>
      <c r="F30" s="19"/>
      <c r="G30" s="47">
        <v>7331423001231</v>
      </c>
      <c r="H30" s="47"/>
      <c r="I30" s="47"/>
      <c r="J30" s="36" t="s">
        <v>568</v>
      </c>
      <c r="K30" s="36" t="s">
        <v>977</v>
      </c>
      <c r="L30" s="5">
        <v>2.99</v>
      </c>
      <c r="M30" s="35">
        <v>25</v>
      </c>
      <c r="N30" s="35">
        <v>500</v>
      </c>
      <c r="O30" s="345"/>
      <c r="P30" s="35"/>
      <c r="Q30" s="35"/>
      <c r="R30" s="187"/>
      <c r="S30" s="100">
        <v>0.02</v>
      </c>
      <c r="T30" s="100">
        <v>6.75</v>
      </c>
      <c r="U30" s="100">
        <v>1.5</v>
      </c>
      <c r="V30" s="101">
        <v>0.5</v>
      </c>
      <c r="W30" s="99">
        <v>0.6</v>
      </c>
      <c r="X30" s="100">
        <v>6.75</v>
      </c>
      <c r="Y30" s="100">
        <v>3.25</v>
      </c>
      <c r="Z30" s="101">
        <v>1.5</v>
      </c>
      <c r="AA30" s="44">
        <v>12</v>
      </c>
      <c r="AB30" s="33">
        <v>11.5</v>
      </c>
      <c r="AC30" s="33">
        <v>8</v>
      </c>
      <c r="AD30" s="70">
        <v>7.25</v>
      </c>
      <c r="AE30" s="33">
        <f t="shared" si="0"/>
        <v>0.38599537037037035</v>
      </c>
      <c r="AF30" s="37" t="s">
        <v>342</v>
      </c>
      <c r="AG30" s="37" t="s">
        <v>869</v>
      </c>
      <c r="AH30" s="37" t="s">
        <v>478</v>
      </c>
      <c r="AI30" s="37" t="s">
        <v>479</v>
      </c>
      <c r="AJ30" s="37" t="s">
        <v>480</v>
      </c>
      <c r="AK30" s="37"/>
      <c r="AL30" s="37"/>
      <c r="AM30" s="37"/>
      <c r="AN30" s="37" t="s">
        <v>481</v>
      </c>
      <c r="AO30" s="94" t="s">
        <v>520</v>
      </c>
      <c r="AP30" s="13"/>
    </row>
    <row r="31" spans="1:42" s="18" customFormat="1" x14ac:dyDescent="0.2">
      <c r="A31" s="18" t="s">
        <v>510</v>
      </c>
      <c r="B31" s="19" t="s">
        <v>377</v>
      </c>
      <c r="C31" s="19" t="s">
        <v>293</v>
      </c>
      <c r="D31" s="19" t="s">
        <v>312</v>
      </c>
      <c r="E31" s="19" t="s">
        <v>293</v>
      </c>
      <c r="F31" s="19"/>
      <c r="G31" s="47">
        <v>7331423000104</v>
      </c>
      <c r="H31" s="47"/>
      <c r="I31" s="47"/>
      <c r="J31" s="36" t="s">
        <v>568</v>
      </c>
      <c r="K31" s="36" t="s">
        <v>977</v>
      </c>
      <c r="L31" s="5">
        <v>2.99</v>
      </c>
      <c r="M31" s="35">
        <v>25</v>
      </c>
      <c r="N31" s="35">
        <v>500</v>
      </c>
      <c r="O31" s="345"/>
      <c r="P31" s="35"/>
      <c r="Q31" s="35"/>
      <c r="R31" s="187"/>
      <c r="S31" s="100">
        <v>0.02</v>
      </c>
      <c r="T31" s="100">
        <v>6.75</v>
      </c>
      <c r="U31" s="100">
        <v>1.5</v>
      </c>
      <c r="V31" s="101">
        <v>0.5</v>
      </c>
      <c r="W31" s="99">
        <v>0.6</v>
      </c>
      <c r="X31" s="100">
        <v>6.75</v>
      </c>
      <c r="Y31" s="100">
        <v>3.25</v>
      </c>
      <c r="Z31" s="101">
        <v>1.5</v>
      </c>
      <c r="AA31" s="44">
        <v>12</v>
      </c>
      <c r="AB31" s="33">
        <v>11.5</v>
      </c>
      <c r="AC31" s="33">
        <v>8</v>
      </c>
      <c r="AD31" s="70">
        <v>7.25</v>
      </c>
      <c r="AE31" s="33">
        <f t="shared" si="0"/>
        <v>0.38599537037037035</v>
      </c>
      <c r="AF31" s="37" t="s">
        <v>342</v>
      </c>
      <c r="AG31" s="37" t="s">
        <v>869</v>
      </c>
      <c r="AH31" s="37" t="s">
        <v>478</v>
      </c>
      <c r="AI31" s="37" t="s">
        <v>479</v>
      </c>
      <c r="AJ31" s="37" t="s">
        <v>480</v>
      </c>
      <c r="AK31" s="37"/>
      <c r="AL31" s="37"/>
      <c r="AM31" s="37"/>
      <c r="AN31" s="37" t="s">
        <v>481</v>
      </c>
      <c r="AO31" s="94" t="s">
        <v>520</v>
      </c>
      <c r="AP31" s="13"/>
    </row>
    <row r="32" spans="1:42" s="18" customFormat="1" x14ac:dyDescent="0.2">
      <c r="A32" s="18" t="s">
        <v>510</v>
      </c>
      <c r="B32" s="19" t="s">
        <v>377</v>
      </c>
      <c r="C32" s="19" t="s">
        <v>374</v>
      </c>
      <c r="D32" s="19" t="s">
        <v>313</v>
      </c>
      <c r="E32" s="19" t="s">
        <v>374</v>
      </c>
      <c r="F32" s="19"/>
      <c r="G32" s="47">
        <v>7331423000562</v>
      </c>
      <c r="H32" s="47"/>
      <c r="I32" s="47"/>
      <c r="J32" s="36" t="s">
        <v>568</v>
      </c>
      <c r="K32" s="36" t="s">
        <v>977</v>
      </c>
      <c r="L32" s="5">
        <v>2.99</v>
      </c>
      <c r="M32" s="35">
        <v>25</v>
      </c>
      <c r="N32" s="35">
        <v>500</v>
      </c>
      <c r="O32" s="345"/>
      <c r="P32" s="35"/>
      <c r="Q32" s="35"/>
      <c r="R32" s="187"/>
      <c r="S32" s="100">
        <v>0.02</v>
      </c>
      <c r="T32" s="100">
        <v>6.75</v>
      </c>
      <c r="U32" s="100">
        <v>1.5</v>
      </c>
      <c r="V32" s="101">
        <v>0.5</v>
      </c>
      <c r="W32" s="99">
        <v>0.6</v>
      </c>
      <c r="X32" s="100">
        <v>6.75</v>
      </c>
      <c r="Y32" s="100">
        <v>3.25</v>
      </c>
      <c r="Z32" s="101">
        <v>1.5</v>
      </c>
      <c r="AA32" s="44">
        <v>12</v>
      </c>
      <c r="AB32" s="33">
        <v>11.5</v>
      </c>
      <c r="AC32" s="33">
        <v>8</v>
      </c>
      <c r="AD32" s="70">
        <v>7.25</v>
      </c>
      <c r="AE32" s="33">
        <f t="shared" si="0"/>
        <v>0.38599537037037035</v>
      </c>
      <c r="AF32" s="37" t="s">
        <v>342</v>
      </c>
      <c r="AG32" s="37" t="s">
        <v>869</v>
      </c>
      <c r="AH32" s="37" t="s">
        <v>478</v>
      </c>
      <c r="AI32" s="37" t="s">
        <v>479</v>
      </c>
      <c r="AJ32" s="37" t="s">
        <v>480</v>
      </c>
      <c r="AK32" s="37"/>
      <c r="AL32" s="37"/>
      <c r="AM32" s="37"/>
      <c r="AN32" s="37" t="s">
        <v>481</v>
      </c>
      <c r="AO32" s="94" t="s">
        <v>520</v>
      </c>
      <c r="AP32" s="13"/>
    </row>
    <row r="33" spans="1:42" s="18" customFormat="1" x14ac:dyDescent="0.2">
      <c r="A33" s="18" t="s">
        <v>510</v>
      </c>
      <c r="B33" s="19" t="s">
        <v>377</v>
      </c>
      <c r="C33" s="19" t="s">
        <v>294</v>
      </c>
      <c r="D33" s="19" t="s">
        <v>314</v>
      </c>
      <c r="E33" s="19" t="s">
        <v>331</v>
      </c>
      <c r="F33" s="19"/>
      <c r="G33" s="47">
        <v>7331423002900</v>
      </c>
      <c r="H33" s="47"/>
      <c r="I33" s="47"/>
      <c r="J33" s="36" t="s">
        <v>568</v>
      </c>
      <c r="K33" s="36" t="s">
        <v>977</v>
      </c>
      <c r="L33" s="5">
        <v>2.99</v>
      </c>
      <c r="M33" s="35">
        <v>25</v>
      </c>
      <c r="N33" s="35">
        <v>500</v>
      </c>
      <c r="O33" s="345"/>
      <c r="P33" s="35"/>
      <c r="Q33" s="35"/>
      <c r="R33" s="187"/>
      <c r="S33" s="100">
        <v>0.02</v>
      </c>
      <c r="T33" s="100">
        <v>6.75</v>
      </c>
      <c r="U33" s="100">
        <v>1.5</v>
      </c>
      <c r="V33" s="101">
        <v>0.5</v>
      </c>
      <c r="W33" s="99">
        <v>0.6</v>
      </c>
      <c r="X33" s="100">
        <v>6.75</v>
      </c>
      <c r="Y33" s="100">
        <v>3.25</v>
      </c>
      <c r="Z33" s="101">
        <v>1.5</v>
      </c>
      <c r="AA33" s="44">
        <v>12</v>
      </c>
      <c r="AB33" s="33">
        <v>11.5</v>
      </c>
      <c r="AC33" s="33">
        <v>8</v>
      </c>
      <c r="AD33" s="70">
        <v>7.25</v>
      </c>
      <c r="AE33" s="33">
        <f t="shared" si="0"/>
        <v>0.38599537037037035</v>
      </c>
      <c r="AF33" s="37" t="s">
        <v>342</v>
      </c>
      <c r="AG33" s="37" t="s">
        <v>869</v>
      </c>
      <c r="AH33" s="37" t="s">
        <v>478</v>
      </c>
      <c r="AI33" s="37" t="s">
        <v>479</v>
      </c>
      <c r="AJ33" s="37" t="s">
        <v>480</v>
      </c>
      <c r="AK33" s="37"/>
      <c r="AL33" s="37"/>
      <c r="AM33" s="37"/>
      <c r="AN33" s="37" t="s">
        <v>481</v>
      </c>
      <c r="AO33" s="94" t="s">
        <v>520</v>
      </c>
      <c r="AP33" s="13"/>
    </row>
    <row r="34" spans="1:42" s="18" customFormat="1" x14ac:dyDescent="0.2">
      <c r="A34" s="18" t="s">
        <v>510</v>
      </c>
      <c r="B34" s="19" t="s">
        <v>377</v>
      </c>
      <c r="C34" s="19" t="s">
        <v>295</v>
      </c>
      <c r="D34" s="19" t="s">
        <v>315</v>
      </c>
      <c r="E34" s="19" t="s">
        <v>332</v>
      </c>
      <c r="F34" s="19"/>
      <c r="G34" s="47">
        <v>7331423002887</v>
      </c>
      <c r="H34" s="47"/>
      <c r="I34" s="47"/>
      <c r="J34" s="36" t="s">
        <v>568</v>
      </c>
      <c r="K34" s="36" t="s">
        <v>977</v>
      </c>
      <c r="L34" s="5">
        <v>2.99</v>
      </c>
      <c r="M34" s="35">
        <v>25</v>
      </c>
      <c r="N34" s="35">
        <v>500</v>
      </c>
      <c r="O34" s="345"/>
      <c r="P34" s="35"/>
      <c r="Q34" s="35"/>
      <c r="R34" s="187"/>
      <c r="S34" s="100">
        <v>0.02</v>
      </c>
      <c r="T34" s="100">
        <v>6.75</v>
      </c>
      <c r="U34" s="100">
        <v>1.5</v>
      </c>
      <c r="V34" s="101">
        <v>0.5</v>
      </c>
      <c r="W34" s="99">
        <v>0.6</v>
      </c>
      <c r="X34" s="100">
        <v>6.75</v>
      </c>
      <c r="Y34" s="100">
        <v>3.25</v>
      </c>
      <c r="Z34" s="101">
        <v>1.5</v>
      </c>
      <c r="AA34" s="44">
        <v>12</v>
      </c>
      <c r="AB34" s="33">
        <v>11.5</v>
      </c>
      <c r="AC34" s="33">
        <v>8</v>
      </c>
      <c r="AD34" s="70">
        <v>7.25</v>
      </c>
      <c r="AE34" s="33">
        <f t="shared" si="0"/>
        <v>0.38599537037037035</v>
      </c>
      <c r="AF34" s="37" t="s">
        <v>342</v>
      </c>
      <c r="AG34" s="37" t="s">
        <v>869</v>
      </c>
      <c r="AH34" s="37" t="s">
        <v>478</v>
      </c>
      <c r="AI34" s="37" t="s">
        <v>479</v>
      </c>
      <c r="AJ34" s="37" t="s">
        <v>480</v>
      </c>
      <c r="AK34" s="37"/>
      <c r="AL34" s="37"/>
      <c r="AM34" s="37"/>
      <c r="AN34" s="37" t="s">
        <v>481</v>
      </c>
      <c r="AO34" s="94" t="s">
        <v>520</v>
      </c>
      <c r="AP34" s="13"/>
    </row>
    <row r="35" spans="1:42" s="18" customFormat="1" x14ac:dyDescent="0.2">
      <c r="A35" s="18" t="s">
        <v>510</v>
      </c>
      <c r="B35" s="19" t="s">
        <v>377</v>
      </c>
      <c r="C35" s="19" t="s">
        <v>296</v>
      </c>
      <c r="D35" s="19" t="s">
        <v>316</v>
      </c>
      <c r="E35" s="19" t="s">
        <v>333</v>
      </c>
      <c r="F35" s="19"/>
      <c r="G35" s="47">
        <v>7331423002894</v>
      </c>
      <c r="H35" s="47"/>
      <c r="I35" s="47"/>
      <c r="J35" s="36" t="s">
        <v>568</v>
      </c>
      <c r="K35" s="36" t="s">
        <v>977</v>
      </c>
      <c r="L35" s="5">
        <v>2.99</v>
      </c>
      <c r="M35" s="35">
        <v>25</v>
      </c>
      <c r="N35" s="35">
        <v>500</v>
      </c>
      <c r="O35" s="345"/>
      <c r="P35" s="35"/>
      <c r="Q35" s="35"/>
      <c r="R35" s="187"/>
      <c r="S35" s="100">
        <v>0.02</v>
      </c>
      <c r="T35" s="100">
        <v>6.75</v>
      </c>
      <c r="U35" s="100">
        <v>1.5</v>
      </c>
      <c r="V35" s="101">
        <v>0.5</v>
      </c>
      <c r="W35" s="99">
        <v>0.6</v>
      </c>
      <c r="X35" s="100">
        <v>6.75</v>
      </c>
      <c r="Y35" s="100">
        <v>3.25</v>
      </c>
      <c r="Z35" s="101">
        <v>1.5</v>
      </c>
      <c r="AA35" s="44">
        <v>12</v>
      </c>
      <c r="AB35" s="33">
        <v>11.5</v>
      </c>
      <c r="AC35" s="33">
        <v>8</v>
      </c>
      <c r="AD35" s="70">
        <v>7.25</v>
      </c>
      <c r="AE35" s="33">
        <f t="shared" si="0"/>
        <v>0.38599537037037035</v>
      </c>
      <c r="AF35" s="37" t="s">
        <v>342</v>
      </c>
      <c r="AG35" s="37" t="s">
        <v>869</v>
      </c>
      <c r="AH35" s="37" t="s">
        <v>478</v>
      </c>
      <c r="AI35" s="37" t="s">
        <v>479</v>
      </c>
      <c r="AJ35" s="37" t="s">
        <v>480</v>
      </c>
      <c r="AK35" s="37"/>
      <c r="AL35" s="37"/>
      <c r="AM35" s="37"/>
      <c r="AN35" s="37" t="s">
        <v>481</v>
      </c>
      <c r="AO35" s="94" t="s">
        <v>520</v>
      </c>
      <c r="AP35" s="13"/>
    </row>
    <row r="36" spans="1:42" s="18" customFormat="1" x14ac:dyDescent="0.2">
      <c r="A36" s="18" t="s">
        <v>510</v>
      </c>
      <c r="B36" s="19" t="s">
        <v>377</v>
      </c>
      <c r="C36" s="19" t="s">
        <v>297</v>
      </c>
      <c r="D36" s="19" t="s">
        <v>317</v>
      </c>
      <c r="E36" s="19" t="s">
        <v>334</v>
      </c>
      <c r="F36" s="19"/>
      <c r="G36" s="47">
        <v>7331423002870</v>
      </c>
      <c r="H36" s="47"/>
      <c r="I36" s="47"/>
      <c r="J36" s="36" t="s">
        <v>568</v>
      </c>
      <c r="K36" s="36" t="s">
        <v>977</v>
      </c>
      <c r="L36" s="5">
        <v>2.99</v>
      </c>
      <c r="M36" s="35">
        <v>25</v>
      </c>
      <c r="N36" s="35">
        <v>500</v>
      </c>
      <c r="O36" s="345"/>
      <c r="P36" s="35"/>
      <c r="Q36" s="35"/>
      <c r="R36" s="187"/>
      <c r="S36" s="100">
        <v>0.02</v>
      </c>
      <c r="T36" s="100">
        <v>6.75</v>
      </c>
      <c r="U36" s="100">
        <v>1.5</v>
      </c>
      <c r="V36" s="101">
        <v>0.5</v>
      </c>
      <c r="W36" s="99">
        <v>0.6</v>
      </c>
      <c r="X36" s="100">
        <v>6.75</v>
      </c>
      <c r="Y36" s="100">
        <v>3.25</v>
      </c>
      <c r="Z36" s="101">
        <v>1.5</v>
      </c>
      <c r="AA36" s="44">
        <v>12</v>
      </c>
      <c r="AB36" s="33">
        <v>11.5</v>
      </c>
      <c r="AC36" s="33">
        <v>8</v>
      </c>
      <c r="AD36" s="70">
        <v>7.25</v>
      </c>
      <c r="AE36" s="33">
        <f t="shared" si="0"/>
        <v>0.38599537037037035</v>
      </c>
      <c r="AF36" s="37" t="s">
        <v>342</v>
      </c>
      <c r="AG36" s="37" t="s">
        <v>869</v>
      </c>
      <c r="AH36" s="37" t="s">
        <v>478</v>
      </c>
      <c r="AI36" s="37" t="s">
        <v>479</v>
      </c>
      <c r="AJ36" s="37" t="s">
        <v>480</v>
      </c>
      <c r="AK36" s="37"/>
      <c r="AL36" s="37"/>
      <c r="AM36" s="37"/>
      <c r="AN36" s="37" t="s">
        <v>481</v>
      </c>
      <c r="AO36" s="94" t="s">
        <v>520</v>
      </c>
      <c r="AP36" s="13"/>
    </row>
    <row r="37" spans="1:42" s="18" customFormat="1" x14ac:dyDescent="0.2">
      <c r="A37" s="18" t="s">
        <v>510</v>
      </c>
      <c r="B37" s="19" t="s">
        <v>377</v>
      </c>
      <c r="C37" s="19" t="s">
        <v>373</v>
      </c>
      <c r="D37" s="19" t="s">
        <v>318</v>
      </c>
      <c r="E37" s="19" t="s">
        <v>373</v>
      </c>
      <c r="F37" s="19"/>
      <c r="G37" s="47">
        <v>7331423000555</v>
      </c>
      <c r="H37" s="47"/>
      <c r="I37" s="47"/>
      <c r="J37" s="36" t="s">
        <v>568</v>
      </c>
      <c r="K37" s="36" t="s">
        <v>977</v>
      </c>
      <c r="L37" s="5">
        <v>2.99</v>
      </c>
      <c r="M37" s="35">
        <v>25</v>
      </c>
      <c r="N37" s="35">
        <v>500</v>
      </c>
      <c r="O37" s="345"/>
      <c r="P37" s="35"/>
      <c r="Q37" s="35"/>
      <c r="R37" s="187"/>
      <c r="S37" s="100">
        <v>0.02</v>
      </c>
      <c r="T37" s="100">
        <v>6.75</v>
      </c>
      <c r="U37" s="100">
        <v>1.5</v>
      </c>
      <c r="V37" s="101">
        <v>0.5</v>
      </c>
      <c r="W37" s="99">
        <v>0.6</v>
      </c>
      <c r="X37" s="100">
        <v>6.75</v>
      </c>
      <c r="Y37" s="100">
        <v>3.25</v>
      </c>
      <c r="Z37" s="101">
        <v>1.5</v>
      </c>
      <c r="AA37" s="44">
        <v>12</v>
      </c>
      <c r="AB37" s="33">
        <v>11.5</v>
      </c>
      <c r="AC37" s="33">
        <v>8</v>
      </c>
      <c r="AD37" s="70">
        <v>7.25</v>
      </c>
      <c r="AE37" s="33">
        <f t="shared" si="0"/>
        <v>0.38599537037037035</v>
      </c>
      <c r="AF37" s="37" t="s">
        <v>342</v>
      </c>
      <c r="AG37" s="37" t="s">
        <v>869</v>
      </c>
      <c r="AH37" s="37" t="s">
        <v>478</v>
      </c>
      <c r="AI37" s="37" t="s">
        <v>479</v>
      </c>
      <c r="AJ37" s="37" t="s">
        <v>480</v>
      </c>
      <c r="AK37" s="37"/>
      <c r="AL37" s="37"/>
      <c r="AM37" s="37"/>
      <c r="AN37" s="37" t="s">
        <v>481</v>
      </c>
      <c r="AO37" s="94" t="s">
        <v>520</v>
      </c>
      <c r="AP37" s="13"/>
    </row>
    <row r="38" spans="1:42" s="18" customFormat="1" x14ac:dyDescent="0.2">
      <c r="A38" s="18" t="s">
        <v>510</v>
      </c>
      <c r="B38" s="19" t="s">
        <v>377</v>
      </c>
      <c r="C38" s="19" t="s">
        <v>298</v>
      </c>
      <c r="D38" s="19" t="s">
        <v>319</v>
      </c>
      <c r="E38" s="19" t="s">
        <v>335</v>
      </c>
      <c r="F38" s="19"/>
      <c r="G38" s="47">
        <v>7331423001248</v>
      </c>
      <c r="H38" s="47"/>
      <c r="I38" s="47"/>
      <c r="J38" s="36" t="s">
        <v>568</v>
      </c>
      <c r="K38" s="36" t="s">
        <v>977</v>
      </c>
      <c r="L38" s="5">
        <v>2.99</v>
      </c>
      <c r="M38" s="35">
        <v>25</v>
      </c>
      <c r="N38" s="35">
        <v>500</v>
      </c>
      <c r="O38" s="345"/>
      <c r="P38" s="35"/>
      <c r="Q38" s="35"/>
      <c r="R38" s="187"/>
      <c r="S38" s="100">
        <v>0.02</v>
      </c>
      <c r="T38" s="100">
        <v>6.75</v>
      </c>
      <c r="U38" s="100">
        <v>1.5</v>
      </c>
      <c r="V38" s="101">
        <v>0.5</v>
      </c>
      <c r="W38" s="99">
        <v>0.6</v>
      </c>
      <c r="X38" s="100">
        <v>6.75</v>
      </c>
      <c r="Y38" s="100">
        <v>3.25</v>
      </c>
      <c r="Z38" s="101">
        <v>1.5</v>
      </c>
      <c r="AA38" s="44">
        <v>12</v>
      </c>
      <c r="AB38" s="33">
        <v>11.5</v>
      </c>
      <c r="AC38" s="33">
        <v>8</v>
      </c>
      <c r="AD38" s="70">
        <v>7.25</v>
      </c>
      <c r="AE38" s="33">
        <f t="shared" si="0"/>
        <v>0.38599537037037035</v>
      </c>
      <c r="AF38" s="37" t="s">
        <v>342</v>
      </c>
      <c r="AG38" s="37" t="s">
        <v>869</v>
      </c>
      <c r="AH38" s="37" t="s">
        <v>478</v>
      </c>
      <c r="AI38" s="37" t="s">
        <v>479</v>
      </c>
      <c r="AJ38" s="37" t="s">
        <v>480</v>
      </c>
      <c r="AK38" s="37"/>
      <c r="AL38" s="37"/>
      <c r="AM38" s="37"/>
      <c r="AN38" s="37" t="s">
        <v>481</v>
      </c>
      <c r="AO38" s="94" t="s">
        <v>520</v>
      </c>
      <c r="AP38" s="13"/>
    </row>
    <row r="39" spans="1:42" s="18" customFormat="1" x14ac:dyDescent="0.2">
      <c r="A39" s="18" t="s">
        <v>510</v>
      </c>
      <c r="B39" s="19" t="s">
        <v>377</v>
      </c>
      <c r="C39" s="19" t="s">
        <v>369</v>
      </c>
      <c r="D39" s="19" t="s">
        <v>320</v>
      </c>
      <c r="E39" s="19" t="s">
        <v>369</v>
      </c>
      <c r="F39" s="19"/>
      <c r="G39" s="47">
        <v>7331423000036</v>
      </c>
      <c r="H39" s="47"/>
      <c r="I39" s="47"/>
      <c r="J39" s="36" t="s">
        <v>568</v>
      </c>
      <c r="K39" s="36" t="s">
        <v>977</v>
      </c>
      <c r="L39" s="5">
        <v>2.99</v>
      </c>
      <c r="M39" s="35">
        <v>25</v>
      </c>
      <c r="N39" s="35">
        <v>500</v>
      </c>
      <c r="O39" s="345"/>
      <c r="P39" s="35"/>
      <c r="Q39" s="35"/>
      <c r="R39" s="187"/>
      <c r="S39" s="100">
        <v>0.02</v>
      </c>
      <c r="T39" s="100">
        <v>6.75</v>
      </c>
      <c r="U39" s="100">
        <v>1.5</v>
      </c>
      <c r="V39" s="101">
        <v>0.5</v>
      </c>
      <c r="W39" s="99">
        <v>0.6</v>
      </c>
      <c r="X39" s="100">
        <v>6.75</v>
      </c>
      <c r="Y39" s="100">
        <v>3.25</v>
      </c>
      <c r="Z39" s="101">
        <v>1.5</v>
      </c>
      <c r="AA39" s="44">
        <v>12</v>
      </c>
      <c r="AB39" s="33">
        <v>11.5</v>
      </c>
      <c r="AC39" s="33">
        <v>8</v>
      </c>
      <c r="AD39" s="70">
        <v>7.25</v>
      </c>
      <c r="AE39" s="33">
        <f t="shared" si="0"/>
        <v>0.38599537037037035</v>
      </c>
      <c r="AF39" s="37" t="s">
        <v>342</v>
      </c>
      <c r="AG39" s="37" t="s">
        <v>869</v>
      </c>
      <c r="AH39" s="37" t="s">
        <v>478</v>
      </c>
      <c r="AI39" s="37" t="s">
        <v>479</v>
      </c>
      <c r="AJ39" s="37" t="s">
        <v>480</v>
      </c>
      <c r="AK39" s="37"/>
      <c r="AL39" s="37"/>
      <c r="AM39" s="37"/>
      <c r="AN39" s="37" t="s">
        <v>481</v>
      </c>
      <c r="AO39" s="94" t="s">
        <v>520</v>
      </c>
      <c r="AP39" s="13"/>
    </row>
    <row r="40" spans="1:42" s="18" customFormat="1" x14ac:dyDescent="0.2">
      <c r="A40" s="18" t="s">
        <v>510</v>
      </c>
      <c r="B40" s="19" t="s">
        <v>377</v>
      </c>
      <c r="C40" s="19" t="s">
        <v>299</v>
      </c>
      <c r="D40" s="19" t="s">
        <v>321</v>
      </c>
      <c r="E40" s="19" t="s">
        <v>336</v>
      </c>
      <c r="F40" s="19"/>
      <c r="G40" s="47">
        <v>7331423001255</v>
      </c>
      <c r="H40" s="47"/>
      <c r="I40" s="47"/>
      <c r="J40" s="36" t="s">
        <v>568</v>
      </c>
      <c r="K40" s="36" t="s">
        <v>977</v>
      </c>
      <c r="L40" s="5">
        <v>2.99</v>
      </c>
      <c r="M40" s="35">
        <v>25</v>
      </c>
      <c r="N40" s="35">
        <v>500</v>
      </c>
      <c r="O40" s="345"/>
      <c r="P40" s="35"/>
      <c r="Q40" s="35"/>
      <c r="R40" s="187"/>
      <c r="S40" s="100">
        <v>0.02</v>
      </c>
      <c r="T40" s="100">
        <v>6.75</v>
      </c>
      <c r="U40" s="100">
        <v>1.5</v>
      </c>
      <c r="V40" s="101">
        <v>0.5</v>
      </c>
      <c r="W40" s="99">
        <v>0.6</v>
      </c>
      <c r="X40" s="100">
        <v>6.75</v>
      </c>
      <c r="Y40" s="100">
        <v>3.25</v>
      </c>
      <c r="Z40" s="101">
        <v>1.5</v>
      </c>
      <c r="AA40" s="44">
        <v>12</v>
      </c>
      <c r="AB40" s="33">
        <v>11.5</v>
      </c>
      <c r="AC40" s="33">
        <v>8</v>
      </c>
      <c r="AD40" s="70">
        <v>7.25</v>
      </c>
      <c r="AE40" s="33">
        <f t="shared" si="0"/>
        <v>0.38599537037037035</v>
      </c>
      <c r="AF40" s="37" t="s">
        <v>342</v>
      </c>
      <c r="AG40" s="37" t="s">
        <v>869</v>
      </c>
      <c r="AH40" s="37" t="s">
        <v>478</v>
      </c>
      <c r="AI40" s="37" t="s">
        <v>479</v>
      </c>
      <c r="AJ40" s="37" t="s">
        <v>480</v>
      </c>
      <c r="AK40" s="37"/>
      <c r="AL40" s="37"/>
      <c r="AM40" s="37"/>
      <c r="AN40" s="37" t="s">
        <v>481</v>
      </c>
      <c r="AO40" s="94" t="s">
        <v>520</v>
      </c>
      <c r="AP40" s="13"/>
    </row>
    <row r="41" spans="1:42" s="18" customFormat="1" x14ac:dyDescent="0.2">
      <c r="A41" s="18" t="s">
        <v>510</v>
      </c>
      <c r="B41" s="19" t="s">
        <v>377</v>
      </c>
      <c r="C41" s="19" t="s">
        <v>300</v>
      </c>
      <c r="D41" s="19" t="s">
        <v>322</v>
      </c>
      <c r="E41" s="19" t="s">
        <v>337</v>
      </c>
      <c r="F41" s="19"/>
      <c r="G41" s="47">
        <v>7331423001262</v>
      </c>
      <c r="H41" s="47"/>
      <c r="I41" s="47"/>
      <c r="J41" s="36" t="s">
        <v>568</v>
      </c>
      <c r="K41" s="36" t="s">
        <v>977</v>
      </c>
      <c r="L41" s="5">
        <v>2.99</v>
      </c>
      <c r="M41" s="35">
        <v>25</v>
      </c>
      <c r="N41" s="35">
        <v>500</v>
      </c>
      <c r="O41" s="345"/>
      <c r="P41" s="35"/>
      <c r="Q41" s="35"/>
      <c r="R41" s="187"/>
      <c r="S41" s="100">
        <v>0.02</v>
      </c>
      <c r="T41" s="100">
        <v>6.75</v>
      </c>
      <c r="U41" s="100">
        <v>1.5</v>
      </c>
      <c r="V41" s="101">
        <v>0.5</v>
      </c>
      <c r="W41" s="99">
        <v>0.6</v>
      </c>
      <c r="X41" s="100">
        <v>6.75</v>
      </c>
      <c r="Y41" s="100">
        <v>3.25</v>
      </c>
      <c r="Z41" s="101">
        <v>1.5</v>
      </c>
      <c r="AA41" s="44">
        <v>12</v>
      </c>
      <c r="AB41" s="33">
        <v>11.5</v>
      </c>
      <c r="AC41" s="33">
        <v>8</v>
      </c>
      <c r="AD41" s="70">
        <v>7.25</v>
      </c>
      <c r="AE41" s="33">
        <f t="shared" si="0"/>
        <v>0.38599537037037035</v>
      </c>
      <c r="AF41" s="37" t="s">
        <v>342</v>
      </c>
      <c r="AG41" s="37" t="s">
        <v>869</v>
      </c>
      <c r="AH41" s="37" t="s">
        <v>478</v>
      </c>
      <c r="AI41" s="37" t="s">
        <v>479</v>
      </c>
      <c r="AJ41" s="37" t="s">
        <v>480</v>
      </c>
      <c r="AK41" s="37"/>
      <c r="AL41" s="37"/>
      <c r="AM41" s="37"/>
      <c r="AN41" s="37" t="s">
        <v>481</v>
      </c>
      <c r="AO41" s="94" t="s">
        <v>520</v>
      </c>
      <c r="AP41" s="13"/>
    </row>
    <row r="42" spans="1:42" s="18" customFormat="1" x14ac:dyDescent="0.2">
      <c r="A42" s="18" t="s">
        <v>510</v>
      </c>
      <c r="B42" s="19" t="s">
        <v>377</v>
      </c>
      <c r="C42" s="19" t="s">
        <v>301</v>
      </c>
      <c r="D42" s="19" t="s">
        <v>323</v>
      </c>
      <c r="E42" s="19" t="s">
        <v>69</v>
      </c>
      <c r="F42" s="19"/>
      <c r="G42" s="47">
        <v>7331423000098</v>
      </c>
      <c r="H42" s="47"/>
      <c r="I42" s="47"/>
      <c r="J42" s="36" t="s">
        <v>568</v>
      </c>
      <c r="K42" s="36" t="s">
        <v>977</v>
      </c>
      <c r="L42" s="5">
        <v>2.99</v>
      </c>
      <c r="M42" s="35">
        <v>25</v>
      </c>
      <c r="N42" s="35">
        <v>500</v>
      </c>
      <c r="O42" s="345"/>
      <c r="P42" s="35"/>
      <c r="Q42" s="35"/>
      <c r="R42" s="187"/>
      <c r="S42" s="100">
        <v>0.02</v>
      </c>
      <c r="T42" s="100">
        <v>6.75</v>
      </c>
      <c r="U42" s="100">
        <v>1.5</v>
      </c>
      <c r="V42" s="101">
        <v>0.5</v>
      </c>
      <c r="W42" s="99">
        <v>0.6</v>
      </c>
      <c r="X42" s="100">
        <v>6.75</v>
      </c>
      <c r="Y42" s="100">
        <v>3.25</v>
      </c>
      <c r="Z42" s="101">
        <v>1.5</v>
      </c>
      <c r="AA42" s="44">
        <v>12</v>
      </c>
      <c r="AB42" s="33">
        <v>11.5</v>
      </c>
      <c r="AC42" s="33">
        <v>8</v>
      </c>
      <c r="AD42" s="70">
        <v>7.25</v>
      </c>
      <c r="AE42" s="33">
        <f t="shared" si="0"/>
        <v>0.38599537037037035</v>
      </c>
      <c r="AF42" s="37" t="s">
        <v>342</v>
      </c>
      <c r="AG42" s="37" t="s">
        <v>869</v>
      </c>
      <c r="AH42" s="37" t="s">
        <v>478</v>
      </c>
      <c r="AI42" s="37" t="s">
        <v>479</v>
      </c>
      <c r="AJ42" s="37" t="s">
        <v>480</v>
      </c>
      <c r="AK42" s="37"/>
      <c r="AL42" s="37"/>
      <c r="AM42" s="37"/>
      <c r="AN42" s="37" t="s">
        <v>481</v>
      </c>
      <c r="AO42" s="94" t="s">
        <v>520</v>
      </c>
      <c r="AP42" s="13"/>
    </row>
    <row r="43" spans="1:42" s="18" customFormat="1" x14ac:dyDescent="0.2">
      <c r="A43" s="18" t="s">
        <v>510</v>
      </c>
      <c r="B43" s="19" t="s">
        <v>377</v>
      </c>
      <c r="C43" s="19" t="s">
        <v>302</v>
      </c>
      <c r="D43" s="19" t="s">
        <v>324</v>
      </c>
      <c r="E43" s="19" t="s">
        <v>338</v>
      </c>
      <c r="F43" s="19"/>
      <c r="G43" s="47">
        <v>7331423001699</v>
      </c>
      <c r="H43" s="47"/>
      <c r="I43" s="47"/>
      <c r="J43" s="36" t="s">
        <v>568</v>
      </c>
      <c r="K43" s="36" t="s">
        <v>977</v>
      </c>
      <c r="L43" s="5">
        <v>2.99</v>
      </c>
      <c r="M43" s="35">
        <v>25</v>
      </c>
      <c r="N43" s="35">
        <v>500</v>
      </c>
      <c r="O43" s="345"/>
      <c r="P43" s="35"/>
      <c r="Q43" s="35"/>
      <c r="R43" s="187"/>
      <c r="S43" s="100">
        <v>0.02</v>
      </c>
      <c r="T43" s="100">
        <v>6.75</v>
      </c>
      <c r="U43" s="100">
        <v>1.5</v>
      </c>
      <c r="V43" s="101">
        <v>0.5</v>
      </c>
      <c r="W43" s="99">
        <v>0.6</v>
      </c>
      <c r="X43" s="100">
        <v>6.75</v>
      </c>
      <c r="Y43" s="100">
        <v>3.25</v>
      </c>
      <c r="Z43" s="101">
        <v>1.5</v>
      </c>
      <c r="AA43" s="44">
        <v>12</v>
      </c>
      <c r="AB43" s="33">
        <v>11.5</v>
      </c>
      <c r="AC43" s="33">
        <v>8</v>
      </c>
      <c r="AD43" s="70">
        <v>7.25</v>
      </c>
      <c r="AE43" s="33">
        <f t="shared" si="0"/>
        <v>0.38599537037037035</v>
      </c>
      <c r="AF43" s="37" t="s">
        <v>342</v>
      </c>
      <c r="AG43" s="37" t="s">
        <v>869</v>
      </c>
      <c r="AH43" s="37" t="s">
        <v>478</v>
      </c>
      <c r="AI43" s="37" t="s">
        <v>479</v>
      </c>
      <c r="AJ43" s="37" t="s">
        <v>480</v>
      </c>
      <c r="AK43" s="37"/>
      <c r="AL43" s="37"/>
      <c r="AM43" s="37"/>
      <c r="AN43" s="37" t="s">
        <v>481</v>
      </c>
      <c r="AO43" s="94" t="s">
        <v>520</v>
      </c>
      <c r="AP43" s="13"/>
    </row>
    <row r="44" spans="1:42" s="18" customFormat="1" x14ac:dyDescent="0.2">
      <c r="A44" s="18" t="s">
        <v>510</v>
      </c>
      <c r="B44" s="19" t="s">
        <v>377</v>
      </c>
      <c r="C44" s="19" t="s">
        <v>303</v>
      </c>
      <c r="D44" s="19" t="s">
        <v>325</v>
      </c>
      <c r="E44" s="19" t="s">
        <v>339</v>
      </c>
      <c r="F44" s="19"/>
      <c r="G44" s="47">
        <v>7331423001675</v>
      </c>
      <c r="H44" s="47"/>
      <c r="I44" s="47"/>
      <c r="J44" s="36" t="s">
        <v>568</v>
      </c>
      <c r="K44" s="36" t="s">
        <v>977</v>
      </c>
      <c r="L44" s="5">
        <v>2.99</v>
      </c>
      <c r="M44" s="35">
        <v>25</v>
      </c>
      <c r="N44" s="35">
        <v>500</v>
      </c>
      <c r="O44" s="345"/>
      <c r="P44" s="35"/>
      <c r="Q44" s="35"/>
      <c r="R44" s="187"/>
      <c r="S44" s="100">
        <v>0.02</v>
      </c>
      <c r="T44" s="100">
        <v>6.75</v>
      </c>
      <c r="U44" s="100">
        <v>1.5</v>
      </c>
      <c r="V44" s="101">
        <v>0.5</v>
      </c>
      <c r="W44" s="99">
        <v>0.6</v>
      </c>
      <c r="X44" s="100">
        <v>6.75</v>
      </c>
      <c r="Y44" s="100">
        <v>3.25</v>
      </c>
      <c r="Z44" s="101">
        <v>1.5</v>
      </c>
      <c r="AA44" s="44">
        <v>12</v>
      </c>
      <c r="AB44" s="33">
        <v>11.5</v>
      </c>
      <c r="AC44" s="33">
        <v>8</v>
      </c>
      <c r="AD44" s="70">
        <v>7.25</v>
      </c>
      <c r="AE44" s="33">
        <f t="shared" si="0"/>
        <v>0.38599537037037035</v>
      </c>
      <c r="AF44" s="37" t="s">
        <v>342</v>
      </c>
      <c r="AG44" s="37" t="s">
        <v>869</v>
      </c>
      <c r="AH44" s="37" t="s">
        <v>478</v>
      </c>
      <c r="AI44" s="37" t="s">
        <v>479</v>
      </c>
      <c r="AJ44" s="37" t="s">
        <v>480</v>
      </c>
      <c r="AK44" s="37"/>
      <c r="AL44" s="37"/>
      <c r="AM44" s="37"/>
      <c r="AN44" s="37" t="s">
        <v>481</v>
      </c>
      <c r="AO44" s="94" t="s">
        <v>520</v>
      </c>
      <c r="AP44" s="13"/>
    </row>
    <row r="45" spans="1:42" s="18" customFormat="1" x14ac:dyDescent="0.2">
      <c r="A45" s="18" t="s">
        <v>510</v>
      </c>
      <c r="B45" s="19" t="s">
        <v>377</v>
      </c>
      <c r="C45" s="19" t="s">
        <v>304</v>
      </c>
      <c r="D45" s="19" t="s">
        <v>326</v>
      </c>
      <c r="E45" s="19" t="s">
        <v>340</v>
      </c>
      <c r="F45" s="19"/>
      <c r="G45" s="47">
        <v>7331423001682</v>
      </c>
      <c r="H45" s="47"/>
      <c r="I45" s="47"/>
      <c r="J45" s="36" t="s">
        <v>568</v>
      </c>
      <c r="K45" s="36" t="s">
        <v>977</v>
      </c>
      <c r="L45" s="5">
        <v>2.99</v>
      </c>
      <c r="M45" s="35">
        <v>25</v>
      </c>
      <c r="N45" s="35">
        <v>500</v>
      </c>
      <c r="O45" s="345"/>
      <c r="P45" s="35"/>
      <c r="Q45" s="35"/>
      <c r="R45" s="187"/>
      <c r="S45" s="100">
        <v>0.02</v>
      </c>
      <c r="T45" s="100">
        <v>6.75</v>
      </c>
      <c r="U45" s="100">
        <v>1.5</v>
      </c>
      <c r="V45" s="101">
        <v>0.5</v>
      </c>
      <c r="W45" s="99">
        <v>0.6</v>
      </c>
      <c r="X45" s="100">
        <v>6.75</v>
      </c>
      <c r="Y45" s="100">
        <v>3.25</v>
      </c>
      <c r="Z45" s="101">
        <v>1.5</v>
      </c>
      <c r="AA45" s="44">
        <v>12</v>
      </c>
      <c r="AB45" s="33">
        <v>11.5</v>
      </c>
      <c r="AC45" s="33">
        <v>8</v>
      </c>
      <c r="AD45" s="70">
        <v>7.25</v>
      </c>
      <c r="AE45" s="33">
        <f t="shared" si="0"/>
        <v>0.38599537037037035</v>
      </c>
      <c r="AF45" s="37" t="s">
        <v>342</v>
      </c>
      <c r="AG45" s="37" t="s">
        <v>869</v>
      </c>
      <c r="AH45" s="37" t="s">
        <v>478</v>
      </c>
      <c r="AI45" s="37" t="s">
        <v>479</v>
      </c>
      <c r="AJ45" s="37" t="s">
        <v>480</v>
      </c>
      <c r="AK45" s="37"/>
      <c r="AL45" s="37"/>
      <c r="AM45" s="37"/>
      <c r="AN45" s="37" t="s">
        <v>481</v>
      </c>
      <c r="AO45" s="94" t="s">
        <v>520</v>
      </c>
      <c r="AP45" s="13"/>
    </row>
    <row r="46" spans="1:42" s="18" customFormat="1" x14ac:dyDescent="0.2">
      <c r="A46" s="18" t="s">
        <v>510</v>
      </c>
      <c r="B46" s="19" t="s">
        <v>377</v>
      </c>
      <c r="C46" s="19" t="s">
        <v>305</v>
      </c>
      <c r="D46" s="19" t="s">
        <v>327</v>
      </c>
      <c r="E46" s="19" t="s">
        <v>341</v>
      </c>
      <c r="F46" s="19"/>
      <c r="G46" s="47">
        <v>7331423001705</v>
      </c>
      <c r="H46" s="47"/>
      <c r="I46" s="47"/>
      <c r="J46" s="36" t="s">
        <v>568</v>
      </c>
      <c r="K46" s="36" t="s">
        <v>977</v>
      </c>
      <c r="L46" s="5">
        <v>2.99</v>
      </c>
      <c r="M46" s="35">
        <v>25</v>
      </c>
      <c r="N46" s="35">
        <v>500</v>
      </c>
      <c r="O46" s="345"/>
      <c r="P46" s="35"/>
      <c r="Q46" s="35"/>
      <c r="R46" s="187"/>
      <c r="S46" s="100">
        <v>0.02</v>
      </c>
      <c r="T46" s="100">
        <v>6.75</v>
      </c>
      <c r="U46" s="100">
        <v>1.5</v>
      </c>
      <c r="V46" s="101">
        <v>0.5</v>
      </c>
      <c r="W46" s="99">
        <v>0.6</v>
      </c>
      <c r="X46" s="100">
        <v>6.75</v>
      </c>
      <c r="Y46" s="100">
        <v>3.25</v>
      </c>
      <c r="Z46" s="101">
        <v>1.5</v>
      </c>
      <c r="AA46" s="44">
        <v>12</v>
      </c>
      <c r="AB46" s="33">
        <v>11.5</v>
      </c>
      <c r="AC46" s="33">
        <v>8</v>
      </c>
      <c r="AD46" s="70">
        <v>7.25</v>
      </c>
      <c r="AE46" s="33">
        <f t="shared" si="0"/>
        <v>0.38599537037037035</v>
      </c>
      <c r="AF46" s="37" t="s">
        <v>342</v>
      </c>
      <c r="AG46" s="37" t="s">
        <v>869</v>
      </c>
      <c r="AH46" s="37" t="s">
        <v>478</v>
      </c>
      <c r="AI46" s="37" t="s">
        <v>479</v>
      </c>
      <c r="AJ46" s="37" t="s">
        <v>480</v>
      </c>
      <c r="AK46" s="37"/>
      <c r="AL46" s="37"/>
      <c r="AM46" s="37"/>
      <c r="AN46" s="37" t="s">
        <v>481</v>
      </c>
      <c r="AO46" s="94" t="s">
        <v>520</v>
      </c>
      <c r="AP46" s="13"/>
    </row>
    <row r="47" spans="1:42" s="18" customFormat="1" x14ac:dyDescent="0.2">
      <c r="A47" s="18" t="s">
        <v>510</v>
      </c>
      <c r="B47" s="19" t="s">
        <v>377</v>
      </c>
      <c r="C47" s="19" t="s">
        <v>306</v>
      </c>
      <c r="D47" s="19" t="s">
        <v>328</v>
      </c>
      <c r="E47" s="19" t="s">
        <v>306</v>
      </c>
      <c r="F47" s="19"/>
      <c r="G47" s="47">
        <v>7331423000111</v>
      </c>
      <c r="H47" s="47"/>
      <c r="I47" s="47"/>
      <c r="J47" s="36" t="s">
        <v>568</v>
      </c>
      <c r="K47" s="36" t="s">
        <v>977</v>
      </c>
      <c r="L47" s="5">
        <v>2.99</v>
      </c>
      <c r="M47" s="35">
        <v>25</v>
      </c>
      <c r="N47" s="35">
        <v>500</v>
      </c>
      <c r="O47" s="345"/>
      <c r="P47" s="35"/>
      <c r="Q47" s="35"/>
      <c r="R47" s="187"/>
      <c r="S47" s="100">
        <v>0.02</v>
      </c>
      <c r="T47" s="100">
        <v>6.75</v>
      </c>
      <c r="U47" s="100">
        <v>1.5</v>
      </c>
      <c r="V47" s="101">
        <v>0.5</v>
      </c>
      <c r="W47" s="99">
        <v>0.6</v>
      </c>
      <c r="X47" s="100">
        <v>6.75</v>
      </c>
      <c r="Y47" s="100">
        <v>3.25</v>
      </c>
      <c r="Z47" s="101">
        <v>1.5</v>
      </c>
      <c r="AA47" s="44">
        <v>12</v>
      </c>
      <c r="AB47" s="33">
        <v>11.5</v>
      </c>
      <c r="AC47" s="33">
        <v>8</v>
      </c>
      <c r="AD47" s="70">
        <v>7.25</v>
      </c>
      <c r="AE47" s="33">
        <f t="shared" si="0"/>
        <v>0.38599537037037035</v>
      </c>
      <c r="AF47" s="37" t="s">
        <v>342</v>
      </c>
      <c r="AG47" s="37" t="s">
        <v>869</v>
      </c>
      <c r="AH47" s="37" t="s">
        <v>478</v>
      </c>
      <c r="AI47" s="37" t="s">
        <v>479</v>
      </c>
      <c r="AJ47" s="37" t="s">
        <v>480</v>
      </c>
      <c r="AK47" s="37"/>
      <c r="AL47" s="37"/>
      <c r="AM47" s="37"/>
      <c r="AN47" s="37" t="s">
        <v>481</v>
      </c>
      <c r="AO47" s="94" t="s">
        <v>520</v>
      </c>
      <c r="AP47" s="13"/>
    </row>
    <row r="48" spans="1:42" s="18" customFormat="1" x14ac:dyDescent="0.2">
      <c r="A48" s="18" t="s">
        <v>510</v>
      </c>
      <c r="B48" s="19" t="s">
        <v>377</v>
      </c>
      <c r="C48" s="19" t="s">
        <v>372</v>
      </c>
      <c r="D48" s="19" t="s">
        <v>329</v>
      </c>
      <c r="E48" s="19" t="s">
        <v>372</v>
      </c>
      <c r="F48" s="19"/>
      <c r="G48" s="47">
        <v>7331423000067</v>
      </c>
      <c r="H48" s="47"/>
      <c r="I48" s="47"/>
      <c r="J48" s="36" t="s">
        <v>568</v>
      </c>
      <c r="K48" s="36" t="s">
        <v>977</v>
      </c>
      <c r="L48" s="5">
        <v>2.99</v>
      </c>
      <c r="M48" s="35">
        <v>25</v>
      </c>
      <c r="N48" s="35">
        <v>500</v>
      </c>
      <c r="O48" s="345"/>
      <c r="P48" s="35"/>
      <c r="Q48" s="35"/>
      <c r="R48" s="187"/>
      <c r="S48" s="100">
        <v>0.02</v>
      </c>
      <c r="T48" s="100">
        <v>6.75</v>
      </c>
      <c r="U48" s="100">
        <v>1.5</v>
      </c>
      <c r="V48" s="101">
        <v>0.5</v>
      </c>
      <c r="W48" s="99">
        <v>0.6</v>
      </c>
      <c r="X48" s="100">
        <v>6.75</v>
      </c>
      <c r="Y48" s="100">
        <v>3.25</v>
      </c>
      <c r="Z48" s="101">
        <v>1.5</v>
      </c>
      <c r="AA48" s="44">
        <v>12</v>
      </c>
      <c r="AB48" s="33">
        <v>11.5</v>
      </c>
      <c r="AC48" s="33">
        <v>8</v>
      </c>
      <c r="AD48" s="70">
        <v>7.25</v>
      </c>
      <c r="AE48" s="33">
        <f t="shared" si="0"/>
        <v>0.38599537037037035</v>
      </c>
      <c r="AF48" s="37" t="s">
        <v>342</v>
      </c>
      <c r="AG48" s="37" t="s">
        <v>869</v>
      </c>
      <c r="AH48" s="37" t="s">
        <v>478</v>
      </c>
      <c r="AI48" s="37" t="s">
        <v>479</v>
      </c>
      <c r="AJ48" s="37" t="s">
        <v>480</v>
      </c>
      <c r="AK48" s="37"/>
      <c r="AL48" s="37"/>
      <c r="AM48" s="37"/>
      <c r="AN48" s="37" t="s">
        <v>481</v>
      </c>
      <c r="AO48" s="94" t="s">
        <v>520</v>
      </c>
      <c r="AP48" s="13"/>
    </row>
    <row r="49" spans="1:42" s="18" customFormat="1" ht="13.5" customHeight="1" x14ac:dyDescent="0.2">
      <c r="A49" s="18" t="s">
        <v>510</v>
      </c>
      <c r="B49" s="19" t="s">
        <v>368</v>
      </c>
      <c r="C49" s="18" t="s">
        <v>486</v>
      </c>
      <c r="D49" s="19" t="s">
        <v>1597</v>
      </c>
      <c r="E49" s="18" t="s">
        <v>486</v>
      </c>
      <c r="G49" s="47">
        <v>7331423002283</v>
      </c>
      <c r="H49" s="47"/>
      <c r="I49" s="47"/>
      <c r="J49" s="36" t="s">
        <v>568</v>
      </c>
      <c r="K49" s="36" t="s">
        <v>977</v>
      </c>
      <c r="L49" s="5">
        <v>9.99</v>
      </c>
      <c r="M49" s="35">
        <v>20</v>
      </c>
      <c r="N49" s="35">
        <v>120</v>
      </c>
      <c r="O49" s="345"/>
      <c r="P49" s="35"/>
      <c r="Q49" s="35"/>
      <c r="R49" s="187"/>
      <c r="S49" s="33">
        <v>0.15</v>
      </c>
      <c r="T49" s="33">
        <v>0.9</v>
      </c>
      <c r="U49" s="33">
        <v>1.625</v>
      </c>
      <c r="V49" s="70">
        <v>7.875</v>
      </c>
      <c r="W49" s="44">
        <v>2.2999999999999998</v>
      </c>
      <c r="X49" s="33">
        <v>8</v>
      </c>
      <c r="Y49" s="33">
        <v>4.25</v>
      </c>
      <c r="Z49" s="70">
        <v>7.5</v>
      </c>
      <c r="AA49" s="44">
        <v>15.2</v>
      </c>
      <c r="AB49" s="33">
        <v>14.25</v>
      </c>
      <c r="AC49" s="33">
        <v>16.25</v>
      </c>
      <c r="AD49" s="70">
        <v>8.75</v>
      </c>
      <c r="AE49" s="33">
        <f>Disco.!AB180*Disco.!AC180*Disco.!AD180/(12^3)</f>
        <v>1.1725531684027777</v>
      </c>
      <c r="AF49" s="37" t="s">
        <v>477</v>
      </c>
      <c r="AG49" s="37" t="s">
        <v>876</v>
      </c>
      <c r="AH49" s="37" t="s">
        <v>478</v>
      </c>
      <c r="AI49" s="37" t="s">
        <v>479</v>
      </c>
      <c r="AJ49" s="37" t="s">
        <v>480</v>
      </c>
      <c r="AK49" s="37"/>
      <c r="AL49" s="37"/>
      <c r="AM49" s="37"/>
      <c r="AN49" s="37" t="s">
        <v>481</v>
      </c>
      <c r="AO49" s="94" t="s">
        <v>520</v>
      </c>
      <c r="AP49" s="13"/>
    </row>
    <row r="50" spans="1:42" s="18" customFormat="1" x14ac:dyDescent="0.2">
      <c r="A50" s="18" t="s">
        <v>510</v>
      </c>
      <c r="B50" s="33" t="s">
        <v>532</v>
      </c>
      <c r="C50" s="33" t="s">
        <v>300</v>
      </c>
      <c r="D50" s="34" t="s">
        <v>435</v>
      </c>
      <c r="E50" s="34" t="s">
        <v>230</v>
      </c>
      <c r="F50" s="34"/>
      <c r="G50" s="48">
        <v>7331423001347</v>
      </c>
      <c r="H50" s="48"/>
      <c r="I50" s="48"/>
      <c r="J50" s="36" t="s">
        <v>568</v>
      </c>
      <c r="K50" s="36" t="s">
        <v>977</v>
      </c>
      <c r="L50" s="5">
        <v>4.99</v>
      </c>
      <c r="M50" s="35">
        <v>20</v>
      </c>
      <c r="N50" s="35">
        <v>240</v>
      </c>
      <c r="O50" s="345"/>
      <c r="P50" s="35"/>
      <c r="Q50" s="35"/>
      <c r="R50" s="187"/>
      <c r="S50" s="33">
        <v>0.1</v>
      </c>
      <c r="T50" s="33">
        <v>9.75</v>
      </c>
      <c r="U50" s="33">
        <v>2.125</v>
      </c>
      <c r="V50" s="70">
        <v>1.25</v>
      </c>
      <c r="W50" s="44">
        <v>1.4</v>
      </c>
      <c r="X50" s="33">
        <v>3.75</v>
      </c>
      <c r="Y50" s="33">
        <v>2.15</v>
      </c>
      <c r="Z50" s="70">
        <v>10</v>
      </c>
      <c r="AA50" s="44">
        <v>18</v>
      </c>
      <c r="AB50" s="33">
        <v>7</v>
      </c>
      <c r="AC50" s="33">
        <v>15</v>
      </c>
      <c r="AD50" s="70">
        <v>10.5</v>
      </c>
      <c r="AE50" s="33">
        <f t="shared" ref="AE50:AE88" si="1">AB50*AC50*AD50/(12^3)</f>
        <v>0.63802083333333337</v>
      </c>
      <c r="AF50" s="37" t="s">
        <v>425</v>
      </c>
      <c r="AG50" s="37" t="s">
        <v>870</v>
      </c>
      <c r="AH50" s="37" t="s">
        <v>426</v>
      </c>
      <c r="AI50" s="37" t="s">
        <v>427</v>
      </c>
      <c r="AJ50" s="37" t="s">
        <v>428</v>
      </c>
      <c r="AK50" s="37"/>
      <c r="AL50" s="37"/>
      <c r="AM50" s="37"/>
      <c r="AN50" s="37" t="s">
        <v>424</v>
      </c>
      <c r="AO50" s="94" t="s">
        <v>520</v>
      </c>
    </row>
    <row r="51" spans="1:42" s="18" customFormat="1" x14ac:dyDescent="0.2">
      <c r="A51" s="18" t="s">
        <v>510</v>
      </c>
      <c r="B51" s="33" t="s">
        <v>532</v>
      </c>
      <c r="C51" s="33" t="s">
        <v>369</v>
      </c>
      <c r="D51" s="34" t="s">
        <v>436</v>
      </c>
      <c r="E51" s="34" t="s">
        <v>222</v>
      </c>
      <c r="F51" s="34"/>
      <c r="G51" s="48">
        <v>7331423001354</v>
      </c>
      <c r="H51" s="48"/>
      <c r="I51" s="48"/>
      <c r="J51" s="36" t="s">
        <v>568</v>
      </c>
      <c r="K51" s="36" t="s">
        <v>977</v>
      </c>
      <c r="L51" s="5">
        <v>4.99</v>
      </c>
      <c r="M51" s="35">
        <v>20</v>
      </c>
      <c r="N51" s="35">
        <v>240</v>
      </c>
      <c r="O51" s="345"/>
      <c r="P51" s="35"/>
      <c r="Q51" s="35"/>
      <c r="R51" s="187"/>
      <c r="S51" s="33">
        <v>0.1</v>
      </c>
      <c r="T51" s="33">
        <v>9.75</v>
      </c>
      <c r="U51" s="33">
        <v>2.125</v>
      </c>
      <c r="V51" s="70">
        <v>1.25</v>
      </c>
      <c r="W51" s="44">
        <v>1.4</v>
      </c>
      <c r="X51" s="33">
        <v>3.75</v>
      </c>
      <c r="Y51" s="33">
        <v>2.15</v>
      </c>
      <c r="Z51" s="70">
        <v>10</v>
      </c>
      <c r="AA51" s="44">
        <v>18</v>
      </c>
      <c r="AB51" s="33">
        <v>7</v>
      </c>
      <c r="AC51" s="33">
        <v>15</v>
      </c>
      <c r="AD51" s="70">
        <v>10.5</v>
      </c>
      <c r="AE51" s="33">
        <f t="shared" si="1"/>
        <v>0.63802083333333337</v>
      </c>
      <c r="AF51" s="37" t="s">
        <v>425</v>
      </c>
      <c r="AG51" s="37" t="s">
        <v>870</v>
      </c>
      <c r="AH51" s="37" t="s">
        <v>426</v>
      </c>
      <c r="AI51" s="37" t="s">
        <v>427</v>
      </c>
      <c r="AJ51" s="37" t="s">
        <v>428</v>
      </c>
      <c r="AK51" s="37"/>
      <c r="AL51" s="37"/>
      <c r="AM51" s="37"/>
      <c r="AN51" s="37" t="s">
        <v>424</v>
      </c>
      <c r="AO51" s="94" t="s">
        <v>520</v>
      </c>
    </row>
    <row r="52" spans="1:42" s="18" customFormat="1" x14ac:dyDescent="0.2">
      <c r="A52" s="18" t="s">
        <v>510</v>
      </c>
      <c r="B52" s="33" t="s">
        <v>532</v>
      </c>
      <c r="C52" s="33" t="s">
        <v>306</v>
      </c>
      <c r="D52" s="34" t="s">
        <v>437</v>
      </c>
      <c r="E52" s="34" t="s">
        <v>345</v>
      </c>
      <c r="F52" s="34"/>
      <c r="G52" s="48">
        <v>7331423001484</v>
      </c>
      <c r="H52" s="48"/>
      <c r="I52" s="48"/>
      <c r="J52" s="36" t="s">
        <v>568</v>
      </c>
      <c r="K52" s="36" t="s">
        <v>977</v>
      </c>
      <c r="L52" s="5">
        <v>4.99</v>
      </c>
      <c r="M52" s="35">
        <v>20</v>
      </c>
      <c r="N52" s="35">
        <v>240</v>
      </c>
      <c r="O52" s="345"/>
      <c r="P52" s="35"/>
      <c r="Q52" s="35"/>
      <c r="R52" s="187"/>
      <c r="S52" s="33">
        <v>0.1</v>
      </c>
      <c r="T52" s="33">
        <v>9.75</v>
      </c>
      <c r="U52" s="33">
        <v>2.125</v>
      </c>
      <c r="V52" s="70">
        <v>1.25</v>
      </c>
      <c r="W52" s="44">
        <v>1.4</v>
      </c>
      <c r="X52" s="33">
        <v>3.75</v>
      </c>
      <c r="Y52" s="33">
        <v>2.15</v>
      </c>
      <c r="Z52" s="70">
        <v>10</v>
      </c>
      <c r="AA52" s="44">
        <v>18</v>
      </c>
      <c r="AB52" s="33">
        <v>7</v>
      </c>
      <c r="AC52" s="33">
        <v>15</v>
      </c>
      <c r="AD52" s="70">
        <v>10.5</v>
      </c>
      <c r="AE52" s="33">
        <f t="shared" si="1"/>
        <v>0.63802083333333337</v>
      </c>
      <c r="AF52" s="37" t="s">
        <v>425</v>
      </c>
      <c r="AG52" s="37" t="s">
        <v>870</v>
      </c>
      <c r="AH52" s="37" t="s">
        <v>426</v>
      </c>
      <c r="AI52" s="37" t="s">
        <v>427</v>
      </c>
      <c r="AJ52" s="37" t="s">
        <v>428</v>
      </c>
      <c r="AK52" s="37"/>
      <c r="AL52" s="37"/>
      <c r="AM52" s="37"/>
      <c r="AN52" s="37" t="s">
        <v>424</v>
      </c>
      <c r="AO52" s="94" t="s">
        <v>520</v>
      </c>
    </row>
    <row r="53" spans="1:42" s="18" customFormat="1" ht="12.75" customHeight="1" x14ac:dyDescent="0.2">
      <c r="A53" s="18" t="s">
        <v>510</v>
      </c>
      <c r="B53" s="33" t="s">
        <v>533</v>
      </c>
      <c r="C53" s="33" t="s">
        <v>383</v>
      </c>
      <c r="D53" s="34" t="s">
        <v>438</v>
      </c>
      <c r="E53" s="34" t="s">
        <v>484</v>
      </c>
      <c r="F53" s="34"/>
      <c r="G53" s="48">
        <v>7331423001361</v>
      </c>
      <c r="H53" s="48"/>
      <c r="I53" s="48"/>
      <c r="J53" s="36" t="s">
        <v>568</v>
      </c>
      <c r="K53" s="36" t="s">
        <v>977</v>
      </c>
      <c r="L53" s="5">
        <v>4.99</v>
      </c>
      <c r="M53" s="35">
        <v>20</v>
      </c>
      <c r="N53" s="35">
        <v>120</v>
      </c>
      <c r="O53" s="345"/>
      <c r="P53" s="35"/>
      <c r="Q53" s="35"/>
      <c r="R53" s="187"/>
      <c r="S53" s="33">
        <v>0.15</v>
      </c>
      <c r="T53" s="33">
        <v>10.75</v>
      </c>
      <c r="U53" s="33">
        <v>3.125</v>
      </c>
      <c r="V53" s="70">
        <v>1.375</v>
      </c>
      <c r="W53" s="44">
        <v>2.15</v>
      </c>
      <c r="X53" s="33">
        <v>4.75</v>
      </c>
      <c r="Y53" s="33">
        <v>11</v>
      </c>
      <c r="Z53" s="70">
        <v>9.5</v>
      </c>
      <c r="AA53" s="44">
        <v>11.15</v>
      </c>
      <c r="AB53" s="33">
        <v>11.5</v>
      </c>
      <c r="AC53" s="33">
        <v>15</v>
      </c>
      <c r="AD53" s="70">
        <v>19.5</v>
      </c>
      <c r="AE53" s="33">
        <f t="shared" si="1"/>
        <v>1.9466145833333333</v>
      </c>
      <c r="AF53" s="37" t="s">
        <v>425</v>
      </c>
      <c r="AG53" s="37" t="s">
        <v>870</v>
      </c>
      <c r="AH53" s="37" t="s">
        <v>426</v>
      </c>
      <c r="AI53" s="37" t="s">
        <v>427</v>
      </c>
      <c r="AJ53" s="37" t="s">
        <v>428</v>
      </c>
      <c r="AK53" s="37"/>
      <c r="AL53" s="37"/>
      <c r="AM53" s="37"/>
      <c r="AN53" s="37" t="s">
        <v>424</v>
      </c>
      <c r="AO53" s="94" t="s">
        <v>520</v>
      </c>
    </row>
    <row r="54" spans="1:42" s="18" customFormat="1" x14ac:dyDescent="0.2">
      <c r="A54" s="18" t="s">
        <v>510</v>
      </c>
      <c r="B54" s="33" t="s">
        <v>533</v>
      </c>
      <c r="C54" s="33" t="s">
        <v>300</v>
      </c>
      <c r="D54" s="34" t="s">
        <v>439</v>
      </c>
      <c r="E54" s="34" t="s">
        <v>230</v>
      </c>
      <c r="F54" s="34"/>
      <c r="G54" s="48">
        <v>7331423001378</v>
      </c>
      <c r="H54" s="48"/>
      <c r="I54" s="48"/>
      <c r="J54" s="36" t="s">
        <v>568</v>
      </c>
      <c r="K54" s="36" t="s">
        <v>977</v>
      </c>
      <c r="L54" s="5">
        <v>4.99</v>
      </c>
      <c r="M54" s="35">
        <v>20</v>
      </c>
      <c r="N54" s="35">
        <v>120</v>
      </c>
      <c r="O54" s="345"/>
      <c r="P54" s="35"/>
      <c r="Q54" s="35"/>
      <c r="R54" s="187"/>
      <c r="S54" s="33">
        <v>0.15</v>
      </c>
      <c r="T54" s="33">
        <v>10.75</v>
      </c>
      <c r="U54" s="33">
        <v>3.125</v>
      </c>
      <c r="V54" s="70">
        <v>1.375</v>
      </c>
      <c r="W54" s="44">
        <v>2.15</v>
      </c>
      <c r="X54" s="33">
        <v>4.75</v>
      </c>
      <c r="Y54" s="33">
        <v>11</v>
      </c>
      <c r="Z54" s="70">
        <v>9.5</v>
      </c>
      <c r="AA54" s="44">
        <v>11.15</v>
      </c>
      <c r="AB54" s="33">
        <v>11.5</v>
      </c>
      <c r="AC54" s="33">
        <v>15</v>
      </c>
      <c r="AD54" s="70">
        <v>19.5</v>
      </c>
      <c r="AE54" s="33">
        <f t="shared" si="1"/>
        <v>1.9466145833333333</v>
      </c>
      <c r="AF54" s="24" t="s">
        <v>425</v>
      </c>
      <c r="AG54" s="37" t="s">
        <v>870</v>
      </c>
      <c r="AH54" s="19" t="s">
        <v>426</v>
      </c>
      <c r="AI54" s="19" t="s">
        <v>427</v>
      </c>
      <c r="AJ54" s="19" t="s">
        <v>428</v>
      </c>
      <c r="AK54" s="19"/>
      <c r="AL54" s="19"/>
      <c r="AM54" s="19"/>
      <c r="AN54" s="38" t="s">
        <v>424</v>
      </c>
      <c r="AO54" s="94" t="s">
        <v>520</v>
      </c>
    </row>
    <row r="55" spans="1:42" s="18" customFormat="1" x14ac:dyDescent="0.2">
      <c r="A55" s="18" t="s">
        <v>510</v>
      </c>
      <c r="B55" s="33" t="s">
        <v>533</v>
      </c>
      <c r="C55" s="33" t="s">
        <v>369</v>
      </c>
      <c r="D55" s="19" t="s">
        <v>440</v>
      </c>
      <c r="E55" s="34" t="s">
        <v>222</v>
      </c>
      <c r="F55" s="34"/>
      <c r="G55" s="48">
        <v>7331423001385</v>
      </c>
      <c r="H55" s="48"/>
      <c r="I55" s="48"/>
      <c r="J55" s="36" t="s">
        <v>568</v>
      </c>
      <c r="K55" s="36" t="s">
        <v>977</v>
      </c>
      <c r="L55" s="5">
        <v>4.99</v>
      </c>
      <c r="M55" s="35">
        <v>20</v>
      </c>
      <c r="N55" s="35">
        <v>120</v>
      </c>
      <c r="O55" s="345"/>
      <c r="P55" s="35"/>
      <c r="Q55" s="35"/>
      <c r="R55" s="187"/>
      <c r="S55" s="33">
        <v>0.15</v>
      </c>
      <c r="T55" s="33">
        <v>10.75</v>
      </c>
      <c r="U55" s="33">
        <v>3.125</v>
      </c>
      <c r="V55" s="70">
        <v>1.375</v>
      </c>
      <c r="W55" s="44">
        <v>2.15</v>
      </c>
      <c r="X55" s="33">
        <v>4.75</v>
      </c>
      <c r="Y55" s="33">
        <v>11</v>
      </c>
      <c r="Z55" s="70">
        <v>9.5</v>
      </c>
      <c r="AA55" s="44">
        <v>11.15</v>
      </c>
      <c r="AB55" s="33">
        <v>11.5</v>
      </c>
      <c r="AC55" s="33">
        <v>15</v>
      </c>
      <c r="AD55" s="70">
        <v>19.5</v>
      </c>
      <c r="AE55" s="33">
        <f t="shared" si="1"/>
        <v>1.9466145833333333</v>
      </c>
      <c r="AF55" s="37" t="s">
        <v>425</v>
      </c>
      <c r="AG55" s="37" t="s">
        <v>870</v>
      </c>
      <c r="AH55" s="37" t="s">
        <v>426</v>
      </c>
      <c r="AI55" s="37" t="s">
        <v>427</v>
      </c>
      <c r="AJ55" s="37" t="s">
        <v>428</v>
      </c>
      <c r="AK55" s="37"/>
      <c r="AL55" s="37"/>
      <c r="AM55" s="37"/>
      <c r="AN55" s="37" t="s">
        <v>424</v>
      </c>
      <c r="AO55" s="94" t="s">
        <v>520</v>
      </c>
    </row>
    <row r="56" spans="1:42" s="18" customFormat="1" x14ac:dyDescent="0.2">
      <c r="A56" s="18" t="s">
        <v>510</v>
      </c>
      <c r="B56" s="33" t="s">
        <v>534</v>
      </c>
      <c r="C56" s="33" t="s">
        <v>346</v>
      </c>
      <c r="D56" s="34" t="s">
        <v>441</v>
      </c>
      <c r="E56" s="34" t="s">
        <v>229</v>
      </c>
      <c r="F56" s="34"/>
      <c r="G56" s="48">
        <v>7331423001293</v>
      </c>
      <c r="H56" s="48"/>
      <c r="I56" s="48"/>
      <c r="J56" s="36" t="s">
        <v>568</v>
      </c>
      <c r="K56" s="36" t="s">
        <v>977</v>
      </c>
      <c r="L56" s="5">
        <v>3.99</v>
      </c>
      <c r="M56" s="35">
        <v>25</v>
      </c>
      <c r="N56" s="35">
        <v>375</v>
      </c>
      <c r="O56" s="345"/>
      <c r="P56" s="35"/>
      <c r="Q56" s="35"/>
      <c r="R56" s="187"/>
      <c r="S56" s="33">
        <v>0.05</v>
      </c>
      <c r="T56" s="33">
        <v>7.875</v>
      </c>
      <c r="U56" s="33">
        <v>1.625</v>
      </c>
      <c r="V56" s="70">
        <v>1</v>
      </c>
      <c r="W56" s="44">
        <v>0.9</v>
      </c>
      <c r="X56" s="33">
        <v>3.5</v>
      </c>
      <c r="Y56" s="33">
        <v>8</v>
      </c>
      <c r="Z56" s="70">
        <v>1.75</v>
      </c>
      <c r="AA56" s="91">
        <v>14.15</v>
      </c>
      <c r="AB56" s="87">
        <v>9</v>
      </c>
      <c r="AC56" s="33">
        <v>10.5</v>
      </c>
      <c r="AD56" s="70">
        <v>8.75</v>
      </c>
      <c r="AE56" s="33">
        <f t="shared" si="1"/>
        <v>0.478515625</v>
      </c>
      <c r="AF56" s="37" t="s">
        <v>425</v>
      </c>
      <c r="AG56" s="37" t="s">
        <v>870</v>
      </c>
      <c r="AH56" s="37" t="s">
        <v>426</v>
      </c>
      <c r="AI56" s="37" t="s">
        <v>429</v>
      </c>
      <c r="AJ56" s="37" t="s">
        <v>430</v>
      </c>
      <c r="AK56" s="37"/>
      <c r="AL56" s="37"/>
      <c r="AM56" s="37"/>
      <c r="AN56" s="37" t="s">
        <v>431</v>
      </c>
      <c r="AO56" s="94" t="s">
        <v>520</v>
      </c>
    </row>
    <row r="57" spans="1:42" s="18" customFormat="1" x14ac:dyDescent="0.2">
      <c r="A57" s="18" t="s">
        <v>510</v>
      </c>
      <c r="B57" s="33" t="s">
        <v>534</v>
      </c>
      <c r="C57" s="33" t="s">
        <v>374</v>
      </c>
      <c r="D57" s="34" t="s">
        <v>442</v>
      </c>
      <c r="E57" s="34" t="s">
        <v>219</v>
      </c>
      <c r="F57" s="34"/>
      <c r="G57" s="48">
        <v>7331423001309</v>
      </c>
      <c r="H57" s="48"/>
      <c r="I57" s="48"/>
      <c r="J57" s="36" t="s">
        <v>568</v>
      </c>
      <c r="K57" s="36" t="s">
        <v>977</v>
      </c>
      <c r="L57" s="5">
        <v>3.99</v>
      </c>
      <c r="M57" s="35">
        <v>25</v>
      </c>
      <c r="N57" s="35">
        <v>375</v>
      </c>
      <c r="O57" s="345"/>
      <c r="P57" s="35"/>
      <c r="Q57" s="35"/>
      <c r="R57" s="187"/>
      <c r="S57" s="33">
        <v>0.05</v>
      </c>
      <c r="T57" s="33">
        <v>7.875</v>
      </c>
      <c r="U57" s="33">
        <v>1.625</v>
      </c>
      <c r="V57" s="70">
        <v>1</v>
      </c>
      <c r="W57" s="44">
        <v>0.9</v>
      </c>
      <c r="X57" s="33">
        <v>3.5</v>
      </c>
      <c r="Y57" s="33">
        <v>8</v>
      </c>
      <c r="Z57" s="70">
        <v>1.75</v>
      </c>
      <c r="AA57" s="91">
        <v>14.15</v>
      </c>
      <c r="AB57" s="87">
        <v>9</v>
      </c>
      <c r="AC57" s="33">
        <v>10.5</v>
      </c>
      <c r="AD57" s="70">
        <v>8.75</v>
      </c>
      <c r="AE57" s="33">
        <f t="shared" si="1"/>
        <v>0.478515625</v>
      </c>
      <c r="AF57" s="37" t="s">
        <v>425</v>
      </c>
      <c r="AG57" s="37" t="s">
        <v>870</v>
      </c>
      <c r="AH57" s="37" t="s">
        <v>426</v>
      </c>
      <c r="AI57" s="37" t="s">
        <v>429</v>
      </c>
      <c r="AJ57" s="37" t="s">
        <v>430</v>
      </c>
      <c r="AK57" s="37"/>
      <c r="AL57" s="37"/>
      <c r="AM57" s="37"/>
      <c r="AN57" s="37" t="s">
        <v>431</v>
      </c>
      <c r="AO57" s="94" t="s">
        <v>520</v>
      </c>
    </row>
    <row r="58" spans="1:42" s="18" customFormat="1" x14ac:dyDescent="0.2">
      <c r="A58" s="18" t="s">
        <v>510</v>
      </c>
      <c r="B58" s="33" t="s">
        <v>534</v>
      </c>
      <c r="C58" s="33" t="s">
        <v>347</v>
      </c>
      <c r="D58" s="34" t="s">
        <v>443</v>
      </c>
      <c r="E58" s="34" t="s">
        <v>653</v>
      </c>
      <c r="F58" s="34"/>
      <c r="G58" s="48">
        <v>7331423001477</v>
      </c>
      <c r="H58" s="48"/>
      <c r="I58" s="48"/>
      <c r="J58" s="36" t="s">
        <v>568</v>
      </c>
      <c r="K58" s="36" t="s">
        <v>977</v>
      </c>
      <c r="L58" s="5">
        <v>3.99</v>
      </c>
      <c r="M58" s="35">
        <v>25</v>
      </c>
      <c r="N58" s="35">
        <v>375</v>
      </c>
      <c r="O58" s="345"/>
      <c r="P58" s="35"/>
      <c r="Q58" s="35"/>
      <c r="R58" s="187"/>
      <c r="S58" s="33">
        <v>0.05</v>
      </c>
      <c r="T58" s="33">
        <v>7.875</v>
      </c>
      <c r="U58" s="33">
        <v>1.625</v>
      </c>
      <c r="V58" s="70">
        <v>1</v>
      </c>
      <c r="W58" s="44">
        <v>0.9</v>
      </c>
      <c r="X58" s="33">
        <v>3.5</v>
      </c>
      <c r="Y58" s="33">
        <v>8</v>
      </c>
      <c r="Z58" s="70">
        <v>1.75</v>
      </c>
      <c r="AA58" s="91">
        <v>14.15</v>
      </c>
      <c r="AB58" s="87">
        <v>9</v>
      </c>
      <c r="AC58" s="33">
        <v>10.5</v>
      </c>
      <c r="AD58" s="70">
        <v>8.75</v>
      </c>
      <c r="AE58" s="33">
        <f t="shared" si="1"/>
        <v>0.478515625</v>
      </c>
      <c r="AF58" s="37" t="s">
        <v>425</v>
      </c>
      <c r="AG58" s="37" t="s">
        <v>870</v>
      </c>
      <c r="AH58" s="37" t="s">
        <v>426</v>
      </c>
      <c r="AI58" s="37" t="s">
        <v>429</v>
      </c>
      <c r="AJ58" s="37" t="s">
        <v>430</v>
      </c>
      <c r="AK58" s="37"/>
      <c r="AL58" s="37"/>
      <c r="AM58" s="37"/>
      <c r="AN58" s="37" t="s">
        <v>431</v>
      </c>
      <c r="AO58" s="94" t="s">
        <v>520</v>
      </c>
    </row>
    <row r="59" spans="1:42" s="18" customFormat="1" x14ac:dyDescent="0.2">
      <c r="A59" s="18" t="s">
        <v>510</v>
      </c>
      <c r="B59" s="33" t="s">
        <v>534</v>
      </c>
      <c r="C59" s="33" t="s">
        <v>371</v>
      </c>
      <c r="D59" s="34" t="s">
        <v>444</v>
      </c>
      <c r="E59" s="34" t="s">
        <v>218</v>
      </c>
      <c r="F59" s="34"/>
      <c r="G59" s="48">
        <v>7331423001460</v>
      </c>
      <c r="H59" s="48"/>
      <c r="I59" s="48"/>
      <c r="J59" s="36" t="s">
        <v>568</v>
      </c>
      <c r="K59" s="36" t="s">
        <v>977</v>
      </c>
      <c r="L59" s="5">
        <v>3.99</v>
      </c>
      <c r="M59" s="35">
        <v>25</v>
      </c>
      <c r="N59" s="35">
        <v>375</v>
      </c>
      <c r="O59" s="345"/>
      <c r="P59" s="35"/>
      <c r="Q59" s="35"/>
      <c r="R59" s="187"/>
      <c r="S59" s="33">
        <v>0.05</v>
      </c>
      <c r="T59" s="33">
        <v>7.875</v>
      </c>
      <c r="U59" s="33">
        <v>1.625</v>
      </c>
      <c r="V59" s="70">
        <v>1</v>
      </c>
      <c r="W59" s="44">
        <v>0.9</v>
      </c>
      <c r="X59" s="33">
        <v>3.5</v>
      </c>
      <c r="Y59" s="33">
        <v>8</v>
      </c>
      <c r="Z59" s="70">
        <v>1.75</v>
      </c>
      <c r="AA59" s="91">
        <v>14.15</v>
      </c>
      <c r="AB59" s="87">
        <v>9</v>
      </c>
      <c r="AC59" s="33">
        <v>10.5</v>
      </c>
      <c r="AD59" s="70">
        <v>8.75</v>
      </c>
      <c r="AE59" s="33">
        <f t="shared" si="1"/>
        <v>0.478515625</v>
      </c>
      <c r="AF59" s="37" t="s">
        <v>425</v>
      </c>
      <c r="AG59" s="37" t="s">
        <v>870</v>
      </c>
      <c r="AH59" s="37" t="s">
        <v>426</v>
      </c>
      <c r="AI59" s="37" t="s">
        <v>429</v>
      </c>
      <c r="AJ59" s="37" t="s">
        <v>430</v>
      </c>
      <c r="AK59" s="37"/>
      <c r="AL59" s="37"/>
      <c r="AM59" s="37"/>
      <c r="AN59" s="37" t="s">
        <v>431</v>
      </c>
      <c r="AO59" s="94" t="s">
        <v>520</v>
      </c>
    </row>
    <row r="60" spans="1:42" s="18" customFormat="1" x14ac:dyDescent="0.2">
      <c r="A60" s="18" t="s">
        <v>510</v>
      </c>
      <c r="B60" s="33" t="s">
        <v>534</v>
      </c>
      <c r="C60" s="33" t="s">
        <v>369</v>
      </c>
      <c r="D60" s="34" t="s">
        <v>445</v>
      </c>
      <c r="E60" s="34" t="s">
        <v>222</v>
      </c>
      <c r="F60" s="34"/>
      <c r="G60" s="48">
        <v>7331423003273</v>
      </c>
      <c r="H60" s="48"/>
      <c r="I60" s="48"/>
      <c r="J60" s="36" t="s">
        <v>568</v>
      </c>
      <c r="K60" s="36" t="s">
        <v>977</v>
      </c>
      <c r="L60" s="5">
        <v>3.99</v>
      </c>
      <c r="M60" s="35">
        <v>25</v>
      </c>
      <c r="N60" s="35">
        <v>375</v>
      </c>
      <c r="O60" s="345"/>
      <c r="P60" s="35"/>
      <c r="Q60" s="35"/>
      <c r="R60" s="187"/>
      <c r="S60" s="33">
        <v>0.05</v>
      </c>
      <c r="T60" s="33">
        <v>7.875</v>
      </c>
      <c r="U60" s="33">
        <v>1.625</v>
      </c>
      <c r="V60" s="70">
        <v>1</v>
      </c>
      <c r="W60" s="44">
        <v>0.9</v>
      </c>
      <c r="X60" s="33">
        <v>3.5</v>
      </c>
      <c r="Y60" s="33">
        <v>8</v>
      </c>
      <c r="Z60" s="70">
        <v>1.75</v>
      </c>
      <c r="AA60" s="91">
        <v>14.15</v>
      </c>
      <c r="AB60" s="87">
        <v>9</v>
      </c>
      <c r="AC60" s="33">
        <v>10.5</v>
      </c>
      <c r="AD60" s="70">
        <v>8.75</v>
      </c>
      <c r="AE60" s="33">
        <f t="shared" si="1"/>
        <v>0.478515625</v>
      </c>
      <c r="AF60" s="37" t="s">
        <v>425</v>
      </c>
      <c r="AG60" s="37" t="s">
        <v>870</v>
      </c>
      <c r="AH60" s="37" t="s">
        <v>426</v>
      </c>
      <c r="AI60" s="37" t="s">
        <v>429</v>
      </c>
      <c r="AJ60" s="37" t="s">
        <v>430</v>
      </c>
      <c r="AK60" s="37"/>
      <c r="AL60" s="37"/>
      <c r="AM60" s="37"/>
      <c r="AN60" s="37" t="s">
        <v>431</v>
      </c>
      <c r="AO60" s="94" t="s">
        <v>520</v>
      </c>
    </row>
    <row r="61" spans="1:42" s="18" customFormat="1" x14ac:dyDescent="0.2">
      <c r="A61" s="18" t="s">
        <v>510</v>
      </c>
      <c r="B61" s="33" t="s">
        <v>534</v>
      </c>
      <c r="C61" s="33" t="s">
        <v>372</v>
      </c>
      <c r="D61" s="34" t="s">
        <v>446</v>
      </c>
      <c r="E61" s="34" t="s">
        <v>372</v>
      </c>
      <c r="F61" s="34"/>
      <c r="G61" s="48">
        <v>7331423003297</v>
      </c>
      <c r="H61" s="48"/>
      <c r="I61" s="48"/>
      <c r="J61" s="36" t="s">
        <v>568</v>
      </c>
      <c r="K61" s="36" t="s">
        <v>977</v>
      </c>
      <c r="L61" s="5">
        <v>3.99</v>
      </c>
      <c r="M61" s="35">
        <v>25</v>
      </c>
      <c r="N61" s="35">
        <v>375</v>
      </c>
      <c r="O61" s="345"/>
      <c r="P61" s="35"/>
      <c r="Q61" s="35"/>
      <c r="R61" s="187"/>
      <c r="S61" s="33">
        <v>0.05</v>
      </c>
      <c r="T61" s="33">
        <v>7.875</v>
      </c>
      <c r="U61" s="33">
        <v>1.625</v>
      </c>
      <c r="V61" s="70">
        <v>1</v>
      </c>
      <c r="W61" s="44">
        <v>0.9</v>
      </c>
      <c r="X61" s="33">
        <v>3.5</v>
      </c>
      <c r="Y61" s="33">
        <v>8</v>
      </c>
      <c r="Z61" s="70">
        <v>1.75</v>
      </c>
      <c r="AA61" s="91">
        <v>14.15</v>
      </c>
      <c r="AB61" s="87">
        <v>9</v>
      </c>
      <c r="AC61" s="33">
        <v>10.5</v>
      </c>
      <c r="AD61" s="70">
        <v>8.75</v>
      </c>
      <c r="AE61" s="33">
        <f t="shared" si="1"/>
        <v>0.478515625</v>
      </c>
      <c r="AF61" s="37" t="s">
        <v>425</v>
      </c>
      <c r="AG61" s="37" t="s">
        <v>870</v>
      </c>
      <c r="AH61" s="37" t="s">
        <v>426</v>
      </c>
      <c r="AI61" s="37" t="s">
        <v>429</v>
      </c>
      <c r="AJ61" s="37" t="s">
        <v>430</v>
      </c>
      <c r="AK61" s="37"/>
      <c r="AL61" s="37"/>
      <c r="AM61" s="37"/>
      <c r="AN61" s="37" t="s">
        <v>431</v>
      </c>
      <c r="AO61" s="94" t="s">
        <v>520</v>
      </c>
    </row>
    <row r="62" spans="1:42" s="18" customFormat="1" ht="11.25" customHeight="1" x14ac:dyDescent="0.2">
      <c r="A62" s="18" t="s">
        <v>510</v>
      </c>
      <c r="B62" s="33" t="s">
        <v>535</v>
      </c>
      <c r="C62" s="33" t="s">
        <v>346</v>
      </c>
      <c r="D62" s="34" t="s">
        <v>447</v>
      </c>
      <c r="E62" s="34" t="s">
        <v>229</v>
      </c>
      <c r="F62" s="34"/>
      <c r="G62" s="48">
        <v>7331423001316</v>
      </c>
      <c r="H62" s="48"/>
      <c r="I62" s="48"/>
      <c r="J62" s="36" t="s">
        <v>568</v>
      </c>
      <c r="K62" s="36" t="s">
        <v>977</v>
      </c>
      <c r="L62" s="5">
        <v>3.99</v>
      </c>
      <c r="M62" s="35">
        <v>24</v>
      </c>
      <c r="N62" s="35">
        <v>144</v>
      </c>
      <c r="O62" s="345"/>
      <c r="P62" s="35"/>
      <c r="Q62" s="35"/>
      <c r="R62" s="187"/>
      <c r="S62" s="33">
        <v>0.1</v>
      </c>
      <c r="T62" s="33">
        <v>8.8699999999999992</v>
      </c>
      <c r="U62" s="33">
        <v>2.75</v>
      </c>
      <c r="V62" s="70">
        <v>1</v>
      </c>
      <c r="W62" s="44">
        <v>1.5</v>
      </c>
      <c r="X62" s="33">
        <v>8.75</v>
      </c>
      <c r="Y62" s="33">
        <v>5</v>
      </c>
      <c r="Z62" s="70">
        <v>9.5</v>
      </c>
      <c r="AA62" s="91">
        <v>13.25</v>
      </c>
      <c r="AB62" s="87">
        <v>9.5</v>
      </c>
      <c r="AC62" s="87">
        <v>15.25</v>
      </c>
      <c r="AD62" s="70">
        <v>17</v>
      </c>
      <c r="AE62" s="33">
        <f t="shared" si="1"/>
        <v>1.4252748842592593</v>
      </c>
      <c r="AF62" s="37" t="s">
        <v>425</v>
      </c>
      <c r="AG62" s="37" t="s">
        <v>870</v>
      </c>
      <c r="AH62" s="37" t="s">
        <v>426</v>
      </c>
      <c r="AI62" s="37" t="s">
        <v>429</v>
      </c>
      <c r="AJ62" s="37" t="s">
        <v>430</v>
      </c>
      <c r="AK62" s="37"/>
      <c r="AL62" s="37"/>
      <c r="AM62" s="37"/>
      <c r="AN62" s="37" t="s">
        <v>431</v>
      </c>
      <c r="AO62" s="94" t="s">
        <v>520</v>
      </c>
    </row>
    <row r="63" spans="1:42" s="18" customFormat="1" x14ac:dyDescent="0.2">
      <c r="A63" s="18" t="s">
        <v>510</v>
      </c>
      <c r="B63" s="33" t="s">
        <v>535</v>
      </c>
      <c r="C63" s="33" t="s">
        <v>374</v>
      </c>
      <c r="D63" s="34" t="s">
        <v>448</v>
      </c>
      <c r="E63" s="34" t="s">
        <v>219</v>
      </c>
      <c r="F63" s="34"/>
      <c r="G63" s="48">
        <v>7331423001323</v>
      </c>
      <c r="H63" s="48"/>
      <c r="I63" s="48"/>
      <c r="J63" s="36" t="s">
        <v>568</v>
      </c>
      <c r="K63" s="36" t="s">
        <v>977</v>
      </c>
      <c r="L63" s="5">
        <v>3.99</v>
      </c>
      <c r="M63" s="35">
        <v>24</v>
      </c>
      <c r="N63" s="35">
        <v>144</v>
      </c>
      <c r="O63" s="345"/>
      <c r="P63" s="35"/>
      <c r="Q63" s="35"/>
      <c r="R63" s="187"/>
      <c r="S63" s="33">
        <v>0.1</v>
      </c>
      <c r="T63" s="33">
        <v>8.8699999999999992</v>
      </c>
      <c r="U63" s="33">
        <v>2.75</v>
      </c>
      <c r="V63" s="70">
        <v>1</v>
      </c>
      <c r="W63" s="44">
        <v>1.5</v>
      </c>
      <c r="X63" s="33">
        <v>8.75</v>
      </c>
      <c r="Y63" s="33">
        <v>5</v>
      </c>
      <c r="Z63" s="70">
        <v>9.5</v>
      </c>
      <c r="AA63" s="91">
        <v>13.25</v>
      </c>
      <c r="AB63" s="87">
        <v>9.5</v>
      </c>
      <c r="AC63" s="87">
        <v>15.25</v>
      </c>
      <c r="AD63" s="70">
        <v>17</v>
      </c>
      <c r="AE63" s="33">
        <f t="shared" si="1"/>
        <v>1.4252748842592593</v>
      </c>
      <c r="AF63" s="24" t="s">
        <v>425</v>
      </c>
      <c r="AG63" s="37" t="s">
        <v>870</v>
      </c>
      <c r="AH63" s="19" t="s">
        <v>426</v>
      </c>
      <c r="AI63" s="19" t="s">
        <v>429</v>
      </c>
      <c r="AJ63" s="19" t="s">
        <v>430</v>
      </c>
      <c r="AK63" s="19"/>
      <c r="AL63" s="19"/>
      <c r="AM63" s="19"/>
      <c r="AN63" s="38" t="s">
        <v>431</v>
      </c>
      <c r="AO63" s="94" t="s">
        <v>520</v>
      </c>
    </row>
    <row r="64" spans="1:42" s="18" customFormat="1" x14ac:dyDescent="0.2">
      <c r="A64" s="18" t="s">
        <v>510</v>
      </c>
      <c r="B64" s="33" t="s">
        <v>535</v>
      </c>
      <c r="C64" s="33" t="s">
        <v>347</v>
      </c>
      <c r="D64" s="34" t="s">
        <v>449</v>
      </c>
      <c r="E64" s="34" t="s">
        <v>653</v>
      </c>
      <c r="F64" s="34"/>
      <c r="G64" s="48">
        <v>7331423002764</v>
      </c>
      <c r="H64" s="48"/>
      <c r="I64" s="48"/>
      <c r="J64" s="36" t="s">
        <v>568</v>
      </c>
      <c r="K64" s="36" t="s">
        <v>977</v>
      </c>
      <c r="L64" s="5">
        <v>3.99</v>
      </c>
      <c r="M64" s="35">
        <v>24</v>
      </c>
      <c r="N64" s="35">
        <v>144</v>
      </c>
      <c r="O64" s="345"/>
      <c r="P64" s="35"/>
      <c r="Q64" s="35"/>
      <c r="R64" s="187"/>
      <c r="S64" s="33">
        <v>0.1</v>
      </c>
      <c r="T64" s="33">
        <v>8.8699999999999992</v>
      </c>
      <c r="U64" s="33">
        <v>2.75</v>
      </c>
      <c r="V64" s="70">
        <v>1</v>
      </c>
      <c r="W64" s="44">
        <v>1.5</v>
      </c>
      <c r="X64" s="33">
        <v>8.75</v>
      </c>
      <c r="Y64" s="33">
        <v>5</v>
      </c>
      <c r="Z64" s="70">
        <v>9.5</v>
      </c>
      <c r="AA64" s="91">
        <v>13.25</v>
      </c>
      <c r="AB64" s="87">
        <v>9.5</v>
      </c>
      <c r="AC64" s="87">
        <v>15.25</v>
      </c>
      <c r="AD64" s="70">
        <v>17</v>
      </c>
      <c r="AE64" s="33">
        <f t="shared" si="1"/>
        <v>1.4252748842592593</v>
      </c>
      <c r="AF64" s="24" t="s">
        <v>425</v>
      </c>
      <c r="AG64" s="37" t="s">
        <v>870</v>
      </c>
      <c r="AH64" s="19" t="s">
        <v>426</v>
      </c>
      <c r="AI64" s="19" t="s">
        <v>429</v>
      </c>
      <c r="AJ64" s="19" t="s">
        <v>430</v>
      </c>
      <c r="AK64" s="19"/>
      <c r="AL64" s="19"/>
      <c r="AM64" s="19"/>
      <c r="AN64" s="38" t="s">
        <v>431</v>
      </c>
      <c r="AO64" s="94" t="s">
        <v>520</v>
      </c>
    </row>
    <row r="65" spans="1:42" s="18" customFormat="1" x14ac:dyDescent="0.2">
      <c r="A65" s="18" t="s">
        <v>510</v>
      </c>
      <c r="B65" s="33" t="s">
        <v>535</v>
      </c>
      <c r="C65" s="33" t="s">
        <v>371</v>
      </c>
      <c r="D65" s="34" t="s">
        <v>450</v>
      </c>
      <c r="E65" s="34" t="s">
        <v>218</v>
      </c>
      <c r="F65" s="34"/>
      <c r="G65" s="48">
        <v>7331423002757</v>
      </c>
      <c r="H65" s="48"/>
      <c r="I65" s="48"/>
      <c r="J65" s="36" t="s">
        <v>568</v>
      </c>
      <c r="K65" s="36" t="s">
        <v>977</v>
      </c>
      <c r="L65" s="5">
        <v>3.99</v>
      </c>
      <c r="M65" s="35">
        <v>24</v>
      </c>
      <c r="N65" s="35">
        <v>144</v>
      </c>
      <c r="O65" s="345"/>
      <c r="P65" s="35"/>
      <c r="Q65" s="35"/>
      <c r="R65" s="187"/>
      <c r="S65" s="33">
        <v>0.1</v>
      </c>
      <c r="T65" s="33">
        <v>8.8699999999999992</v>
      </c>
      <c r="U65" s="33">
        <v>2.75</v>
      </c>
      <c r="V65" s="70">
        <v>1</v>
      </c>
      <c r="W65" s="44">
        <v>1.5</v>
      </c>
      <c r="X65" s="33">
        <v>8.75</v>
      </c>
      <c r="Y65" s="33">
        <v>5</v>
      </c>
      <c r="Z65" s="70">
        <v>9.5</v>
      </c>
      <c r="AA65" s="91">
        <v>13.25</v>
      </c>
      <c r="AB65" s="87">
        <v>9.5</v>
      </c>
      <c r="AC65" s="87">
        <v>15.25</v>
      </c>
      <c r="AD65" s="70">
        <v>17</v>
      </c>
      <c r="AE65" s="33">
        <f t="shared" si="1"/>
        <v>1.4252748842592593</v>
      </c>
      <c r="AF65" s="24" t="s">
        <v>425</v>
      </c>
      <c r="AG65" s="37" t="s">
        <v>870</v>
      </c>
      <c r="AH65" s="19" t="s">
        <v>426</v>
      </c>
      <c r="AI65" s="19" t="s">
        <v>429</v>
      </c>
      <c r="AJ65" s="19" t="s">
        <v>430</v>
      </c>
      <c r="AK65" s="19"/>
      <c r="AL65" s="19"/>
      <c r="AM65" s="19"/>
      <c r="AN65" s="38" t="s">
        <v>431</v>
      </c>
      <c r="AO65" s="94" t="s">
        <v>520</v>
      </c>
    </row>
    <row r="66" spans="1:42" s="18" customFormat="1" x14ac:dyDescent="0.2">
      <c r="A66" s="18" t="s">
        <v>510</v>
      </c>
      <c r="B66" s="33" t="s">
        <v>82</v>
      </c>
      <c r="C66" s="33" t="s">
        <v>245</v>
      </c>
      <c r="D66" s="34" t="s">
        <v>83</v>
      </c>
      <c r="E66" s="18" t="s">
        <v>486</v>
      </c>
      <c r="G66" s="77">
        <v>7331423003341</v>
      </c>
      <c r="H66" s="77"/>
      <c r="I66" s="77"/>
      <c r="J66" s="36" t="s">
        <v>568</v>
      </c>
      <c r="K66" s="36" t="s">
        <v>977</v>
      </c>
      <c r="L66" s="5">
        <v>3.99</v>
      </c>
      <c r="M66" s="35">
        <v>1</v>
      </c>
      <c r="N66" s="35">
        <v>1</v>
      </c>
      <c r="O66" s="345"/>
      <c r="P66" s="35"/>
      <c r="Q66" s="35"/>
      <c r="R66" s="187"/>
      <c r="S66" s="33">
        <v>0.1</v>
      </c>
      <c r="T66" s="33">
        <v>8.8699999999999992</v>
      </c>
      <c r="U66" s="33">
        <v>2.75</v>
      </c>
      <c r="V66" s="70">
        <v>1</v>
      </c>
      <c r="W66" s="44" t="s">
        <v>856</v>
      </c>
      <c r="X66" s="33" t="s">
        <v>856</v>
      </c>
      <c r="Y66" s="33" t="s">
        <v>856</v>
      </c>
      <c r="Z66" s="70" t="s">
        <v>856</v>
      </c>
      <c r="AA66" s="44">
        <v>2</v>
      </c>
      <c r="AB66" s="33">
        <v>5</v>
      </c>
      <c r="AC66" s="33">
        <v>4.5</v>
      </c>
      <c r="AD66" s="70">
        <v>9</v>
      </c>
      <c r="AE66" s="33">
        <f t="shared" si="1"/>
        <v>0.1171875</v>
      </c>
      <c r="AF66" s="24" t="s">
        <v>425</v>
      </c>
      <c r="AG66" s="24" t="s">
        <v>853</v>
      </c>
      <c r="AH66" s="19" t="s">
        <v>162</v>
      </c>
      <c r="AI66" s="19" t="s">
        <v>86</v>
      </c>
      <c r="AJ66" s="24" t="s">
        <v>51</v>
      </c>
      <c r="AK66" s="24"/>
      <c r="AL66" s="24"/>
      <c r="AM66" s="24"/>
      <c r="AN66" s="24"/>
      <c r="AO66" s="304" t="s">
        <v>112</v>
      </c>
      <c r="AP66" s="94" t="s">
        <v>520</v>
      </c>
    </row>
    <row r="67" spans="1:42" s="18" customFormat="1" x14ac:dyDescent="0.2">
      <c r="A67" s="18" t="s">
        <v>510</v>
      </c>
      <c r="B67" s="33" t="s">
        <v>536</v>
      </c>
      <c r="C67" s="33" t="s">
        <v>652</v>
      </c>
      <c r="D67" s="34" t="s">
        <v>101</v>
      </c>
      <c r="E67" s="33" t="s">
        <v>652</v>
      </c>
      <c r="F67" s="33"/>
      <c r="G67" s="77">
        <v>7331423001446</v>
      </c>
      <c r="H67" s="77"/>
      <c r="I67" s="77"/>
      <c r="J67" s="36" t="s">
        <v>568</v>
      </c>
      <c r="K67" s="36" t="s">
        <v>977</v>
      </c>
      <c r="L67" s="5">
        <v>4.99</v>
      </c>
      <c r="M67" s="35">
        <v>1</v>
      </c>
      <c r="N67" s="35">
        <v>1</v>
      </c>
      <c r="O67" s="345"/>
      <c r="P67" s="35"/>
      <c r="Q67" s="35"/>
      <c r="R67" s="187"/>
      <c r="S67" s="33">
        <v>0.1</v>
      </c>
      <c r="T67" s="33">
        <v>9.75</v>
      </c>
      <c r="U67" s="33">
        <v>2.125</v>
      </c>
      <c r="V67" s="70">
        <v>1.25</v>
      </c>
      <c r="W67" s="44" t="s">
        <v>856</v>
      </c>
      <c r="X67" s="33" t="s">
        <v>856</v>
      </c>
      <c r="Y67" s="33" t="s">
        <v>856</v>
      </c>
      <c r="Z67" s="70" t="s">
        <v>856</v>
      </c>
      <c r="AA67" s="44">
        <v>8.3000000000000007</v>
      </c>
      <c r="AB67" s="33">
        <v>8.25</v>
      </c>
      <c r="AC67" s="33">
        <v>8.25</v>
      </c>
      <c r="AD67" s="70">
        <v>10.25</v>
      </c>
      <c r="AE67" s="33">
        <f t="shared" si="1"/>
        <v>0.40372721354166669</v>
      </c>
      <c r="AF67" s="37" t="s">
        <v>164</v>
      </c>
      <c r="AG67" s="37" t="s">
        <v>871</v>
      </c>
      <c r="AH67" s="37" t="s">
        <v>86</v>
      </c>
      <c r="AI67" s="40" t="s">
        <v>51</v>
      </c>
      <c r="AJ67" s="40"/>
      <c r="AK67" s="40"/>
      <c r="AL67" s="40"/>
      <c r="AM67" s="40"/>
      <c r="AN67" s="18" t="s">
        <v>111</v>
      </c>
      <c r="AO67" s="94" t="s">
        <v>520</v>
      </c>
    </row>
    <row r="68" spans="1:42" s="18" customFormat="1" ht="14.25" customHeight="1" x14ac:dyDescent="0.2">
      <c r="A68" s="18" t="s">
        <v>510</v>
      </c>
      <c r="B68" s="33" t="s">
        <v>537</v>
      </c>
      <c r="C68" s="33" t="s">
        <v>623</v>
      </c>
      <c r="D68" s="34" t="s">
        <v>102</v>
      </c>
      <c r="E68" s="33" t="s">
        <v>623</v>
      </c>
      <c r="F68" s="33"/>
      <c r="G68" s="77">
        <v>7331423402403</v>
      </c>
      <c r="H68" s="77"/>
      <c r="I68" s="77"/>
      <c r="J68" s="36" t="s">
        <v>568</v>
      </c>
      <c r="K68" s="36" t="s">
        <v>977</v>
      </c>
      <c r="L68" s="5">
        <v>2.99</v>
      </c>
      <c r="M68" s="35">
        <v>1</v>
      </c>
      <c r="N68" s="35">
        <v>1</v>
      </c>
      <c r="O68" s="345"/>
      <c r="P68" s="35"/>
      <c r="Q68" s="35"/>
      <c r="R68" s="187"/>
      <c r="S68" s="100">
        <v>0.02</v>
      </c>
      <c r="T68" s="100">
        <v>6.75</v>
      </c>
      <c r="U68" s="100">
        <v>1.5</v>
      </c>
      <c r="V68" s="101">
        <v>0.5</v>
      </c>
      <c r="W68" s="44" t="s">
        <v>856</v>
      </c>
      <c r="X68" s="33" t="s">
        <v>856</v>
      </c>
      <c r="Y68" s="33" t="s">
        <v>856</v>
      </c>
      <c r="Z68" s="70" t="s">
        <v>856</v>
      </c>
      <c r="AA68" s="44">
        <v>6.35</v>
      </c>
      <c r="AB68" s="33">
        <v>6.5</v>
      </c>
      <c r="AC68" s="33">
        <v>6.5</v>
      </c>
      <c r="AD68" s="70">
        <v>14.25</v>
      </c>
      <c r="AE68" s="33">
        <f t="shared" si="1"/>
        <v>0.3484157986111111</v>
      </c>
      <c r="AF68" s="37" t="s">
        <v>163</v>
      </c>
      <c r="AG68" s="37" t="s">
        <v>871</v>
      </c>
      <c r="AH68" s="37" t="s">
        <v>86</v>
      </c>
      <c r="AI68" s="40" t="s">
        <v>87</v>
      </c>
      <c r="AJ68" s="40" t="s">
        <v>51</v>
      </c>
      <c r="AK68" s="40"/>
      <c r="AL68" s="40"/>
      <c r="AM68" s="40"/>
      <c r="AN68" s="18" t="s">
        <v>110</v>
      </c>
      <c r="AO68" s="94" t="s">
        <v>520</v>
      </c>
    </row>
    <row r="69" spans="1:42" s="18" customFormat="1" ht="14.25" customHeight="1" x14ac:dyDescent="0.2">
      <c r="A69" s="18" t="s">
        <v>510</v>
      </c>
      <c r="B69" s="33" t="s">
        <v>537</v>
      </c>
      <c r="C69" s="33" t="s">
        <v>76</v>
      </c>
      <c r="D69" s="34" t="s">
        <v>103</v>
      </c>
      <c r="E69" s="33" t="s">
        <v>76</v>
      </c>
      <c r="F69" s="33"/>
      <c r="G69" s="77">
        <v>7331423000135</v>
      </c>
      <c r="H69" s="77"/>
      <c r="I69" s="77"/>
      <c r="J69" s="36" t="s">
        <v>568</v>
      </c>
      <c r="K69" s="36" t="s">
        <v>977</v>
      </c>
      <c r="L69" s="5">
        <v>2.99</v>
      </c>
      <c r="M69" s="35">
        <v>1</v>
      </c>
      <c r="N69" s="35">
        <v>1</v>
      </c>
      <c r="O69" s="345"/>
      <c r="P69" s="35"/>
      <c r="Q69" s="35"/>
      <c r="R69" s="187"/>
      <c r="S69" s="100">
        <v>0.02</v>
      </c>
      <c r="T69" s="100">
        <v>6.75</v>
      </c>
      <c r="U69" s="100">
        <v>1.5</v>
      </c>
      <c r="V69" s="101">
        <v>0.5</v>
      </c>
      <c r="W69" s="44" t="s">
        <v>856</v>
      </c>
      <c r="X69" s="33" t="s">
        <v>856</v>
      </c>
      <c r="Y69" s="33" t="s">
        <v>856</v>
      </c>
      <c r="Z69" s="70" t="s">
        <v>856</v>
      </c>
      <c r="AA69" s="44">
        <v>6.35</v>
      </c>
      <c r="AB69" s="33">
        <v>6.5</v>
      </c>
      <c r="AC69" s="33">
        <v>6.5</v>
      </c>
      <c r="AD69" s="70">
        <v>14.25</v>
      </c>
      <c r="AE69" s="33">
        <f t="shared" si="1"/>
        <v>0.3484157986111111</v>
      </c>
      <c r="AF69" s="37" t="s">
        <v>163</v>
      </c>
      <c r="AG69" s="37" t="s">
        <v>872</v>
      </c>
      <c r="AH69" s="37" t="s">
        <v>86</v>
      </c>
      <c r="AI69" s="40" t="s">
        <v>87</v>
      </c>
      <c r="AJ69" s="40" t="s">
        <v>51</v>
      </c>
      <c r="AK69" s="40"/>
      <c r="AL69" s="40"/>
      <c r="AM69" s="40"/>
      <c r="AN69" s="18" t="s">
        <v>110</v>
      </c>
      <c r="AO69" s="94" t="s">
        <v>520</v>
      </c>
    </row>
    <row r="70" spans="1:42" s="18" customFormat="1" ht="14.25" customHeight="1" x14ac:dyDescent="0.2">
      <c r="A70" s="18" t="s">
        <v>510</v>
      </c>
      <c r="B70" s="33" t="s">
        <v>537</v>
      </c>
      <c r="C70" s="33" t="s">
        <v>70</v>
      </c>
      <c r="D70" s="34" t="s">
        <v>73</v>
      </c>
      <c r="E70" s="33" t="s">
        <v>70</v>
      </c>
      <c r="F70" s="33"/>
      <c r="G70" s="77">
        <v>7331423000128</v>
      </c>
      <c r="H70" s="77"/>
      <c r="I70" s="77"/>
      <c r="J70" s="36" t="s">
        <v>568</v>
      </c>
      <c r="K70" s="36" t="s">
        <v>977</v>
      </c>
      <c r="L70" s="5">
        <v>2.99</v>
      </c>
      <c r="M70" s="35">
        <v>1</v>
      </c>
      <c r="N70" s="35">
        <v>1</v>
      </c>
      <c r="O70" s="345"/>
      <c r="P70" s="35"/>
      <c r="Q70" s="35"/>
      <c r="R70" s="187"/>
      <c r="S70" s="100">
        <v>0.02</v>
      </c>
      <c r="T70" s="100">
        <v>6.75</v>
      </c>
      <c r="U70" s="100">
        <v>1.5</v>
      </c>
      <c r="V70" s="101">
        <v>0.5</v>
      </c>
      <c r="W70" s="44" t="s">
        <v>856</v>
      </c>
      <c r="X70" s="33" t="s">
        <v>856</v>
      </c>
      <c r="Y70" s="33" t="s">
        <v>856</v>
      </c>
      <c r="Z70" s="70" t="s">
        <v>856</v>
      </c>
      <c r="AA70" s="44">
        <v>6.35</v>
      </c>
      <c r="AB70" s="33">
        <v>6.5</v>
      </c>
      <c r="AC70" s="33">
        <v>6.5</v>
      </c>
      <c r="AD70" s="70">
        <v>14.25</v>
      </c>
      <c r="AE70" s="33">
        <f t="shared" si="1"/>
        <v>0.3484157986111111</v>
      </c>
      <c r="AF70" s="37" t="s">
        <v>163</v>
      </c>
      <c r="AG70" s="37" t="s">
        <v>872</v>
      </c>
      <c r="AH70" s="37" t="s">
        <v>86</v>
      </c>
      <c r="AI70" s="40" t="s">
        <v>87</v>
      </c>
      <c r="AJ70" s="40" t="s">
        <v>51</v>
      </c>
      <c r="AK70" s="40"/>
      <c r="AL70" s="40"/>
      <c r="AM70" s="40"/>
      <c r="AN70" s="18" t="s">
        <v>110</v>
      </c>
      <c r="AO70" s="94" t="s">
        <v>520</v>
      </c>
    </row>
    <row r="71" spans="1:42" s="18" customFormat="1" ht="14.25" customHeight="1" x14ac:dyDescent="0.2">
      <c r="A71" s="18" t="s">
        <v>510</v>
      </c>
      <c r="B71" s="33" t="s">
        <v>537</v>
      </c>
      <c r="C71" s="33" t="s">
        <v>71</v>
      </c>
      <c r="D71" s="34" t="s">
        <v>72</v>
      </c>
      <c r="E71" s="33" t="s">
        <v>71</v>
      </c>
      <c r="F71" s="33"/>
      <c r="G71" s="77">
        <v>7331423000906</v>
      </c>
      <c r="H71" s="77"/>
      <c r="I71" s="77"/>
      <c r="J71" s="36" t="s">
        <v>568</v>
      </c>
      <c r="K71" s="36" t="s">
        <v>977</v>
      </c>
      <c r="L71" s="5">
        <v>2.99</v>
      </c>
      <c r="M71" s="35">
        <v>1</v>
      </c>
      <c r="N71" s="35">
        <v>1</v>
      </c>
      <c r="O71" s="345"/>
      <c r="P71" s="35"/>
      <c r="Q71" s="35"/>
      <c r="R71" s="187"/>
      <c r="S71" s="100">
        <v>0.02</v>
      </c>
      <c r="T71" s="100">
        <v>6.75</v>
      </c>
      <c r="U71" s="100">
        <v>1.5</v>
      </c>
      <c r="V71" s="101">
        <v>0.5</v>
      </c>
      <c r="W71" s="44" t="s">
        <v>856</v>
      </c>
      <c r="X71" s="33" t="s">
        <v>856</v>
      </c>
      <c r="Y71" s="33" t="s">
        <v>856</v>
      </c>
      <c r="Z71" s="70" t="s">
        <v>856</v>
      </c>
      <c r="AA71" s="44">
        <v>6.35</v>
      </c>
      <c r="AB71" s="33">
        <v>6.5</v>
      </c>
      <c r="AC71" s="33">
        <v>6.5</v>
      </c>
      <c r="AD71" s="70">
        <v>14.25</v>
      </c>
      <c r="AE71" s="33">
        <f t="shared" si="1"/>
        <v>0.3484157986111111</v>
      </c>
      <c r="AF71" s="37" t="s">
        <v>163</v>
      </c>
      <c r="AG71" s="37" t="s">
        <v>872</v>
      </c>
      <c r="AH71" s="37" t="s">
        <v>86</v>
      </c>
      <c r="AI71" s="40" t="s">
        <v>87</v>
      </c>
      <c r="AJ71" s="40" t="s">
        <v>51</v>
      </c>
      <c r="AK71" s="40"/>
      <c r="AL71" s="40"/>
      <c r="AM71" s="40"/>
      <c r="AN71" s="18" t="s">
        <v>110</v>
      </c>
      <c r="AO71" s="94" t="s">
        <v>520</v>
      </c>
    </row>
    <row r="72" spans="1:42" s="18" customFormat="1" ht="14.25" customHeight="1" x14ac:dyDescent="0.2">
      <c r="A72" s="18" t="s">
        <v>510</v>
      </c>
      <c r="B72" s="33" t="s">
        <v>537</v>
      </c>
      <c r="C72" s="33" t="s">
        <v>69</v>
      </c>
      <c r="D72" s="34" t="s">
        <v>68</v>
      </c>
      <c r="E72" s="18" t="s">
        <v>67</v>
      </c>
      <c r="G72" s="77">
        <v>7331423001712</v>
      </c>
      <c r="H72" s="77"/>
      <c r="I72" s="77"/>
      <c r="J72" s="36" t="s">
        <v>568</v>
      </c>
      <c r="K72" s="36" t="s">
        <v>977</v>
      </c>
      <c r="L72" s="5">
        <v>2.99</v>
      </c>
      <c r="M72" s="35">
        <v>1</v>
      </c>
      <c r="N72" s="35">
        <v>1</v>
      </c>
      <c r="O72" s="345"/>
      <c r="P72" s="35"/>
      <c r="Q72" s="35"/>
      <c r="R72" s="187"/>
      <c r="S72" s="100">
        <v>0.02</v>
      </c>
      <c r="T72" s="100">
        <v>6.75</v>
      </c>
      <c r="U72" s="100">
        <v>1.5</v>
      </c>
      <c r="V72" s="101">
        <v>0.5</v>
      </c>
      <c r="W72" s="44" t="s">
        <v>856</v>
      </c>
      <c r="X72" s="33" t="s">
        <v>856</v>
      </c>
      <c r="Y72" s="33" t="s">
        <v>856</v>
      </c>
      <c r="Z72" s="70" t="s">
        <v>856</v>
      </c>
      <c r="AA72" s="44">
        <v>6.35</v>
      </c>
      <c r="AB72" s="33">
        <v>6.5</v>
      </c>
      <c r="AC72" s="33">
        <v>6.5</v>
      </c>
      <c r="AD72" s="70">
        <v>14.25</v>
      </c>
      <c r="AE72" s="33">
        <f t="shared" si="1"/>
        <v>0.3484157986111111</v>
      </c>
      <c r="AF72" s="37" t="s">
        <v>163</v>
      </c>
      <c r="AG72" s="37" t="s">
        <v>872</v>
      </c>
      <c r="AH72" s="37" t="s">
        <v>86</v>
      </c>
      <c r="AI72" s="40" t="s">
        <v>87</v>
      </c>
      <c r="AJ72" s="40" t="s">
        <v>51</v>
      </c>
      <c r="AK72" s="40"/>
      <c r="AL72" s="40"/>
      <c r="AM72" s="40"/>
      <c r="AN72" s="18" t="s">
        <v>110</v>
      </c>
      <c r="AO72" s="94" t="s">
        <v>520</v>
      </c>
    </row>
    <row r="73" spans="1:42" s="18" customFormat="1" x14ac:dyDescent="0.2">
      <c r="A73" s="18" t="s">
        <v>510</v>
      </c>
      <c r="B73" s="33" t="s">
        <v>589</v>
      </c>
      <c r="C73" s="33" t="s">
        <v>655</v>
      </c>
      <c r="D73" s="34" t="s">
        <v>104</v>
      </c>
      <c r="E73" s="18" t="s">
        <v>623</v>
      </c>
      <c r="G73" s="77">
        <v>7331423002597</v>
      </c>
      <c r="H73" s="77"/>
      <c r="I73" s="77"/>
      <c r="J73" s="36" t="s">
        <v>568</v>
      </c>
      <c r="K73" s="36" t="s">
        <v>977</v>
      </c>
      <c r="L73" s="5">
        <v>2.99</v>
      </c>
      <c r="M73" s="35">
        <v>1</v>
      </c>
      <c r="N73" s="35">
        <v>1</v>
      </c>
      <c r="O73" s="345"/>
      <c r="P73" s="35"/>
      <c r="Q73" s="35"/>
      <c r="R73" s="187"/>
      <c r="S73" s="100">
        <v>0.02</v>
      </c>
      <c r="T73" s="100">
        <v>6.75</v>
      </c>
      <c r="U73" s="100">
        <v>1.5</v>
      </c>
      <c r="V73" s="101">
        <v>0.5</v>
      </c>
      <c r="W73" s="44" t="s">
        <v>856</v>
      </c>
      <c r="X73" s="33" t="s">
        <v>856</v>
      </c>
      <c r="Y73" s="33" t="s">
        <v>856</v>
      </c>
      <c r="Z73" s="70" t="s">
        <v>856</v>
      </c>
      <c r="AA73" s="44">
        <v>2</v>
      </c>
      <c r="AB73" s="33">
        <v>4.5</v>
      </c>
      <c r="AC73" s="33">
        <v>4.5</v>
      </c>
      <c r="AD73" s="70">
        <v>9</v>
      </c>
      <c r="AE73" s="33">
        <f t="shared" si="1"/>
        <v>0.10546875</v>
      </c>
      <c r="AF73" s="37" t="s">
        <v>95</v>
      </c>
      <c r="AG73" s="37" t="s">
        <v>872</v>
      </c>
      <c r="AH73" s="37" t="s">
        <v>86</v>
      </c>
      <c r="AI73" s="40" t="s">
        <v>87</v>
      </c>
      <c r="AJ73" s="40"/>
      <c r="AK73" s="40"/>
      <c r="AL73" s="40"/>
      <c r="AM73" s="40"/>
      <c r="AN73" s="18" t="s">
        <v>96</v>
      </c>
      <c r="AO73" s="94" t="s">
        <v>520</v>
      </c>
    </row>
    <row r="74" spans="1:42" s="18" customFormat="1" x14ac:dyDescent="0.2">
      <c r="A74" s="18" t="s">
        <v>510</v>
      </c>
      <c r="B74" s="33" t="s">
        <v>589</v>
      </c>
      <c r="C74" s="33" t="s">
        <v>67</v>
      </c>
      <c r="D74" s="34" t="s">
        <v>74</v>
      </c>
      <c r="E74" s="18" t="s">
        <v>67</v>
      </c>
      <c r="G74" s="77">
        <v>7331423002603</v>
      </c>
      <c r="H74" s="77"/>
      <c r="I74" s="77"/>
      <c r="J74" s="36" t="s">
        <v>568</v>
      </c>
      <c r="K74" s="36" t="s">
        <v>977</v>
      </c>
      <c r="L74" s="5">
        <v>2.99</v>
      </c>
      <c r="M74" s="35">
        <v>1</v>
      </c>
      <c r="N74" s="35">
        <v>1</v>
      </c>
      <c r="O74" s="345"/>
      <c r="P74" s="35"/>
      <c r="Q74" s="35"/>
      <c r="R74" s="187"/>
      <c r="S74" s="100">
        <v>0.02</v>
      </c>
      <c r="T74" s="100">
        <v>6.75</v>
      </c>
      <c r="U74" s="100">
        <v>1.5</v>
      </c>
      <c r="V74" s="101">
        <v>0.5</v>
      </c>
      <c r="W74" s="44" t="s">
        <v>856</v>
      </c>
      <c r="X74" s="33" t="s">
        <v>856</v>
      </c>
      <c r="Y74" s="33" t="s">
        <v>856</v>
      </c>
      <c r="Z74" s="70" t="s">
        <v>856</v>
      </c>
      <c r="AA74" s="44">
        <v>2</v>
      </c>
      <c r="AB74" s="33">
        <v>4.5</v>
      </c>
      <c r="AC74" s="33">
        <v>4.5</v>
      </c>
      <c r="AD74" s="70">
        <v>9</v>
      </c>
      <c r="AE74" s="33">
        <f t="shared" si="1"/>
        <v>0.10546875</v>
      </c>
      <c r="AF74" s="37" t="s">
        <v>95</v>
      </c>
      <c r="AG74" s="37" t="s">
        <v>872</v>
      </c>
      <c r="AH74" s="37" t="s">
        <v>86</v>
      </c>
      <c r="AI74" s="40" t="s">
        <v>87</v>
      </c>
      <c r="AJ74" s="40"/>
      <c r="AK74" s="40"/>
      <c r="AL74" s="40"/>
      <c r="AM74" s="40"/>
      <c r="AN74" s="18" t="s">
        <v>96</v>
      </c>
      <c r="AO74" s="94" t="s">
        <v>520</v>
      </c>
    </row>
    <row r="75" spans="1:42" s="18" customFormat="1" x14ac:dyDescent="0.2">
      <c r="A75" s="18" t="s">
        <v>510</v>
      </c>
      <c r="B75" s="19" t="s">
        <v>81</v>
      </c>
      <c r="C75" s="19" t="s">
        <v>1032</v>
      </c>
      <c r="D75" s="19" t="s">
        <v>1033</v>
      </c>
      <c r="E75" s="19" t="s">
        <v>1032</v>
      </c>
      <c r="F75" s="19"/>
      <c r="G75" s="77">
        <v>7331423003068</v>
      </c>
      <c r="H75" s="77"/>
      <c r="I75" s="77"/>
      <c r="J75" s="36" t="s">
        <v>568</v>
      </c>
      <c r="K75" s="36" t="s">
        <v>977</v>
      </c>
      <c r="L75" s="5">
        <v>5.99</v>
      </c>
      <c r="M75" s="35">
        <v>24</v>
      </c>
      <c r="N75" s="35">
        <v>144</v>
      </c>
      <c r="O75" s="345"/>
      <c r="P75" s="35"/>
      <c r="Q75" s="35"/>
      <c r="R75" s="187"/>
      <c r="S75" s="33">
        <v>0.06</v>
      </c>
      <c r="T75" s="100">
        <v>8</v>
      </c>
      <c r="U75" s="100">
        <v>2.5</v>
      </c>
      <c r="V75" s="101">
        <v>0.75</v>
      </c>
      <c r="W75" s="44">
        <v>1.62</v>
      </c>
      <c r="X75" s="100">
        <v>8</v>
      </c>
      <c r="Y75" s="100">
        <v>4.25</v>
      </c>
      <c r="Z75" s="101">
        <v>7.5</v>
      </c>
      <c r="AA75" s="44">
        <v>11</v>
      </c>
      <c r="AB75" s="33">
        <v>16</v>
      </c>
      <c r="AC75" s="33">
        <v>14</v>
      </c>
      <c r="AD75" s="70">
        <v>9</v>
      </c>
      <c r="AE75" s="33">
        <f t="shared" si="1"/>
        <v>1.1666666666666667</v>
      </c>
      <c r="AF75" s="37" t="s">
        <v>84</v>
      </c>
      <c r="AG75" s="18" t="s">
        <v>239</v>
      </c>
      <c r="AH75" s="37" t="s">
        <v>873</v>
      </c>
      <c r="AI75" s="37" t="s">
        <v>478</v>
      </c>
      <c r="AJ75" s="37" t="s">
        <v>85</v>
      </c>
      <c r="AK75" s="37"/>
      <c r="AL75" s="37"/>
      <c r="AM75" s="37"/>
      <c r="AN75" s="12" t="s">
        <v>409</v>
      </c>
      <c r="AO75" s="94" t="s">
        <v>520</v>
      </c>
      <c r="AP75" s="13"/>
    </row>
    <row r="76" spans="1:42" s="18" customFormat="1" x14ac:dyDescent="0.2">
      <c r="A76" s="18" t="s">
        <v>510</v>
      </c>
      <c r="B76" s="19" t="s">
        <v>81</v>
      </c>
      <c r="C76" s="19" t="s">
        <v>1034</v>
      </c>
      <c r="D76" s="19" t="s">
        <v>1035</v>
      </c>
      <c r="E76" s="19" t="s">
        <v>1034</v>
      </c>
      <c r="F76" s="19"/>
      <c r="G76" s="77">
        <v>7331423006151</v>
      </c>
      <c r="H76" s="77"/>
      <c r="I76" s="77"/>
      <c r="J76" s="36" t="s">
        <v>568</v>
      </c>
      <c r="K76" s="36" t="s">
        <v>977</v>
      </c>
      <c r="L76" s="5">
        <v>5.99</v>
      </c>
      <c r="M76" s="35">
        <v>24</v>
      </c>
      <c r="N76" s="35">
        <v>144</v>
      </c>
      <c r="O76" s="345"/>
      <c r="P76" s="35"/>
      <c r="Q76" s="35"/>
      <c r="R76" s="187"/>
      <c r="S76" s="33">
        <v>0.06</v>
      </c>
      <c r="T76" s="100">
        <v>8</v>
      </c>
      <c r="U76" s="100">
        <v>2.5</v>
      </c>
      <c r="V76" s="101">
        <v>0.75</v>
      </c>
      <c r="W76" s="44">
        <v>1.62</v>
      </c>
      <c r="X76" s="100">
        <v>8</v>
      </c>
      <c r="Y76" s="100">
        <v>4.25</v>
      </c>
      <c r="Z76" s="101">
        <v>7.5</v>
      </c>
      <c r="AA76" s="44">
        <v>11</v>
      </c>
      <c r="AB76" s="33">
        <v>16</v>
      </c>
      <c r="AC76" s="33">
        <v>14</v>
      </c>
      <c r="AD76" s="70">
        <v>9</v>
      </c>
      <c r="AE76" s="33">
        <f t="shared" si="1"/>
        <v>1.1666666666666667</v>
      </c>
      <c r="AF76" s="37" t="s">
        <v>84</v>
      </c>
      <c r="AG76" s="18" t="s">
        <v>239</v>
      </c>
      <c r="AH76" s="37" t="s">
        <v>873</v>
      </c>
      <c r="AI76" s="37" t="s">
        <v>478</v>
      </c>
      <c r="AJ76" s="37" t="s">
        <v>85</v>
      </c>
      <c r="AK76" s="37"/>
      <c r="AL76" s="37"/>
      <c r="AM76" s="37"/>
      <c r="AN76" s="12" t="s">
        <v>409</v>
      </c>
      <c r="AO76" s="94" t="s">
        <v>520</v>
      </c>
      <c r="AP76" s="13"/>
    </row>
    <row r="77" spans="1:42" s="18" customFormat="1" x14ac:dyDescent="0.2">
      <c r="A77" s="18" t="s">
        <v>510</v>
      </c>
      <c r="B77" s="19" t="s">
        <v>713</v>
      </c>
      <c r="C77" s="19" t="s">
        <v>245</v>
      </c>
      <c r="D77" s="19" t="s">
        <v>721</v>
      </c>
      <c r="E77" s="19" t="s">
        <v>245</v>
      </c>
      <c r="F77" s="19"/>
      <c r="G77" s="77">
        <v>7331423004829</v>
      </c>
      <c r="H77" s="77"/>
      <c r="I77" s="77"/>
      <c r="J77" s="36" t="s">
        <v>568</v>
      </c>
      <c r="K77" s="36" t="s">
        <v>977</v>
      </c>
      <c r="L77" s="5">
        <v>6.99</v>
      </c>
      <c r="M77" s="35">
        <v>24</v>
      </c>
      <c r="N77" s="35">
        <v>144</v>
      </c>
      <c r="O77" s="345"/>
      <c r="P77" s="35"/>
      <c r="Q77" s="35"/>
      <c r="R77" s="187"/>
      <c r="S77" s="33">
        <v>7.6999999999999999E-2</v>
      </c>
      <c r="T77" s="33">
        <v>2.5</v>
      </c>
      <c r="U77" s="33">
        <v>1</v>
      </c>
      <c r="V77" s="70">
        <v>8.25</v>
      </c>
      <c r="W77" s="44">
        <v>1.9</v>
      </c>
      <c r="X77" s="100">
        <v>5</v>
      </c>
      <c r="Y77" s="100">
        <v>9</v>
      </c>
      <c r="Z77" s="101">
        <v>8.25</v>
      </c>
      <c r="AA77" s="44">
        <v>12.3</v>
      </c>
      <c r="AB77" s="33">
        <v>9.25</v>
      </c>
      <c r="AC77" s="33">
        <v>15.25</v>
      </c>
      <c r="AD77" s="70">
        <v>18</v>
      </c>
      <c r="AE77" s="33">
        <f t="shared" si="1"/>
        <v>1.4694010416666667</v>
      </c>
      <c r="AF77" s="18" t="s">
        <v>719</v>
      </c>
      <c r="AG77" s="37" t="s">
        <v>715</v>
      </c>
      <c r="AH77" s="18" t="s">
        <v>716</v>
      </c>
      <c r="AI77" s="37" t="s">
        <v>717</v>
      </c>
      <c r="AJ77" s="18" t="s">
        <v>272</v>
      </c>
      <c r="AN77" s="12" t="s">
        <v>718</v>
      </c>
      <c r="AO77" s="94" t="s">
        <v>520</v>
      </c>
      <c r="AP77" s="13"/>
    </row>
    <row r="78" spans="1:42" s="18" customFormat="1" x14ac:dyDescent="0.2">
      <c r="A78" s="18" t="s">
        <v>510</v>
      </c>
      <c r="B78" s="19" t="s">
        <v>713</v>
      </c>
      <c r="C78" s="19" t="s">
        <v>383</v>
      </c>
      <c r="D78" s="19" t="s">
        <v>722</v>
      </c>
      <c r="E78" s="19" t="s">
        <v>383</v>
      </c>
      <c r="F78" s="19"/>
      <c r="G78" s="77">
        <v>7331423004744</v>
      </c>
      <c r="H78" s="77"/>
      <c r="I78" s="77"/>
      <c r="J78" s="36" t="s">
        <v>568</v>
      </c>
      <c r="K78" s="36" t="s">
        <v>977</v>
      </c>
      <c r="L78" s="5">
        <v>6.99</v>
      </c>
      <c r="M78" s="35">
        <v>24</v>
      </c>
      <c r="N78" s="35">
        <v>144</v>
      </c>
      <c r="O78" s="345"/>
      <c r="P78" s="35"/>
      <c r="Q78" s="35"/>
      <c r="R78" s="187"/>
      <c r="S78" s="33">
        <v>7.6999999999999999E-2</v>
      </c>
      <c r="T78" s="33">
        <v>2.5</v>
      </c>
      <c r="U78" s="33">
        <v>1</v>
      </c>
      <c r="V78" s="70">
        <v>8.25</v>
      </c>
      <c r="W78" s="44">
        <v>1.9</v>
      </c>
      <c r="X78" s="100">
        <v>5</v>
      </c>
      <c r="Y78" s="100">
        <v>9</v>
      </c>
      <c r="Z78" s="101">
        <v>8.25</v>
      </c>
      <c r="AA78" s="44">
        <v>12.3</v>
      </c>
      <c r="AB78" s="33">
        <v>9.25</v>
      </c>
      <c r="AC78" s="33">
        <v>15.25</v>
      </c>
      <c r="AD78" s="70">
        <v>18</v>
      </c>
      <c r="AE78" s="33">
        <f t="shared" si="1"/>
        <v>1.4694010416666667</v>
      </c>
      <c r="AF78" s="18" t="s">
        <v>719</v>
      </c>
      <c r="AG78" s="37" t="s">
        <v>715</v>
      </c>
      <c r="AH78" s="18" t="s">
        <v>716</v>
      </c>
      <c r="AI78" s="37" t="s">
        <v>717</v>
      </c>
      <c r="AJ78" s="18" t="s">
        <v>272</v>
      </c>
      <c r="AN78" s="12" t="s">
        <v>718</v>
      </c>
      <c r="AO78" s="94" t="s">
        <v>520</v>
      </c>
      <c r="AP78" s="13"/>
    </row>
    <row r="79" spans="1:42" s="18" customFormat="1" x14ac:dyDescent="0.2">
      <c r="A79" s="18" t="s">
        <v>510</v>
      </c>
      <c r="B79" s="19" t="s">
        <v>713</v>
      </c>
      <c r="C79" s="19" t="s">
        <v>343</v>
      </c>
      <c r="D79" s="19" t="s">
        <v>723</v>
      </c>
      <c r="E79" s="19" t="s">
        <v>485</v>
      </c>
      <c r="F79" s="19"/>
      <c r="G79" s="77">
        <v>7331423004751</v>
      </c>
      <c r="H79" s="77"/>
      <c r="I79" s="77"/>
      <c r="J79" s="36" t="s">
        <v>568</v>
      </c>
      <c r="K79" s="36" t="s">
        <v>977</v>
      </c>
      <c r="L79" s="5">
        <v>6.99</v>
      </c>
      <c r="M79" s="35">
        <v>24</v>
      </c>
      <c r="N79" s="35">
        <v>144</v>
      </c>
      <c r="O79" s="345"/>
      <c r="P79" s="35"/>
      <c r="Q79" s="35"/>
      <c r="R79" s="187"/>
      <c r="S79" s="33">
        <v>7.6999999999999999E-2</v>
      </c>
      <c r="T79" s="33">
        <v>2.5</v>
      </c>
      <c r="U79" s="33">
        <v>1</v>
      </c>
      <c r="V79" s="70">
        <v>8.25</v>
      </c>
      <c r="W79" s="44">
        <v>1.9</v>
      </c>
      <c r="X79" s="100">
        <v>5</v>
      </c>
      <c r="Y79" s="100">
        <v>9</v>
      </c>
      <c r="Z79" s="101">
        <v>8.25</v>
      </c>
      <c r="AA79" s="44">
        <v>12.3</v>
      </c>
      <c r="AB79" s="33">
        <v>9.25</v>
      </c>
      <c r="AC79" s="33">
        <v>15.25</v>
      </c>
      <c r="AD79" s="70">
        <v>18</v>
      </c>
      <c r="AE79" s="33">
        <f t="shared" si="1"/>
        <v>1.4694010416666667</v>
      </c>
      <c r="AF79" s="18" t="s">
        <v>719</v>
      </c>
      <c r="AG79" s="37" t="s">
        <v>715</v>
      </c>
      <c r="AH79" s="18" t="s">
        <v>716</v>
      </c>
      <c r="AI79" s="37" t="s">
        <v>717</v>
      </c>
      <c r="AJ79" s="18" t="s">
        <v>272</v>
      </c>
      <c r="AN79" s="12" t="s">
        <v>718</v>
      </c>
      <c r="AO79" s="94" t="s">
        <v>520</v>
      </c>
      <c r="AP79" s="13"/>
    </row>
    <row r="80" spans="1:42" s="18" customFormat="1" x14ac:dyDescent="0.2">
      <c r="A80" s="18" t="s">
        <v>510</v>
      </c>
      <c r="B80" s="19" t="s">
        <v>713</v>
      </c>
      <c r="C80" s="19" t="s">
        <v>369</v>
      </c>
      <c r="D80" s="19" t="s">
        <v>724</v>
      </c>
      <c r="E80" s="19" t="s">
        <v>369</v>
      </c>
      <c r="F80" s="19"/>
      <c r="G80" s="77">
        <v>7331423004768</v>
      </c>
      <c r="H80" s="77"/>
      <c r="I80" s="77"/>
      <c r="J80" s="36" t="s">
        <v>568</v>
      </c>
      <c r="K80" s="36" t="s">
        <v>977</v>
      </c>
      <c r="L80" s="5">
        <v>6.99</v>
      </c>
      <c r="M80" s="35">
        <v>24</v>
      </c>
      <c r="N80" s="35">
        <v>144</v>
      </c>
      <c r="O80" s="345"/>
      <c r="P80" s="35"/>
      <c r="Q80" s="35"/>
      <c r="R80" s="187"/>
      <c r="S80" s="33">
        <v>7.6999999999999999E-2</v>
      </c>
      <c r="T80" s="33">
        <v>2.5</v>
      </c>
      <c r="U80" s="33">
        <v>1</v>
      </c>
      <c r="V80" s="70">
        <v>8.25</v>
      </c>
      <c r="W80" s="44">
        <v>1.9</v>
      </c>
      <c r="X80" s="100">
        <v>5</v>
      </c>
      <c r="Y80" s="100">
        <v>9</v>
      </c>
      <c r="Z80" s="101">
        <v>8.25</v>
      </c>
      <c r="AA80" s="44">
        <v>12.3</v>
      </c>
      <c r="AB80" s="33">
        <v>9.25</v>
      </c>
      <c r="AC80" s="33">
        <v>15.25</v>
      </c>
      <c r="AD80" s="70">
        <v>18</v>
      </c>
      <c r="AE80" s="33">
        <f t="shared" si="1"/>
        <v>1.4694010416666667</v>
      </c>
      <c r="AF80" s="18" t="s">
        <v>719</v>
      </c>
      <c r="AG80" s="37" t="s">
        <v>715</v>
      </c>
      <c r="AH80" s="18" t="s">
        <v>716</v>
      </c>
      <c r="AI80" s="37" t="s">
        <v>717</v>
      </c>
      <c r="AJ80" s="18" t="s">
        <v>272</v>
      </c>
      <c r="AN80" s="12" t="s">
        <v>718</v>
      </c>
      <c r="AO80" s="94" t="s">
        <v>520</v>
      </c>
      <c r="AP80" s="13"/>
    </row>
    <row r="81" spans="1:42" s="18" customFormat="1" x14ac:dyDescent="0.2">
      <c r="A81" s="18" t="s">
        <v>510</v>
      </c>
      <c r="B81" s="19" t="s">
        <v>713</v>
      </c>
      <c r="C81" s="19" t="s">
        <v>372</v>
      </c>
      <c r="D81" s="19" t="s">
        <v>725</v>
      </c>
      <c r="E81" s="19" t="s">
        <v>372</v>
      </c>
      <c r="F81" s="19"/>
      <c r="G81" s="77">
        <v>7331423004775</v>
      </c>
      <c r="H81" s="77"/>
      <c r="I81" s="77"/>
      <c r="J81" s="36" t="s">
        <v>568</v>
      </c>
      <c r="K81" s="36" t="s">
        <v>977</v>
      </c>
      <c r="L81" s="5">
        <v>6.99</v>
      </c>
      <c r="M81" s="35">
        <v>24</v>
      </c>
      <c r="N81" s="35">
        <v>144</v>
      </c>
      <c r="O81" s="345"/>
      <c r="P81" s="35"/>
      <c r="Q81" s="35"/>
      <c r="R81" s="187"/>
      <c r="S81" s="33">
        <v>7.6999999999999999E-2</v>
      </c>
      <c r="T81" s="33">
        <v>2.5</v>
      </c>
      <c r="U81" s="33">
        <v>1</v>
      </c>
      <c r="V81" s="70">
        <v>8.25</v>
      </c>
      <c r="W81" s="44">
        <v>1.9</v>
      </c>
      <c r="X81" s="100">
        <v>5</v>
      </c>
      <c r="Y81" s="100">
        <v>9</v>
      </c>
      <c r="Z81" s="101">
        <v>8.25</v>
      </c>
      <c r="AA81" s="44">
        <v>12.3</v>
      </c>
      <c r="AB81" s="33">
        <v>9.25</v>
      </c>
      <c r="AC81" s="33">
        <v>15.25</v>
      </c>
      <c r="AD81" s="70">
        <v>18</v>
      </c>
      <c r="AE81" s="33">
        <f t="shared" si="1"/>
        <v>1.4694010416666667</v>
      </c>
      <c r="AF81" s="18" t="s">
        <v>719</v>
      </c>
      <c r="AG81" s="37" t="s">
        <v>715</v>
      </c>
      <c r="AH81" s="18" t="s">
        <v>716</v>
      </c>
      <c r="AI81" s="37" t="s">
        <v>717</v>
      </c>
      <c r="AJ81" s="18" t="s">
        <v>272</v>
      </c>
      <c r="AN81" s="12" t="s">
        <v>718</v>
      </c>
      <c r="AO81" s="94" t="s">
        <v>520</v>
      </c>
      <c r="AP81" s="13"/>
    </row>
    <row r="82" spans="1:42" s="18" customFormat="1" x14ac:dyDescent="0.2">
      <c r="A82" s="18" t="s">
        <v>510</v>
      </c>
      <c r="B82" s="19" t="s">
        <v>713</v>
      </c>
      <c r="C82" s="18" t="s">
        <v>371</v>
      </c>
      <c r="D82" s="19" t="s">
        <v>726</v>
      </c>
      <c r="E82" s="18" t="s">
        <v>371</v>
      </c>
      <c r="G82" s="77">
        <v>7331423004782</v>
      </c>
      <c r="H82" s="77"/>
      <c r="I82" s="77"/>
      <c r="J82" s="36" t="s">
        <v>568</v>
      </c>
      <c r="K82" s="36" t="s">
        <v>977</v>
      </c>
      <c r="L82" s="5">
        <v>6.99</v>
      </c>
      <c r="M82" s="35">
        <v>24</v>
      </c>
      <c r="N82" s="35">
        <v>144</v>
      </c>
      <c r="O82" s="345"/>
      <c r="P82" s="35"/>
      <c r="Q82" s="35"/>
      <c r="R82" s="187"/>
      <c r="S82" s="33">
        <v>7.6999999999999999E-2</v>
      </c>
      <c r="T82" s="33">
        <v>2.5</v>
      </c>
      <c r="U82" s="33">
        <v>1</v>
      </c>
      <c r="V82" s="70">
        <v>8.25</v>
      </c>
      <c r="W82" s="44">
        <v>1.9</v>
      </c>
      <c r="X82" s="100">
        <v>5</v>
      </c>
      <c r="Y82" s="100">
        <v>9</v>
      </c>
      <c r="Z82" s="101">
        <v>8.25</v>
      </c>
      <c r="AA82" s="44">
        <v>12.3</v>
      </c>
      <c r="AB82" s="33">
        <v>9.25</v>
      </c>
      <c r="AC82" s="33">
        <v>15.25</v>
      </c>
      <c r="AD82" s="70">
        <v>18</v>
      </c>
      <c r="AE82" s="33">
        <f t="shared" si="1"/>
        <v>1.4694010416666667</v>
      </c>
      <c r="AF82" s="18" t="s">
        <v>719</v>
      </c>
      <c r="AG82" s="37" t="s">
        <v>715</v>
      </c>
      <c r="AH82" s="18" t="s">
        <v>716</v>
      </c>
      <c r="AI82" s="37" t="s">
        <v>717</v>
      </c>
      <c r="AJ82" s="18" t="s">
        <v>272</v>
      </c>
      <c r="AN82" s="12" t="s">
        <v>718</v>
      </c>
      <c r="AO82" s="94" t="s">
        <v>520</v>
      </c>
      <c r="AP82" s="13"/>
    </row>
    <row r="83" spans="1:42" s="18" customFormat="1" x14ac:dyDescent="0.2">
      <c r="A83" s="18" t="s">
        <v>510</v>
      </c>
      <c r="B83" s="19" t="s">
        <v>713</v>
      </c>
      <c r="C83" s="19" t="s">
        <v>373</v>
      </c>
      <c r="D83" s="19" t="s">
        <v>727</v>
      </c>
      <c r="E83" s="19" t="s">
        <v>373</v>
      </c>
      <c r="F83" s="19"/>
      <c r="G83" s="77">
        <v>7331423004799</v>
      </c>
      <c r="H83" s="77"/>
      <c r="I83" s="77"/>
      <c r="J83" s="36" t="s">
        <v>568</v>
      </c>
      <c r="K83" s="36" t="s">
        <v>977</v>
      </c>
      <c r="L83" s="5">
        <v>6.99</v>
      </c>
      <c r="M83" s="35">
        <v>24</v>
      </c>
      <c r="N83" s="35">
        <v>144</v>
      </c>
      <c r="O83" s="345"/>
      <c r="P83" s="35"/>
      <c r="Q83" s="35"/>
      <c r="R83" s="187"/>
      <c r="S83" s="33">
        <v>7.6999999999999999E-2</v>
      </c>
      <c r="T83" s="33">
        <v>2.5</v>
      </c>
      <c r="U83" s="33">
        <v>1</v>
      </c>
      <c r="V83" s="70">
        <v>8.25</v>
      </c>
      <c r="W83" s="44">
        <v>1.9</v>
      </c>
      <c r="X83" s="100">
        <v>5</v>
      </c>
      <c r="Y83" s="100">
        <v>9</v>
      </c>
      <c r="Z83" s="101">
        <v>8.25</v>
      </c>
      <c r="AA83" s="44">
        <v>12.3</v>
      </c>
      <c r="AB83" s="33">
        <v>9.25</v>
      </c>
      <c r="AC83" s="33">
        <v>15.25</v>
      </c>
      <c r="AD83" s="70">
        <v>18</v>
      </c>
      <c r="AE83" s="33">
        <f t="shared" si="1"/>
        <v>1.4694010416666667</v>
      </c>
      <c r="AF83" s="18" t="s">
        <v>719</v>
      </c>
      <c r="AG83" s="37" t="s">
        <v>715</v>
      </c>
      <c r="AH83" s="18" t="s">
        <v>716</v>
      </c>
      <c r="AI83" s="37" t="s">
        <v>717</v>
      </c>
      <c r="AJ83" s="18" t="s">
        <v>272</v>
      </c>
      <c r="AN83" s="12" t="s">
        <v>718</v>
      </c>
      <c r="AO83" s="94" t="s">
        <v>520</v>
      </c>
      <c r="AP83" s="13"/>
    </row>
    <row r="84" spans="1:42" s="18" customFormat="1" x14ac:dyDescent="0.2">
      <c r="A84" s="18" t="s">
        <v>510</v>
      </c>
      <c r="B84" s="19" t="s">
        <v>713</v>
      </c>
      <c r="C84" s="19" t="s">
        <v>374</v>
      </c>
      <c r="D84" s="19" t="s">
        <v>728</v>
      </c>
      <c r="E84" s="19" t="s">
        <v>374</v>
      </c>
      <c r="F84" s="19"/>
      <c r="G84" s="77">
        <v>7331423004805</v>
      </c>
      <c r="H84" s="77"/>
      <c r="I84" s="77"/>
      <c r="J84" s="36" t="s">
        <v>568</v>
      </c>
      <c r="K84" s="36" t="s">
        <v>977</v>
      </c>
      <c r="L84" s="5">
        <v>6.99</v>
      </c>
      <c r="M84" s="35">
        <v>24</v>
      </c>
      <c r="N84" s="35">
        <v>144</v>
      </c>
      <c r="O84" s="345"/>
      <c r="P84" s="35"/>
      <c r="Q84" s="35"/>
      <c r="R84" s="187"/>
      <c r="S84" s="33">
        <v>7.6999999999999999E-2</v>
      </c>
      <c r="T84" s="33">
        <v>2.5</v>
      </c>
      <c r="U84" s="33">
        <v>1</v>
      </c>
      <c r="V84" s="70">
        <v>8.25</v>
      </c>
      <c r="W84" s="44">
        <v>1.9</v>
      </c>
      <c r="X84" s="100">
        <v>5</v>
      </c>
      <c r="Y84" s="100">
        <v>9</v>
      </c>
      <c r="Z84" s="101">
        <v>8.25</v>
      </c>
      <c r="AA84" s="44">
        <v>12.3</v>
      </c>
      <c r="AB84" s="33">
        <v>9.25</v>
      </c>
      <c r="AC84" s="33">
        <v>15.25</v>
      </c>
      <c r="AD84" s="70">
        <v>18</v>
      </c>
      <c r="AE84" s="33">
        <f t="shared" si="1"/>
        <v>1.4694010416666667</v>
      </c>
      <c r="AF84" s="18" t="s">
        <v>719</v>
      </c>
      <c r="AG84" s="37" t="s">
        <v>715</v>
      </c>
      <c r="AH84" s="18" t="s">
        <v>716</v>
      </c>
      <c r="AI84" s="37" t="s">
        <v>717</v>
      </c>
      <c r="AJ84" s="18" t="s">
        <v>272</v>
      </c>
      <c r="AN84" s="12" t="s">
        <v>718</v>
      </c>
      <c r="AO84" s="94" t="s">
        <v>520</v>
      </c>
      <c r="AP84" s="13"/>
    </row>
    <row r="85" spans="1:42" s="18" customFormat="1" x14ac:dyDescent="0.2">
      <c r="A85" s="18" t="s">
        <v>510</v>
      </c>
      <c r="B85" s="19" t="s">
        <v>713</v>
      </c>
      <c r="C85" s="19" t="s">
        <v>286</v>
      </c>
      <c r="D85" s="19" t="s">
        <v>729</v>
      </c>
      <c r="E85" s="19" t="s">
        <v>653</v>
      </c>
      <c r="F85" s="19"/>
      <c r="G85" s="77">
        <v>7331423004812</v>
      </c>
      <c r="H85" s="77"/>
      <c r="I85" s="77"/>
      <c r="J85" s="36" t="s">
        <v>568</v>
      </c>
      <c r="K85" s="36" t="s">
        <v>977</v>
      </c>
      <c r="L85" s="5">
        <v>6.99</v>
      </c>
      <c r="M85" s="35">
        <v>24</v>
      </c>
      <c r="N85" s="35">
        <v>144</v>
      </c>
      <c r="O85" s="345"/>
      <c r="P85" s="35"/>
      <c r="Q85" s="35"/>
      <c r="R85" s="187"/>
      <c r="S85" s="33">
        <v>7.6999999999999999E-2</v>
      </c>
      <c r="T85" s="33">
        <v>2.5</v>
      </c>
      <c r="U85" s="33">
        <v>1</v>
      </c>
      <c r="V85" s="70">
        <v>8.25</v>
      </c>
      <c r="W85" s="44">
        <v>1.9</v>
      </c>
      <c r="X85" s="100">
        <v>5</v>
      </c>
      <c r="Y85" s="100">
        <v>9</v>
      </c>
      <c r="Z85" s="101">
        <v>8.25</v>
      </c>
      <c r="AA85" s="44">
        <v>12.3</v>
      </c>
      <c r="AB85" s="33">
        <v>9.25</v>
      </c>
      <c r="AC85" s="33">
        <v>15.25</v>
      </c>
      <c r="AD85" s="70">
        <v>18</v>
      </c>
      <c r="AE85" s="33">
        <f t="shared" si="1"/>
        <v>1.4694010416666667</v>
      </c>
      <c r="AF85" s="18" t="s">
        <v>719</v>
      </c>
      <c r="AG85" s="37" t="s">
        <v>715</v>
      </c>
      <c r="AH85" s="18" t="s">
        <v>716</v>
      </c>
      <c r="AI85" s="37" t="s">
        <v>717</v>
      </c>
      <c r="AJ85" s="18" t="s">
        <v>272</v>
      </c>
      <c r="AN85" s="12" t="s">
        <v>718</v>
      </c>
      <c r="AO85" s="94" t="s">
        <v>520</v>
      </c>
      <c r="AP85" s="13"/>
    </row>
    <row r="86" spans="1:42" s="18" customFormat="1" x14ac:dyDescent="0.2">
      <c r="A86" s="18" t="s">
        <v>510</v>
      </c>
      <c r="B86" s="19" t="s">
        <v>714</v>
      </c>
      <c r="C86" s="18" t="s">
        <v>245</v>
      </c>
      <c r="D86" s="19" t="s">
        <v>850</v>
      </c>
      <c r="E86" s="18" t="s">
        <v>245</v>
      </c>
      <c r="G86" s="77">
        <v>7331423005673</v>
      </c>
      <c r="H86" s="77"/>
      <c r="I86" s="77"/>
      <c r="J86" s="36" t="s">
        <v>568</v>
      </c>
      <c r="K86" s="36" t="s">
        <v>977</v>
      </c>
      <c r="L86" s="5">
        <v>6.99</v>
      </c>
      <c r="M86" s="35">
        <v>1</v>
      </c>
      <c r="N86" s="35">
        <v>1</v>
      </c>
      <c r="O86" s="345"/>
      <c r="P86" s="35"/>
      <c r="Q86" s="35"/>
      <c r="R86" s="187"/>
      <c r="S86" s="33">
        <v>6.6000000000000003E-2</v>
      </c>
      <c r="T86" s="33">
        <v>2</v>
      </c>
      <c r="U86" s="33">
        <v>1</v>
      </c>
      <c r="V86" s="70">
        <v>7.5</v>
      </c>
      <c r="W86" s="44" t="s">
        <v>856</v>
      </c>
      <c r="X86" s="100" t="s">
        <v>856</v>
      </c>
      <c r="Y86" s="100" t="s">
        <v>856</v>
      </c>
      <c r="Z86" s="101" t="s">
        <v>856</v>
      </c>
      <c r="AA86" s="44">
        <v>1.85</v>
      </c>
      <c r="AB86" s="100">
        <v>6.25</v>
      </c>
      <c r="AC86" s="100">
        <v>6.25</v>
      </c>
      <c r="AD86" s="101">
        <v>14</v>
      </c>
      <c r="AE86" s="33">
        <f t="shared" si="1"/>
        <v>0.31647858796296297</v>
      </c>
      <c r="AF86" s="18" t="s">
        <v>719</v>
      </c>
      <c r="AG86" s="37" t="s">
        <v>715</v>
      </c>
      <c r="AH86" s="18" t="s">
        <v>716</v>
      </c>
      <c r="AI86" s="37" t="s">
        <v>717</v>
      </c>
      <c r="AJ86" s="18" t="s">
        <v>272</v>
      </c>
      <c r="AN86" s="12" t="s">
        <v>718</v>
      </c>
      <c r="AO86" s="94" t="s">
        <v>520</v>
      </c>
      <c r="AP86" s="13"/>
    </row>
    <row r="87" spans="1:42" s="18" customFormat="1" x14ac:dyDescent="0.2">
      <c r="A87" s="18" t="s">
        <v>510</v>
      </c>
      <c r="B87" s="19" t="s">
        <v>355</v>
      </c>
      <c r="C87" s="19" t="s">
        <v>245</v>
      </c>
      <c r="D87" s="19" t="s">
        <v>410</v>
      </c>
      <c r="E87" s="18" t="s">
        <v>486</v>
      </c>
      <c r="G87" s="77">
        <v>7331423003495</v>
      </c>
      <c r="H87" s="77"/>
      <c r="I87" s="77"/>
      <c r="J87" s="36" t="s">
        <v>568</v>
      </c>
      <c r="K87" s="36" t="s">
        <v>977</v>
      </c>
      <c r="L87" s="5">
        <v>7.49</v>
      </c>
      <c r="M87" s="35">
        <v>1</v>
      </c>
      <c r="N87" s="35">
        <v>1</v>
      </c>
      <c r="O87" s="345"/>
      <c r="P87" s="35"/>
      <c r="Q87" s="35"/>
      <c r="R87" s="187"/>
      <c r="S87" s="33">
        <v>0.05</v>
      </c>
      <c r="T87" s="33">
        <v>0.75</v>
      </c>
      <c r="U87" s="33">
        <v>1.25</v>
      </c>
      <c r="V87" s="70">
        <v>5.5</v>
      </c>
      <c r="W87" s="44" t="s">
        <v>856</v>
      </c>
      <c r="X87" s="33" t="s">
        <v>856</v>
      </c>
      <c r="Y87" s="33" t="s">
        <v>856</v>
      </c>
      <c r="Z87" s="70" t="s">
        <v>856</v>
      </c>
      <c r="AA87" s="44">
        <v>1.85</v>
      </c>
      <c r="AB87" s="33">
        <v>4.75</v>
      </c>
      <c r="AC87" s="33">
        <v>4.75</v>
      </c>
      <c r="AD87" s="70">
        <v>9</v>
      </c>
      <c r="AE87" s="33">
        <f t="shared" si="1"/>
        <v>0.11751302083333333</v>
      </c>
      <c r="AF87" s="37" t="s">
        <v>240</v>
      </c>
      <c r="AG87" s="18" t="s">
        <v>241</v>
      </c>
      <c r="AH87" s="40" t="s">
        <v>423</v>
      </c>
      <c r="AI87" s="37" t="s">
        <v>875</v>
      </c>
      <c r="AJ87" s="37" t="s">
        <v>478</v>
      </c>
      <c r="AK87" s="37"/>
      <c r="AL87" s="37"/>
      <c r="AM87" s="37"/>
      <c r="AN87" s="12" t="s">
        <v>408</v>
      </c>
      <c r="AO87" s="94" t="s">
        <v>520</v>
      </c>
      <c r="AP87" s="13"/>
    </row>
    <row r="88" spans="1:42" s="18" customFormat="1" x14ac:dyDescent="0.2">
      <c r="A88" s="18" t="s">
        <v>510</v>
      </c>
      <c r="B88" s="19" t="s">
        <v>378</v>
      </c>
      <c r="C88" s="19" t="s">
        <v>484</v>
      </c>
      <c r="D88" s="19" t="s">
        <v>500</v>
      </c>
      <c r="E88" s="19" t="s">
        <v>484</v>
      </c>
      <c r="F88" s="19"/>
      <c r="G88" s="47">
        <v>7331423201228</v>
      </c>
      <c r="H88" s="47"/>
      <c r="I88" s="47"/>
      <c r="J88" s="75" t="s">
        <v>878</v>
      </c>
      <c r="K88" s="28" t="s">
        <v>975</v>
      </c>
      <c r="L88" s="5">
        <v>37.950000000000003</v>
      </c>
      <c r="M88" s="35">
        <v>12</v>
      </c>
      <c r="N88" s="35">
        <v>12</v>
      </c>
      <c r="O88" s="345"/>
      <c r="P88" s="35"/>
      <c r="Q88" s="35"/>
      <c r="R88" s="187"/>
      <c r="S88" s="33">
        <v>0.25</v>
      </c>
      <c r="T88" s="33">
        <v>1</v>
      </c>
      <c r="U88" s="33">
        <v>4.13</v>
      </c>
      <c r="V88" s="70">
        <v>7</v>
      </c>
      <c r="W88" s="44" t="s">
        <v>856</v>
      </c>
      <c r="X88" s="33" t="s">
        <v>856</v>
      </c>
      <c r="Y88" s="33" t="s">
        <v>856</v>
      </c>
      <c r="Z88" s="70" t="s">
        <v>856</v>
      </c>
      <c r="AA88" s="44"/>
      <c r="AB88" s="33"/>
      <c r="AC88" s="33"/>
      <c r="AD88" s="70"/>
      <c r="AE88" s="33">
        <f t="shared" si="1"/>
        <v>0</v>
      </c>
      <c r="AF88" s="37" t="s">
        <v>4</v>
      </c>
      <c r="AG88" s="37" t="s">
        <v>5</v>
      </c>
      <c r="AH88" s="37" t="s">
        <v>6</v>
      </c>
      <c r="AI88" s="37" t="s">
        <v>7</v>
      </c>
      <c r="AJ88" s="37" t="s">
        <v>8</v>
      </c>
      <c r="AK88" s="37"/>
      <c r="AL88" s="37"/>
      <c r="AM88" s="37"/>
      <c r="AN88" s="37" t="s">
        <v>9</v>
      </c>
      <c r="AO88" s="94" t="s">
        <v>520</v>
      </c>
      <c r="AP88" s="13"/>
    </row>
    <row r="89" spans="1:42" s="18" customFormat="1" ht="12" customHeight="1" x14ac:dyDescent="0.2">
      <c r="A89" s="18" t="s">
        <v>510</v>
      </c>
      <c r="B89" s="33" t="s">
        <v>948</v>
      </c>
      <c r="C89" s="33" t="s">
        <v>293</v>
      </c>
      <c r="D89" s="19" t="s">
        <v>949</v>
      </c>
      <c r="E89" s="33" t="s">
        <v>293</v>
      </c>
      <c r="F89" s="33"/>
      <c r="G89" s="77">
        <v>7331423000975</v>
      </c>
      <c r="H89" s="77"/>
      <c r="I89" s="77"/>
      <c r="J89" s="36" t="s">
        <v>261</v>
      </c>
      <c r="K89" s="36" t="s">
        <v>984</v>
      </c>
      <c r="L89" s="5">
        <v>6.99</v>
      </c>
      <c r="M89" s="35">
        <v>1</v>
      </c>
      <c r="N89" s="35">
        <v>12</v>
      </c>
      <c r="O89" s="345"/>
      <c r="P89" s="35"/>
      <c r="Q89" s="35"/>
      <c r="R89" s="187"/>
      <c r="S89" s="33">
        <v>0.05</v>
      </c>
      <c r="T89" s="33">
        <v>7.5</v>
      </c>
      <c r="U89" s="33">
        <v>1</v>
      </c>
      <c r="V89" s="70">
        <v>7.25</v>
      </c>
      <c r="W89" s="44" t="s">
        <v>856</v>
      </c>
      <c r="X89" s="33" t="s">
        <v>856</v>
      </c>
      <c r="Y89" s="33" t="s">
        <v>856</v>
      </c>
      <c r="Z89" s="70" t="s">
        <v>856</v>
      </c>
      <c r="AA89" s="44" t="s">
        <v>856</v>
      </c>
      <c r="AB89" s="33" t="s">
        <v>856</v>
      </c>
      <c r="AC89" s="33" t="s">
        <v>856</v>
      </c>
      <c r="AD89" s="70" t="s">
        <v>856</v>
      </c>
      <c r="AE89" s="33"/>
      <c r="AF89" s="37" t="s">
        <v>950</v>
      </c>
      <c r="AG89" s="37" t="s">
        <v>951</v>
      </c>
      <c r="AH89" s="37" t="s">
        <v>952</v>
      </c>
      <c r="AI89" s="37" t="s">
        <v>953</v>
      </c>
      <c r="AJ89" s="561" t="s">
        <v>954</v>
      </c>
      <c r="AK89" s="561"/>
      <c r="AL89" s="561"/>
      <c r="AM89" s="561"/>
      <c r="AN89" s="37" t="s">
        <v>348</v>
      </c>
      <c r="AO89" s="94" t="s">
        <v>520</v>
      </c>
    </row>
    <row r="90" spans="1:42" s="18" customFormat="1" x14ac:dyDescent="0.2">
      <c r="A90" s="18" t="s">
        <v>510</v>
      </c>
      <c r="B90" s="33" t="s">
        <v>948</v>
      </c>
      <c r="C90" s="33" t="s">
        <v>369</v>
      </c>
      <c r="D90" s="19" t="s">
        <v>949</v>
      </c>
      <c r="E90" s="33" t="s">
        <v>369</v>
      </c>
      <c r="F90" s="33"/>
      <c r="G90" s="77">
        <v>7331423000968</v>
      </c>
      <c r="H90" s="77"/>
      <c r="I90" s="77"/>
      <c r="J90" s="36" t="s">
        <v>261</v>
      </c>
      <c r="K90" s="36" t="s">
        <v>984</v>
      </c>
      <c r="L90" s="5">
        <v>6.99</v>
      </c>
      <c r="M90" s="35">
        <v>1</v>
      </c>
      <c r="N90" s="35">
        <v>12</v>
      </c>
      <c r="O90" s="345"/>
      <c r="P90" s="35"/>
      <c r="Q90" s="35"/>
      <c r="R90" s="187"/>
      <c r="S90" s="33">
        <v>0.05</v>
      </c>
      <c r="T90" s="33">
        <v>7.5</v>
      </c>
      <c r="U90" s="33">
        <v>1</v>
      </c>
      <c r="V90" s="70">
        <v>7.25</v>
      </c>
      <c r="W90" s="44" t="s">
        <v>856</v>
      </c>
      <c r="X90" s="33" t="s">
        <v>856</v>
      </c>
      <c r="Y90" s="33" t="s">
        <v>856</v>
      </c>
      <c r="Z90" s="70" t="s">
        <v>856</v>
      </c>
      <c r="AA90" s="44" t="s">
        <v>856</v>
      </c>
      <c r="AB90" s="33" t="s">
        <v>856</v>
      </c>
      <c r="AC90" s="33" t="s">
        <v>856</v>
      </c>
      <c r="AD90" s="70" t="s">
        <v>856</v>
      </c>
      <c r="AE90" s="33"/>
      <c r="AF90" s="37" t="s">
        <v>950</v>
      </c>
      <c r="AG90" s="37" t="s">
        <v>951</v>
      </c>
      <c r="AH90" s="37" t="s">
        <v>952</v>
      </c>
      <c r="AI90" s="37" t="s">
        <v>953</v>
      </c>
      <c r="AJ90" s="561" t="s">
        <v>954</v>
      </c>
      <c r="AK90" s="561"/>
      <c r="AL90" s="561"/>
      <c r="AM90" s="561"/>
      <c r="AN90" s="37" t="s">
        <v>348</v>
      </c>
      <c r="AO90" s="94" t="s">
        <v>520</v>
      </c>
    </row>
    <row r="91" spans="1:42" s="18" customFormat="1" ht="15" customHeight="1" x14ac:dyDescent="0.2">
      <c r="A91" s="18" t="s">
        <v>510</v>
      </c>
      <c r="B91" s="19" t="s">
        <v>381</v>
      </c>
      <c r="C91" s="33" t="s">
        <v>370</v>
      </c>
      <c r="D91" s="19" t="s">
        <v>1559</v>
      </c>
      <c r="E91" s="18" t="s">
        <v>217</v>
      </c>
      <c r="G91" s="47">
        <v>7331423000272</v>
      </c>
      <c r="H91" s="47"/>
      <c r="I91" s="47"/>
      <c r="J91" s="28" t="s">
        <v>1044</v>
      </c>
      <c r="K91" s="36" t="s">
        <v>977</v>
      </c>
      <c r="L91" s="5">
        <v>14.99</v>
      </c>
      <c r="M91" s="35">
        <v>12</v>
      </c>
      <c r="N91" s="35">
        <v>72</v>
      </c>
      <c r="O91" s="345"/>
      <c r="P91" s="35"/>
      <c r="Q91" s="35"/>
      <c r="R91" s="187"/>
      <c r="S91" s="33">
        <v>0.15</v>
      </c>
      <c r="T91" s="33">
        <v>0.62</v>
      </c>
      <c r="U91" s="33">
        <v>2.75</v>
      </c>
      <c r="V91" s="70">
        <v>5.62</v>
      </c>
      <c r="W91" s="44">
        <v>1.55</v>
      </c>
      <c r="X91" s="33">
        <v>8</v>
      </c>
      <c r="Y91" s="33">
        <v>4.5</v>
      </c>
      <c r="Z91" s="70">
        <v>7.5</v>
      </c>
      <c r="AA91" s="44">
        <v>7.5</v>
      </c>
      <c r="AB91" s="33">
        <v>10.25</v>
      </c>
      <c r="AC91" s="33">
        <v>16.25</v>
      </c>
      <c r="AD91" s="70">
        <v>6.5</v>
      </c>
      <c r="AE91" s="33">
        <f t="shared" ref="AE91:AE122" si="2">AB91*AC91*AD91/(12^3)</f>
        <v>0.62653718171296291</v>
      </c>
      <c r="AF91" s="37" t="s">
        <v>511</v>
      </c>
      <c r="AG91" s="37" t="s">
        <v>512</v>
      </c>
      <c r="AH91" s="37" t="s">
        <v>513</v>
      </c>
      <c r="AI91" s="37" t="s">
        <v>514</v>
      </c>
      <c r="AJ91" s="37" t="s">
        <v>515</v>
      </c>
      <c r="AK91" s="37"/>
      <c r="AL91" s="37"/>
      <c r="AM91" s="37"/>
      <c r="AN91" s="37" t="s">
        <v>407</v>
      </c>
      <c r="AO91" s="94" t="s">
        <v>520</v>
      </c>
      <c r="AP91" s="13"/>
    </row>
    <row r="92" spans="1:42" s="18" customFormat="1" ht="15" customHeight="1" x14ac:dyDescent="0.2">
      <c r="A92" s="18" t="s">
        <v>510</v>
      </c>
      <c r="B92" s="19" t="s">
        <v>381</v>
      </c>
      <c r="C92" s="19" t="s">
        <v>371</v>
      </c>
      <c r="D92" s="19" t="s">
        <v>1559</v>
      </c>
      <c r="E92" s="18" t="s">
        <v>218</v>
      </c>
      <c r="G92" s="47">
        <v>7331423000296</v>
      </c>
      <c r="H92" s="47"/>
      <c r="I92" s="47"/>
      <c r="J92" s="28" t="s">
        <v>1044</v>
      </c>
      <c r="K92" s="36" t="s">
        <v>977</v>
      </c>
      <c r="L92" s="5">
        <v>14.99</v>
      </c>
      <c r="M92" s="35">
        <v>12</v>
      </c>
      <c r="N92" s="35">
        <v>72</v>
      </c>
      <c r="O92" s="345"/>
      <c r="P92" s="35"/>
      <c r="Q92" s="35"/>
      <c r="R92" s="187"/>
      <c r="S92" s="33">
        <v>0.15</v>
      </c>
      <c r="T92" s="33">
        <v>0.62</v>
      </c>
      <c r="U92" s="33">
        <v>2.75</v>
      </c>
      <c r="V92" s="70">
        <v>5.62</v>
      </c>
      <c r="W92" s="44">
        <v>1.55</v>
      </c>
      <c r="X92" s="33">
        <v>8</v>
      </c>
      <c r="Y92" s="33">
        <v>4.5</v>
      </c>
      <c r="Z92" s="70">
        <v>7.5</v>
      </c>
      <c r="AA92" s="44">
        <v>7.5</v>
      </c>
      <c r="AB92" s="33">
        <v>10.25</v>
      </c>
      <c r="AC92" s="33">
        <v>16.25</v>
      </c>
      <c r="AD92" s="70">
        <v>6.5</v>
      </c>
      <c r="AE92" s="33">
        <f t="shared" si="2"/>
        <v>0.62653718171296291</v>
      </c>
      <c r="AF92" s="37" t="s">
        <v>511</v>
      </c>
      <c r="AG92" s="37" t="s">
        <v>512</v>
      </c>
      <c r="AH92" s="37" t="s">
        <v>513</v>
      </c>
      <c r="AI92" s="37" t="s">
        <v>514</v>
      </c>
      <c r="AJ92" s="37" t="s">
        <v>515</v>
      </c>
      <c r="AK92" s="37"/>
      <c r="AL92" s="37"/>
      <c r="AM92" s="37"/>
      <c r="AN92" s="37" t="s">
        <v>407</v>
      </c>
      <c r="AO92" s="94" t="s">
        <v>520</v>
      </c>
      <c r="AP92" s="13"/>
    </row>
    <row r="93" spans="1:42" s="18" customFormat="1" ht="15" customHeight="1" x14ac:dyDescent="0.2">
      <c r="A93" s="18" t="s">
        <v>510</v>
      </c>
      <c r="B93" s="19" t="s">
        <v>381</v>
      </c>
      <c r="C93" s="19" t="s">
        <v>382</v>
      </c>
      <c r="D93" s="19" t="s">
        <v>1559</v>
      </c>
      <c r="E93" s="18" t="s">
        <v>482</v>
      </c>
      <c r="G93" s="47">
        <v>7331423000302</v>
      </c>
      <c r="H93" s="47"/>
      <c r="I93" s="47"/>
      <c r="J93" s="28" t="s">
        <v>1044</v>
      </c>
      <c r="K93" s="36" t="s">
        <v>977</v>
      </c>
      <c r="L93" s="5">
        <v>14.99</v>
      </c>
      <c r="M93" s="35">
        <v>12</v>
      </c>
      <c r="N93" s="35">
        <v>72</v>
      </c>
      <c r="O93" s="345"/>
      <c r="P93" s="35"/>
      <c r="Q93" s="35"/>
      <c r="R93" s="187"/>
      <c r="S93" s="33">
        <v>0.15</v>
      </c>
      <c r="T93" s="33">
        <v>0.62</v>
      </c>
      <c r="U93" s="33">
        <v>2.75</v>
      </c>
      <c r="V93" s="70">
        <v>5.62</v>
      </c>
      <c r="W93" s="44">
        <v>1.55</v>
      </c>
      <c r="X93" s="33">
        <v>8</v>
      </c>
      <c r="Y93" s="33">
        <v>4.5</v>
      </c>
      <c r="Z93" s="70">
        <v>7.5</v>
      </c>
      <c r="AA93" s="44">
        <v>7.5</v>
      </c>
      <c r="AB93" s="33">
        <v>10.25</v>
      </c>
      <c r="AC93" s="33">
        <v>16.25</v>
      </c>
      <c r="AD93" s="70">
        <v>6.5</v>
      </c>
      <c r="AE93" s="33">
        <f t="shared" si="2"/>
        <v>0.62653718171296291</v>
      </c>
      <c r="AF93" s="37" t="s">
        <v>511</v>
      </c>
      <c r="AG93" s="37" t="s">
        <v>512</v>
      </c>
      <c r="AH93" s="37" t="s">
        <v>513</v>
      </c>
      <c r="AI93" s="37" t="s">
        <v>514</v>
      </c>
      <c r="AJ93" s="37" t="s">
        <v>515</v>
      </c>
      <c r="AK93" s="37"/>
      <c r="AL93" s="37"/>
      <c r="AM93" s="37"/>
      <c r="AN93" s="37" t="s">
        <v>407</v>
      </c>
      <c r="AO93" s="94" t="s">
        <v>520</v>
      </c>
      <c r="AP93" s="13"/>
    </row>
    <row r="94" spans="1:42" s="18" customFormat="1" ht="15" customHeight="1" x14ac:dyDescent="0.2">
      <c r="A94" s="18" t="s">
        <v>510</v>
      </c>
      <c r="B94" s="19" t="s">
        <v>381</v>
      </c>
      <c r="C94" s="19" t="s">
        <v>372</v>
      </c>
      <c r="D94" s="19" t="s">
        <v>1559</v>
      </c>
      <c r="E94" s="18" t="s">
        <v>483</v>
      </c>
      <c r="G94" s="47">
        <v>7331423000289</v>
      </c>
      <c r="H94" s="47"/>
      <c r="I94" s="47"/>
      <c r="J94" s="28" t="s">
        <v>1044</v>
      </c>
      <c r="K94" s="36" t="s">
        <v>977</v>
      </c>
      <c r="L94" s="5">
        <v>14.99</v>
      </c>
      <c r="M94" s="35">
        <v>12</v>
      </c>
      <c r="N94" s="35">
        <v>72</v>
      </c>
      <c r="O94" s="345"/>
      <c r="P94" s="35"/>
      <c r="Q94" s="35"/>
      <c r="R94" s="187"/>
      <c r="S94" s="33">
        <v>0.15</v>
      </c>
      <c r="T94" s="33">
        <v>0.62</v>
      </c>
      <c r="U94" s="33">
        <v>2.75</v>
      </c>
      <c r="V94" s="70">
        <v>5.62</v>
      </c>
      <c r="W94" s="44">
        <v>1.55</v>
      </c>
      <c r="X94" s="33">
        <v>8</v>
      </c>
      <c r="Y94" s="33">
        <v>4.5</v>
      </c>
      <c r="Z94" s="70">
        <v>7.5</v>
      </c>
      <c r="AA94" s="44">
        <v>7.5</v>
      </c>
      <c r="AB94" s="33">
        <v>10.25</v>
      </c>
      <c r="AC94" s="33">
        <v>16.25</v>
      </c>
      <c r="AD94" s="70">
        <v>6.5</v>
      </c>
      <c r="AE94" s="33">
        <f t="shared" si="2"/>
        <v>0.62653718171296291</v>
      </c>
      <c r="AF94" s="37" t="s">
        <v>511</v>
      </c>
      <c r="AG94" s="37" t="s">
        <v>512</v>
      </c>
      <c r="AH94" s="37" t="s">
        <v>513</v>
      </c>
      <c r="AI94" s="37" t="s">
        <v>514</v>
      </c>
      <c r="AJ94" s="37" t="s">
        <v>515</v>
      </c>
      <c r="AK94" s="37"/>
      <c r="AL94" s="37"/>
      <c r="AM94" s="37"/>
      <c r="AN94" s="37" t="s">
        <v>407</v>
      </c>
      <c r="AO94" s="94" t="s">
        <v>520</v>
      </c>
      <c r="AP94" s="13"/>
    </row>
    <row r="95" spans="1:42" s="18" customFormat="1" ht="15" customHeight="1" x14ac:dyDescent="0.2">
      <c r="A95" s="18" t="s">
        <v>510</v>
      </c>
      <c r="B95" s="19" t="s">
        <v>381</v>
      </c>
      <c r="C95" s="19" t="s">
        <v>286</v>
      </c>
      <c r="D95" s="19" t="s">
        <v>1559</v>
      </c>
      <c r="E95" s="18" t="s">
        <v>648</v>
      </c>
      <c r="G95" s="47">
        <v>7331423004126</v>
      </c>
      <c r="H95" s="47"/>
      <c r="I95" s="47"/>
      <c r="J95" s="28" t="s">
        <v>1044</v>
      </c>
      <c r="K95" s="36" t="s">
        <v>977</v>
      </c>
      <c r="L95" s="5">
        <v>14.99</v>
      </c>
      <c r="M95" s="35">
        <v>24</v>
      </c>
      <c r="N95" s="35">
        <v>72</v>
      </c>
      <c r="O95" s="345"/>
      <c r="P95" s="35"/>
      <c r="Q95" s="35"/>
      <c r="R95" s="187"/>
      <c r="S95" s="33">
        <v>0.15</v>
      </c>
      <c r="T95" s="33">
        <v>0.62</v>
      </c>
      <c r="U95" s="33">
        <v>2.75</v>
      </c>
      <c r="V95" s="70">
        <v>5.62</v>
      </c>
      <c r="W95" s="44">
        <v>1.55</v>
      </c>
      <c r="X95" s="33">
        <v>8</v>
      </c>
      <c r="Y95" s="33">
        <v>4.5</v>
      </c>
      <c r="Z95" s="70">
        <v>7.5</v>
      </c>
      <c r="AA95" s="44">
        <v>7.5</v>
      </c>
      <c r="AB95" s="33">
        <v>10.25</v>
      </c>
      <c r="AC95" s="33">
        <v>16.25</v>
      </c>
      <c r="AD95" s="70">
        <v>6.5</v>
      </c>
      <c r="AE95" s="33">
        <f t="shared" si="2"/>
        <v>0.62653718171296291</v>
      </c>
      <c r="AF95" s="37" t="s">
        <v>511</v>
      </c>
      <c r="AG95" s="37" t="s">
        <v>512</v>
      </c>
      <c r="AH95" s="37" t="s">
        <v>513</v>
      </c>
      <c r="AI95" s="37" t="s">
        <v>514</v>
      </c>
      <c r="AJ95" s="37" t="s">
        <v>515</v>
      </c>
      <c r="AK95" s="37"/>
      <c r="AL95" s="37"/>
      <c r="AM95" s="37"/>
      <c r="AN95" s="37" t="s">
        <v>407</v>
      </c>
      <c r="AO95" s="94" t="s">
        <v>520</v>
      </c>
      <c r="AP95" s="13"/>
    </row>
    <row r="96" spans="1:42" s="18" customFormat="1" ht="15" customHeight="1" x14ac:dyDescent="0.2">
      <c r="A96" s="18" t="s">
        <v>510</v>
      </c>
      <c r="B96" s="19" t="s">
        <v>381</v>
      </c>
      <c r="C96" s="19" t="s">
        <v>383</v>
      </c>
      <c r="D96" s="19" t="s">
        <v>1559</v>
      </c>
      <c r="E96" s="18" t="s">
        <v>484</v>
      </c>
      <c r="G96" s="47">
        <v>7331423002665</v>
      </c>
      <c r="H96" s="47"/>
      <c r="I96" s="47"/>
      <c r="J96" s="28" t="s">
        <v>1044</v>
      </c>
      <c r="K96" s="36" t="s">
        <v>977</v>
      </c>
      <c r="L96" s="5">
        <v>14.99</v>
      </c>
      <c r="M96" s="35">
        <v>24</v>
      </c>
      <c r="N96" s="35">
        <v>72</v>
      </c>
      <c r="O96" s="345"/>
      <c r="P96" s="35"/>
      <c r="Q96" s="35"/>
      <c r="R96" s="187"/>
      <c r="S96" s="33">
        <v>0.15</v>
      </c>
      <c r="T96" s="33">
        <v>0.62</v>
      </c>
      <c r="U96" s="33">
        <v>2.75</v>
      </c>
      <c r="V96" s="70">
        <v>5.62</v>
      </c>
      <c r="W96" s="44">
        <v>1.55</v>
      </c>
      <c r="X96" s="33">
        <v>8</v>
      </c>
      <c r="Y96" s="33">
        <v>4.5</v>
      </c>
      <c r="Z96" s="70">
        <v>7.5</v>
      </c>
      <c r="AA96" s="44">
        <v>7.5</v>
      </c>
      <c r="AB96" s="33">
        <v>10.25</v>
      </c>
      <c r="AC96" s="33">
        <v>16.25</v>
      </c>
      <c r="AD96" s="70">
        <v>6.5</v>
      </c>
      <c r="AE96" s="33">
        <f t="shared" si="2"/>
        <v>0.62653718171296291</v>
      </c>
      <c r="AF96" s="37" t="s">
        <v>511</v>
      </c>
      <c r="AG96" s="37" t="s">
        <v>512</v>
      </c>
      <c r="AH96" s="37" t="s">
        <v>513</v>
      </c>
      <c r="AI96" s="37" t="s">
        <v>514</v>
      </c>
      <c r="AJ96" s="37" t="s">
        <v>515</v>
      </c>
      <c r="AK96" s="37"/>
      <c r="AL96" s="37"/>
      <c r="AM96" s="37"/>
      <c r="AN96" s="37" t="s">
        <v>407</v>
      </c>
      <c r="AO96" s="94" t="s">
        <v>520</v>
      </c>
      <c r="AP96" s="13"/>
    </row>
    <row r="97" spans="1:42" s="18" customFormat="1" x14ac:dyDescent="0.2">
      <c r="A97" s="18" t="s">
        <v>510</v>
      </c>
      <c r="B97" s="37" t="s">
        <v>688</v>
      </c>
      <c r="C97" s="57" t="s">
        <v>382</v>
      </c>
      <c r="D97" s="57" t="s">
        <v>1631</v>
      </c>
      <c r="E97" s="57" t="s">
        <v>382</v>
      </c>
      <c r="F97" s="57"/>
      <c r="G97" s="66">
        <v>7331423004638</v>
      </c>
      <c r="H97" s="66"/>
      <c r="I97" s="66"/>
      <c r="J97" s="28" t="s">
        <v>1044</v>
      </c>
      <c r="K97" s="36" t="s">
        <v>977</v>
      </c>
      <c r="L97" s="5">
        <v>14.99</v>
      </c>
      <c r="M97" s="35">
        <v>12</v>
      </c>
      <c r="N97" s="35">
        <v>72</v>
      </c>
      <c r="O97" s="345"/>
      <c r="P97" s="35"/>
      <c r="Q97" s="35"/>
      <c r="R97" s="187"/>
      <c r="S97" s="33">
        <v>0.06</v>
      </c>
      <c r="T97" s="33">
        <v>0.62</v>
      </c>
      <c r="U97" s="33">
        <v>2.75</v>
      </c>
      <c r="V97" s="70">
        <v>5.62</v>
      </c>
      <c r="W97" s="44">
        <v>1.05</v>
      </c>
      <c r="X97" s="33">
        <v>8</v>
      </c>
      <c r="Y97" s="33">
        <v>3.25</v>
      </c>
      <c r="Z97" s="70">
        <v>6</v>
      </c>
      <c r="AA97" s="44">
        <v>7.05</v>
      </c>
      <c r="AB97" s="33">
        <v>10.25</v>
      </c>
      <c r="AC97" s="33">
        <v>16.25</v>
      </c>
      <c r="AD97" s="70">
        <v>6.5</v>
      </c>
      <c r="AE97" s="33">
        <f t="shared" si="2"/>
        <v>0.62653718171296291</v>
      </c>
      <c r="AF97" s="37" t="s">
        <v>700</v>
      </c>
      <c r="AG97" s="37" t="s">
        <v>699</v>
      </c>
      <c r="AH97" s="37" t="s">
        <v>514</v>
      </c>
      <c r="AI97" s="18" t="s">
        <v>701</v>
      </c>
      <c r="AJ97" s="40" t="s">
        <v>702</v>
      </c>
      <c r="AK97" s="40"/>
      <c r="AL97" s="40"/>
      <c r="AM97" s="40"/>
      <c r="AN97" s="37" t="s">
        <v>720</v>
      </c>
      <c r="AO97" s="94" t="s">
        <v>520</v>
      </c>
      <c r="AP97" s="13"/>
    </row>
    <row r="98" spans="1:42" s="18" customFormat="1" x14ac:dyDescent="0.2">
      <c r="A98" s="18" t="s">
        <v>510</v>
      </c>
      <c r="B98" s="19" t="s">
        <v>696</v>
      </c>
      <c r="C98" s="19" t="s">
        <v>482</v>
      </c>
      <c r="D98" s="19" t="s">
        <v>1560</v>
      </c>
      <c r="E98" s="18" t="s">
        <v>482</v>
      </c>
      <c r="G98" s="54" t="s">
        <v>1007</v>
      </c>
      <c r="H98" s="54"/>
      <c r="I98" s="54"/>
      <c r="J98" s="28" t="s">
        <v>1044</v>
      </c>
      <c r="K98" s="36" t="s">
        <v>977</v>
      </c>
      <c r="L98" s="5">
        <v>22.99</v>
      </c>
      <c r="M98" s="35">
        <v>12</v>
      </c>
      <c r="N98" s="35">
        <v>72</v>
      </c>
      <c r="O98" s="345"/>
      <c r="P98" s="35"/>
      <c r="Q98" s="35"/>
      <c r="R98" s="187"/>
      <c r="S98" s="33">
        <v>0.11</v>
      </c>
      <c r="T98" s="33">
        <v>3.1</v>
      </c>
      <c r="U98" s="33">
        <v>0.6</v>
      </c>
      <c r="V98" s="70">
        <v>5.75</v>
      </c>
      <c r="W98" s="44">
        <v>1.6</v>
      </c>
      <c r="X98" s="33">
        <v>8</v>
      </c>
      <c r="Y98" s="33">
        <v>3.1</v>
      </c>
      <c r="Z98" s="70">
        <v>6</v>
      </c>
      <c r="AA98" s="44">
        <v>10.35</v>
      </c>
      <c r="AB98" s="33">
        <v>10.25</v>
      </c>
      <c r="AC98" s="33">
        <v>16.25</v>
      </c>
      <c r="AD98" s="70">
        <v>6.5</v>
      </c>
      <c r="AE98" s="33">
        <f t="shared" si="2"/>
        <v>0.62653718171296291</v>
      </c>
      <c r="AF98" s="37" t="s">
        <v>703</v>
      </c>
      <c r="AG98" s="37" t="s">
        <v>699</v>
      </c>
      <c r="AH98" s="37" t="s">
        <v>514</v>
      </c>
      <c r="AI98" s="18" t="s">
        <v>701</v>
      </c>
      <c r="AJ98" s="40" t="s">
        <v>702</v>
      </c>
      <c r="AK98" s="40"/>
      <c r="AL98" s="40"/>
      <c r="AM98" s="40"/>
      <c r="AN98" s="37" t="s">
        <v>704</v>
      </c>
      <c r="AO98" s="94" t="s">
        <v>520</v>
      </c>
      <c r="AP98" s="13"/>
    </row>
    <row r="99" spans="1:42" s="18" customFormat="1" x14ac:dyDescent="0.2">
      <c r="A99" s="18" t="s">
        <v>510</v>
      </c>
      <c r="B99" s="33" t="s">
        <v>432</v>
      </c>
      <c r="C99" s="18" t="s">
        <v>623</v>
      </c>
      <c r="D99" s="19" t="s">
        <v>117</v>
      </c>
      <c r="E99" s="18" t="s">
        <v>623</v>
      </c>
      <c r="G99" s="77">
        <v>7331423002177</v>
      </c>
      <c r="H99" s="77"/>
      <c r="I99" s="77"/>
      <c r="J99" s="36" t="s">
        <v>261</v>
      </c>
      <c r="K99" s="36" t="s">
        <v>977</v>
      </c>
      <c r="L99" s="5">
        <v>11.99</v>
      </c>
      <c r="M99" s="35">
        <v>1</v>
      </c>
      <c r="N99" s="35">
        <v>12</v>
      </c>
      <c r="O99" s="345"/>
      <c r="P99" s="35"/>
      <c r="Q99" s="35"/>
      <c r="R99" s="187"/>
      <c r="S99" s="33">
        <v>0.45</v>
      </c>
      <c r="T99" s="33">
        <v>2.5</v>
      </c>
      <c r="U99" s="33">
        <v>7.5</v>
      </c>
      <c r="V99" s="70">
        <v>8.5</v>
      </c>
      <c r="W99" s="44" t="s">
        <v>856</v>
      </c>
      <c r="X99" s="33" t="s">
        <v>856</v>
      </c>
      <c r="Y99" s="33" t="s">
        <v>856</v>
      </c>
      <c r="Z99" s="70" t="s">
        <v>856</v>
      </c>
      <c r="AA99" s="44">
        <v>6.9</v>
      </c>
      <c r="AB99" s="33">
        <v>15.25</v>
      </c>
      <c r="AC99" s="33">
        <v>15.25</v>
      </c>
      <c r="AD99" s="70">
        <v>7.5</v>
      </c>
      <c r="AE99" s="33">
        <f t="shared" si="2"/>
        <v>1.0093858506944444</v>
      </c>
      <c r="AF99" s="18" t="s">
        <v>10</v>
      </c>
      <c r="AG99" s="18" t="s">
        <v>404</v>
      </c>
      <c r="AH99" s="18" t="s">
        <v>626</v>
      </c>
      <c r="AI99" s="18" t="s">
        <v>625</v>
      </c>
      <c r="AJ99" s="40" t="s">
        <v>433</v>
      </c>
      <c r="AK99" s="40"/>
      <c r="AL99" s="40"/>
      <c r="AM99" s="40"/>
      <c r="AN99" s="304" t="s">
        <v>434</v>
      </c>
      <c r="AO99" s="94" t="s">
        <v>520</v>
      </c>
    </row>
    <row r="100" spans="1:42" s="18" customFormat="1" x14ac:dyDescent="0.2">
      <c r="A100" s="18" t="s">
        <v>510</v>
      </c>
      <c r="B100" s="33" t="s">
        <v>432</v>
      </c>
      <c r="C100" s="33" t="s">
        <v>222</v>
      </c>
      <c r="D100" s="19" t="s">
        <v>117</v>
      </c>
      <c r="E100" s="18" t="s">
        <v>222</v>
      </c>
      <c r="G100" s="77">
        <v>7331423002092</v>
      </c>
      <c r="H100" s="77"/>
      <c r="I100" s="77"/>
      <c r="J100" s="36" t="s">
        <v>261</v>
      </c>
      <c r="K100" s="36" t="s">
        <v>977</v>
      </c>
      <c r="L100" s="5">
        <v>11.99</v>
      </c>
      <c r="M100" s="35">
        <v>1</v>
      </c>
      <c r="N100" s="35">
        <v>12</v>
      </c>
      <c r="O100" s="345"/>
      <c r="P100" s="35"/>
      <c r="Q100" s="35"/>
      <c r="R100" s="187"/>
      <c r="S100" s="33">
        <v>0.45</v>
      </c>
      <c r="T100" s="33">
        <v>2.5</v>
      </c>
      <c r="U100" s="33">
        <v>7.5</v>
      </c>
      <c r="V100" s="70">
        <v>8.5</v>
      </c>
      <c r="W100" s="44" t="s">
        <v>856</v>
      </c>
      <c r="X100" s="33" t="s">
        <v>856</v>
      </c>
      <c r="Y100" s="33" t="s">
        <v>856</v>
      </c>
      <c r="Z100" s="70" t="s">
        <v>856</v>
      </c>
      <c r="AA100" s="44">
        <v>6.9</v>
      </c>
      <c r="AB100" s="33">
        <v>15.25</v>
      </c>
      <c r="AC100" s="33">
        <v>15.25</v>
      </c>
      <c r="AD100" s="70">
        <v>7.5</v>
      </c>
      <c r="AE100" s="33">
        <f t="shared" si="2"/>
        <v>1.0093858506944444</v>
      </c>
      <c r="AF100" s="18" t="s">
        <v>10</v>
      </c>
      <c r="AG100" s="18" t="s">
        <v>404</v>
      </c>
      <c r="AH100" s="18" t="s">
        <v>626</v>
      </c>
      <c r="AI100" s="18" t="s">
        <v>625</v>
      </c>
      <c r="AJ100" s="40" t="s">
        <v>433</v>
      </c>
      <c r="AK100" s="40"/>
      <c r="AL100" s="40"/>
      <c r="AM100" s="40"/>
      <c r="AN100" s="304" t="s">
        <v>434</v>
      </c>
      <c r="AO100" s="94" t="s">
        <v>520</v>
      </c>
    </row>
    <row r="101" spans="1:42" s="18" customFormat="1" x14ac:dyDescent="0.2">
      <c r="A101" s="18" t="s">
        <v>510</v>
      </c>
      <c r="B101" s="33" t="s">
        <v>432</v>
      </c>
      <c r="C101" s="33" t="s">
        <v>217</v>
      </c>
      <c r="D101" s="19" t="s">
        <v>117</v>
      </c>
      <c r="E101" s="18" t="s">
        <v>217</v>
      </c>
      <c r="G101" s="77">
        <v>7331423002115</v>
      </c>
      <c r="H101" s="77"/>
      <c r="I101" s="77"/>
      <c r="J101" s="36" t="s">
        <v>261</v>
      </c>
      <c r="K101" s="36" t="s">
        <v>977</v>
      </c>
      <c r="L101" s="5">
        <v>11.99</v>
      </c>
      <c r="M101" s="35">
        <v>1</v>
      </c>
      <c r="N101" s="35">
        <v>12</v>
      </c>
      <c r="O101" s="345"/>
      <c r="P101" s="35"/>
      <c r="Q101" s="35"/>
      <c r="R101" s="187"/>
      <c r="S101" s="33">
        <v>0.45</v>
      </c>
      <c r="T101" s="33">
        <v>2.5</v>
      </c>
      <c r="U101" s="33">
        <v>7.5</v>
      </c>
      <c r="V101" s="70">
        <v>8.5</v>
      </c>
      <c r="W101" s="44" t="s">
        <v>856</v>
      </c>
      <c r="X101" s="33" t="s">
        <v>856</v>
      </c>
      <c r="Y101" s="33" t="s">
        <v>856</v>
      </c>
      <c r="Z101" s="70" t="s">
        <v>856</v>
      </c>
      <c r="AA101" s="44">
        <v>6.9</v>
      </c>
      <c r="AB101" s="33">
        <v>15.25</v>
      </c>
      <c r="AC101" s="33">
        <v>15.25</v>
      </c>
      <c r="AD101" s="70">
        <v>7.5</v>
      </c>
      <c r="AE101" s="33">
        <f t="shared" si="2"/>
        <v>1.0093858506944444</v>
      </c>
      <c r="AF101" s="18" t="s">
        <v>10</v>
      </c>
      <c r="AG101" s="18" t="s">
        <v>404</v>
      </c>
      <c r="AH101" s="18" t="s">
        <v>626</v>
      </c>
      <c r="AI101" s="18" t="s">
        <v>625</v>
      </c>
      <c r="AJ101" s="40" t="s">
        <v>433</v>
      </c>
      <c r="AK101" s="40"/>
      <c r="AL101" s="40"/>
      <c r="AM101" s="40"/>
      <c r="AN101" s="304" t="s">
        <v>434</v>
      </c>
      <c r="AO101" s="94" t="s">
        <v>520</v>
      </c>
    </row>
    <row r="102" spans="1:42" s="18" customFormat="1" x14ac:dyDescent="0.2">
      <c r="A102" s="18" t="s">
        <v>510</v>
      </c>
      <c r="B102" s="33" t="s">
        <v>432</v>
      </c>
      <c r="C102" s="33" t="s">
        <v>483</v>
      </c>
      <c r="D102" s="19" t="s">
        <v>117</v>
      </c>
      <c r="E102" s="18" t="s">
        <v>483</v>
      </c>
      <c r="G102" s="77">
        <v>7331423002122</v>
      </c>
      <c r="H102" s="77"/>
      <c r="I102" s="77"/>
      <c r="J102" s="36" t="s">
        <v>261</v>
      </c>
      <c r="K102" s="36" t="s">
        <v>977</v>
      </c>
      <c r="L102" s="5">
        <v>11.99</v>
      </c>
      <c r="M102" s="35">
        <v>1</v>
      </c>
      <c r="N102" s="35">
        <v>12</v>
      </c>
      <c r="O102" s="345"/>
      <c r="P102" s="35"/>
      <c r="Q102" s="35"/>
      <c r="R102" s="187"/>
      <c r="S102" s="33">
        <v>0.45</v>
      </c>
      <c r="T102" s="33">
        <v>2.5</v>
      </c>
      <c r="U102" s="33">
        <v>7.5</v>
      </c>
      <c r="V102" s="70">
        <v>8.5</v>
      </c>
      <c r="W102" s="44" t="s">
        <v>856</v>
      </c>
      <c r="X102" s="33" t="s">
        <v>856</v>
      </c>
      <c r="Y102" s="33" t="s">
        <v>856</v>
      </c>
      <c r="Z102" s="70" t="s">
        <v>856</v>
      </c>
      <c r="AA102" s="44">
        <v>6.9</v>
      </c>
      <c r="AB102" s="33">
        <v>15.25</v>
      </c>
      <c r="AC102" s="33">
        <v>15.25</v>
      </c>
      <c r="AD102" s="70">
        <v>7.5</v>
      </c>
      <c r="AE102" s="33">
        <f t="shared" si="2"/>
        <v>1.0093858506944444</v>
      </c>
      <c r="AF102" s="18" t="s">
        <v>10</v>
      </c>
      <c r="AG102" s="18" t="s">
        <v>404</v>
      </c>
      <c r="AH102" s="18" t="s">
        <v>626</v>
      </c>
      <c r="AI102" s="18" t="s">
        <v>625</v>
      </c>
      <c r="AJ102" s="40" t="s">
        <v>433</v>
      </c>
      <c r="AK102" s="40"/>
      <c r="AL102" s="40"/>
      <c r="AM102" s="40"/>
      <c r="AN102" s="304" t="s">
        <v>434</v>
      </c>
      <c r="AO102" s="94" t="s">
        <v>520</v>
      </c>
    </row>
    <row r="103" spans="1:42" s="18" customFormat="1" x14ac:dyDescent="0.2">
      <c r="A103" s="18" t="s">
        <v>510</v>
      </c>
      <c r="B103" s="33" t="s">
        <v>432</v>
      </c>
      <c r="C103" s="33" t="s">
        <v>218</v>
      </c>
      <c r="D103" s="19" t="s">
        <v>117</v>
      </c>
      <c r="E103" s="18" t="s">
        <v>567</v>
      </c>
      <c r="G103" s="77">
        <v>7331423002139</v>
      </c>
      <c r="H103" s="77"/>
      <c r="I103" s="77"/>
      <c r="J103" s="36" t="s">
        <v>261</v>
      </c>
      <c r="K103" s="36" t="s">
        <v>977</v>
      </c>
      <c r="L103" s="5">
        <v>11.99</v>
      </c>
      <c r="M103" s="35">
        <v>1</v>
      </c>
      <c r="N103" s="35">
        <v>12</v>
      </c>
      <c r="O103" s="345"/>
      <c r="P103" s="35"/>
      <c r="Q103" s="35"/>
      <c r="R103" s="187"/>
      <c r="S103" s="33">
        <v>0.45</v>
      </c>
      <c r="T103" s="33">
        <v>2.5</v>
      </c>
      <c r="U103" s="33">
        <v>7.5</v>
      </c>
      <c r="V103" s="70">
        <v>8.5</v>
      </c>
      <c r="W103" s="44" t="s">
        <v>856</v>
      </c>
      <c r="X103" s="33" t="s">
        <v>856</v>
      </c>
      <c r="Y103" s="33" t="s">
        <v>856</v>
      </c>
      <c r="Z103" s="70" t="s">
        <v>856</v>
      </c>
      <c r="AA103" s="44">
        <v>6.9</v>
      </c>
      <c r="AB103" s="33">
        <v>15.25</v>
      </c>
      <c r="AC103" s="33">
        <v>15.25</v>
      </c>
      <c r="AD103" s="70">
        <v>7.5</v>
      </c>
      <c r="AE103" s="33">
        <f t="shared" si="2"/>
        <v>1.0093858506944444</v>
      </c>
      <c r="AF103" s="18" t="s">
        <v>10</v>
      </c>
      <c r="AG103" s="18" t="s">
        <v>404</v>
      </c>
      <c r="AH103" s="18" t="s">
        <v>626</v>
      </c>
      <c r="AI103" s="18" t="s">
        <v>625</v>
      </c>
      <c r="AJ103" s="40" t="s">
        <v>433</v>
      </c>
      <c r="AK103" s="40"/>
      <c r="AL103" s="40"/>
      <c r="AM103" s="40"/>
      <c r="AN103" s="304" t="s">
        <v>434</v>
      </c>
      <c r="AO103" s="94" t="s">
        <v>520</v>
      </c>
    </row>
    <row r="104" spans="1:42" s="18" customFormat="1" x14ac:dyDescent="0.2">
      <c r="A104" s="18" t="s">
        <v>510</v>
      </c>
      <c r="B104" s="33" t="s">
        <v>432</v>
      </c>
      <c r="C104" s="33" t="s">
        <v>654</v>
      </c>
      <c r="D104" s="19" t="s">
        <v>117</v>
      </c>
      <c r="E104" s="18" t="s">
        <v>485</v>
      </c>
      <c r="G104" s="77">
        <v>7331423002146</v>
      </c>
      <c r="H104" s="77"/>
      <c r="I104" s="77"/>
      <c r="J104" s="36" t="s">
        <v>261</v>
      </c>
      <c r="K104" s="36" t="s">
        <v>977</v>
      </c>
      <c r="L104" s="5">
        <v>11.99</v>
      </c>
      <c r="M104" s="35">
        <v>1</v>
      </c>
      <c r="N104" s="35">
        <v>12</v>
      </c>
      <c r="O104" s="345"/>
      <c r="P104" s="35"/>
      <c r="Q104" s="35"/>
      <c r="R104" s="187"/>
      <c r="S104" s="33">
        <v>0.45</v>
      </c>
      <c r="T104" s="33">
        <v>2.5</v>
      </c>
      <c r="U104" s="33">
        <v>7.5</v>
      </c>
      <c r="V104" s="70">
        <v>8.5</v>
      </c>
      <c r="W104" s="44" t="s">
        <v>856</v>
      </c>
      <c r="X104" s="33" t="s">
        <v>856</v>
      </c>
      <c r="Y104" s="33" t="s">
        <v>856</v>
      </c>
      <c r="Z104" s="70" t="s">
        <v>856</v>
      </c>
      <c r="AA104" s="44">
        <v>6.9</v>
      </c>
      <c r="AB104" s="33">
        <v>15.25</v>
      </c>
      <c r="AC104" s="33">
        <v>15.25</v>
      </c>
      <c r="AD104" s="70">
        <v>7.5</v>
      </c>
      <c r="AE104" s="33">
        <f t="shared" si="2"/>
        <v>1.0093858506944444</v>
      </c>
      <c r="AF104" s="18" t="s">
        <v>10</v>
      </c>
      <c r="AG104" s="18" t="s">
        <v>404</v>
      </c>
      <c r="AH104" s="18" t="s">
        <v>626</v>
      </c>
      <c r="AI104" s="18" t="s">
        <v>625</v>
      </c>
      <c r="AJ104" s="40" t="s">
        <v>433</v>
      </c>
      <c r="AK104" s="40"/>
      <c r="AL104" s="40"/>
      <c r="AM104" s="40"/>
      <c r="AN104" s="304" t="s">
        <v>434</v>
      </c>
      <c r="AO104" s="94" t="s">
        <v>520</v>
      </c>
    </row>
    <row r="105" spans="1:42" s="18" customFormat="1" x14ac:dyDescent="0.2">
      <c r="A105" s="18" t="s">
        <v>510</v>
      </c>
      <c r="B105" s="33" t="s">
        <v>432</v>
      </c>
      <c r="C105" s="33" t="s">
        <v>220</v>
      </c>
      <c r="D105" s="19" t="s">
        <v>117</v>
      </c>
      <c r="E105" s="18" t="s">
        <v>220</v>
      </c>
      <c r="G105" s="77">
        <v>7331423002153</v>
      </c>
      <c r="H105" s="77"/>
      <c r="I105" s="77"/>
      <c r="J105" s="36" t="s">
        <v>261</v>
      </c>
      <c r="K105" s="36" t="s">
        <v>977</v>
      </c>
      <c r="L105" s="5">
        <v>11.99</v>
      </c>
      <c r="M105" s="35">
        <v>1</v>
      </c>
      <c r="N105" s="35">
        <v>12</v>
      </c>
      <c r="O105" s="345"/>
      <c r="P105" s="35"/>
      <c r="Q105" s="35"/>
      <c r="R105" s="187"/>
      <c r="S105" s="33">
        <v>0.45</v>
      </c>
      <c r="T105" s="33">
        <v>2.5</v>
      </c>
      <c r="U105" s="33">
        <v>7.5</v>
      </c>
      <c r="V105" s="70">
        <v>8.5</v>
      </c>
      <c r="W105" s="44" t="s">
        <v>856</v>
      </c>
      <c r="X105" s="33" t="s">
        <v>856</v>
      </c>
      <c r="Y105" s="33" t="s">
        <v>856</v>
      </c>
      <c r="Z105" s="70" t="s">
        <v>856</v>
      </c>
      <c r="AA105" s="44">
        <v>6.9</v>
      </c>
      <c r="AB105" s="33">
        <v>15.25</v>
      </c>
      <c r="AC105" s="33">
        <v>15.25</v>
      </c>
      <c r="AD105" s="70">
        <v>7.5</v>
      </c>
      <c r="AE105" s="33">
        <f t="shared" si="2"/>
        <v>1.0093858506944444</v>
      </c>
      <c r="AF105" s="18" t="s">
        <v>10</v>
      </c>
      <c r="AG105" s="18" t="s">
        <v>404</v>
      </c>
      <c r="AH105" s="18" t="s">
        <v>626</v>
      </c>
      <c r="AI105" s="18" t="s">
        <v>625</v>
      </c>
      <c r="AJ105" s="40" t="s">
        <v>433</v>
      </c>
      <c r="AK105" s="40"/>
      <c r="AL105" s="40"/>
      <c r="AM105" s="40"/>
      <c r="AN105" s="304" t="s">
        <v>434</v>
      </c>
      <c r="AO105" s="94" t="s">
        <v>520</v>
      </c>
    </row>
    <row r="106" spans="1:42" s="18" customFormat="1" x14ac:dyDescent="0.2">
      <c r="A106" s="18" t="s">
        <v>510</v>
      </c>
      <c r="B106" s="33" t="s">
        <v>432</v>
      </c>
      <c r="C106" s="33" t="s">
        <v>219</v>
      </c>
      <c r="D106" s="19" t="s">
        <v>117</v>
      </c>
      <c r="E106" s="18" t="s">
        <v>219</v>
      </c>
      <c r="G106" s="77">
        <v>7331423002160</v>
      </c>
      <c r="H106" s="77"/>
      <c r="I106" s="77"/>
      <c r="J106" s="36" t="s">
        <v>261</v>
      </c>
      <c r="K106" s="36" t="s">
        <v>977</v>
      </c>
      <c r="L106" s="5">
        <v>11.99</v>
      </c>
      <c r="M106" s="35">
        <v>1</v>
      </c>
      <c r="N106" s="35">
        <v>12</v>
      </c>
      <c r="O106" s="345"/>
      <c r="P106" s="35"/>
      <c r="Q106" s="35"/>
      <c r="R106" s="187"/>
      <c r="S106" s="33">
        <v>0.45</v>
      </c>
      <c r="T106" s="33">
        <v>2.5</v>
      </c>
      <c r="U106" s="33">
        <v>7.5</v>
      </c>
      <c r="V106" s="70">
        <v>8.5</v>
      </c>
      <c r="W106" s="44" t="s">
        <v>856</v>
      </c>
      <c r="X106" s="33" t="s">
        <v>856</v>
      </c>
      <c r="Y106" s="33" t="s">
        <v>856</v>
      </c>
      <c r="Z106" s="70" t="s">
        <v>856</v>
      </c>
      <c r="AA106" s="44">
        <v>6.9</v>
      </c>
      <c r="AB106" s="33">
        <v>15.25</v>
      </c>
      <c r="AC106" s="33">
        <v>15.25</v>
      </c>
      <c r="AD106" s="70">
        <v>7.5</v>
      </c>
      <c r="AE106" s="33">
        <f t="shared" si="2"/>
        <v>1.0093858506944444</v>
      </c>
      <c r="AF106" s="18" t="s">
        <v>10</v>
      </c>
      <c r="AG106" s="18" t="s">
        <v>404</v>
      </c>
      <c r="AH106" s="18" t="s">
        <v>626</v>
      </c>
      <c r="AI106" s="18" t="s">
        <v>625</v>
      </c>
      <c r="AJ106" s="40" t="s">
        <v>433</v>
      </c>
      <c r="AK106" s="40"/>
      <c r="AL106" s="40"/>
      <c r="AM106" s="40"/>
      <c r="AN106" s="304" t="s">
        <v>434</v>
      </c>
      <c r="AO106" s="94" t="s">
        <v>520</v>
      </c>
    </row>
    <row r="107" spans="1:42" s="18" customFormat="1" x14ac:dyDescent="0.2">
      <c r="A107" s="18" t="s">
        <v>510</v>
      </c>
      <c r="B107" s="33" t="s">
        <v>432</v>
      </c>
      <c r="C107" s="33" t="s">
        <v>484</v>
      </c>
      <c r="D107" s="19" t="s">
        <v>117</v>
      </c>
      <c r="E107" s="18" t="s">
        <v>484</v>
      </c>
      <c r="G107" s="77">
        <v>7331423002085</v>
      </c>
      <c r="H107" s="77"/>
      <c r="I107" s="77"/>
      <c r="J107" s="36" t="s">
        <v>261</v>
      </c>
      <c r="K107" s="36" t="s">
        <v>977</v>
      </c>
      <c r="L107" s="5">
        <v>11.99</v>
      </c>
      <c r="M107" s="35">
        <v>1</v>
      </c>
      <c r="N107" s="35">
        <v>12</v>
      </c>
      <c r="O107" s="345"/>
      <c r="P107" s="35"/>
      <c r="Q107" s="35"/>
      <c r="R107" s="187"/>
      <c r="S107" s="33">
        <v>0.45</v>
      </c>
      <c r="T107" s="33">
        <v>2.5</v>
      </c>
      <c r="U107" s="33">
        <v>7.5</v>
      </c>
      <c r="V107" s="70">
        <v>8.5</v>
      </c>
      <c r="W107" s="44" t="s">
        <v>856</v>
      </c>
      <c r="X107" s="33" t="s">
        <v>856</v>
      </c>
      <c r="Y107" s="33" t="s">
        <v>856</v>
      </c>
      <c r="Z107" s="70" t="s">
        <v>856</v>
      </c>
      <c r="AA107" s="44">
        <v>6.9</v>
      </c>
      <c r="AB107" s="33">
        <v>15.25</v>
      </c>
      <c r="AC107" s="33">
        <v>15.25</v>
      </c>
      <c r="AD107" s="70">
        <v>7.5</v>
      </c>
      <c r="AE107" s="33">
        <f t="shared" si="2"/>
        <v>1.0093858506944444</v>
      </c>
      <c r="AF107" s="18" t="s">
        <v>10</v>
      </c>
      <c r="AG107" s="18" t="s">
        <v>404</v>
      </c>
      <c r="AH107" s="18" t="s">
        <v>626</v>
      </c>
      <c r="AI107" s="18" t="s">
        <v>625</v>
      </c>
      <c r="AJ107" s="40" t="s">
        <v>433</v>
      </c>
      <c r="AK107" s="40"/>
      <c r="AL107" s="40"/>
      <c r="AM107" s="40"/>
      <c r="AN107" s="304" t="s">
        <v>434</v>
      </c>
      <c r="AO107" s="94" t="s">
        <v>520</v>
      </c>
    </row>
    <row r="108" spans="1:42" s="18" customFormat="1" x14ac:dyDescent="0.2">
      <c r="A108" s="18" t="s">
        <v>510</v>
      </c>
      <c r="B108" s="33" t="s">
        <v>432</v>
      </c>
      <c r="C108" s="33" t="s">
        <v>653</v>
      </c>
      <c r="D108" s="19" t="s">
        <v>117</v>
      </c>
      <c r="E108" s="18" t="s">
        <v>653</v>
      </c>
      <c r="G108" s="77">
        <v>7331423003778</v>
      </c>
      <c r="H108" s="77"/>
      <c r="I108" s="77"/>
      <c r="J108" s="36" t="s">
        <v>261</v>
      </c>
      <c r="K108" s="36" t="s">
        <v>977</v>
      </c>
      <c r="L108" s="5">
        <v>11.99</v>
      </c>
      <c r="M108" s="35">
        <v>1</v>
      </c>
      <c r="N108" s="35">
        <v>12</v>
      </c>
      <c r="O108" s="345"/>
      <c r="P108" s="35"/>
      <c r="Q108" s="35"/>
      <c r="R108" s="187"/>
      <c r="S108" s="33">
        <v>0.45</v>
      </c>
      <c r="T108" s="33">
        <v>2.5</v>
      </c>
      <c r="U108" s="33">
        <v>7.5</v>
      </c>
      <c r="V108" s="70">
        <v>8.5</v>
      </c>
      <c r="W108" s="44" t="s">
        <v>856</v>
      </c>
      <c r="X108" s="33" t="s">
        <v>856</v>
      </c>
      <c r="Y108" s="33" t="s">
        <v>856</v>
      </c>
      <c r="Z108" s="70" t="s">
        <v>856</v>
      </c>
      <c r="AA108" s="44">
        <v>6.9</v>
      </c>
      <c r="AB108" s="33">
        <v>15.25</v>
      </c>
      <c r="AC108" s="33">
        <v>15.25</v>
      </c>
      <c r="AD108" s="70">
        <v>7.5</v>
      </c>
      <c r="AE108" s="33">
        <f t="shared" si="2"/>
        <v>1.0093858506944444</v>
      </c>
      <c r="AF108" s="18" t="s">
        <v>10</v>
      </c>
      <c r="AG108" s="18" t="s">
        <v>404</v>
      </c>
      <c r="AH108" s="18" t="s">
        <v>626</v>
      </c>
      <c r="AI108" s="18" t="s">
        <v>625</v>
      </c>
      <c r="AJ108" s="40" t="s">
        <v>433</v>
      </c>
      <c r="AK108" s="40"/>
      <c r="AL108" s="40"/>
      <c r="AM108" s="40"/>
      <c r="AN108" s="304" t="s">
        <v>434</v>
      </c>
      <c r="AO108" s="94" t="s">
        <v>520</v>
      </c>
    </row>
    <row r="109" spans="1:42" s="18" customFormat="1" x14ac:dyDescent="0.2">
      <c r="A109" s="18" t="s">
        <v>510</v>
      </c>
      <c r="B109" s="33" t="s">
        <v>432</v>
      </c>
      <c r="C109" s="33" t="s">
        <v>1018</v>
      </c>
      <c r="D109" s="19" t="s">
        <v>117</v>
      </c>
      <c r="E109" s="33" t="s">
        <v>1018</v>
      </c>
      <c r="F109" s="33"/>
      <c r="G109" s="77">
        <v>7331423005901</v>
      </c>
      <c r="H109" s="77"/>
      <c r="I109" s="77"/>
      <c r="J109" s="36" t="s">
        <v>261</v>
      </c>
      <c r="K109" s="36" t="s">
        <v>977</v>
      </c>
      <c r="L109" s="5">
        <v>11.99</v>
      </c>
      <c r="M109" s="35">
        <v>1</v>
      </c>
      <c r="N109" s="35">
        <v>12</v>
      </c>
      <c r="O109" s="345"/>
      <c r="P109" s="35"/>
      <c r="Q109" s="35"/>
      <c r="R109" s="187"/>
      <c r="S109" s="33">
        <v>0.45</v>
      </c>
      <c r="T109" s="33">
        <v>2.5</v>
      </c>
      <c r="U109" s="33">
        <v>7.5</v>
      </c>
      <c r="V109" s="70">
        <v>8.5</v>
      </c>
      <c r="W109" s="44" t="s">
        <v>856</v>
      </c>
      <c r="X109" s="33" t="s">
        <v>856</v>
      </c>
      <c r="Y109" s="33" t="s">
        <v>856</v>
      </c>
      <c r="Z109" s="70" t="s">
        <v>856</v>
      </c>
      <c r="AA109" s="44">
        <v>6.9</v>
      </c>
      <c r="AB109" s="33">
        <v>15.25</v>
      </c>
      <c r="AC109" s="33">
        <v>15.25</v>
      </c>
      <c r="AD109" s="70">
        <v>7.5</v>
      </c>
      <c r="AE109" s="33">
        <f t="shared" si="2"/>
        <v>1.0093858506944444</v>
      </c>
      <c r="AF109" s="18" t="s">
        <v>10</v>
      </c>
      <c r="AG109" s="18" t="s">
        <v>404</v>
      </c>
      <c r="AH109" s="18" t="s">
        <v>626</v>
      </c>
      <c r="AI109" s="18" t="s">
        <v>625</v>
      </c>
      <c r="AJ109" s="40" t="s">
        <v>433</v>
      </c>
      <c r="AK109" s="40"/>
      <c r="AL109" s="40"/>
      <c r="AM109" s="40"/>
      <c r="AN109" s="304" t="s">
        <v>434</v>
      </c>
      <c r="AO109" s="94" t="s">
        <v>520</v>
      </c>
    </row>
    <row r="110" spans="1:42" s="18" customFormat="1" x14ac:dyDescent="0.2">
      <c r="A110" s="18" t="s">
        <v>510</v>
      </c>
      <c r="B110" s="33" t="s">
        <v>587</v>
      </c>
      <c r="C110" s="33" t="s">
        <v>655</v>
      </c>
      <c r="D110" s="19" t="s">
        <v>1595</v>
      </c>
      <c r="E110" s="33" t="s">
        <v>655</v>
      </c>
      <c r="F110" s="33"/>
      <c r="G110" s="77">
        <v>7331423002078</v>
      </c>
      <c r="H110" s="77"/>
      <c r="I110" s="77"/>
      <c r="J110" s="36" t="s">
        <v>261</v>
      </c>
      <c r="K110" s="36" t="s">
        <v>977</v>
      </c>
      <c r="L110" s="5">
        <v>22.99</v>
      </c>
      <c r="M110" s="35">
        <v>1</v>
      </c>
      <c r="N110" s="35">
        <v>12</v>
      </c>
      <c r="O110" s="345"/>
      <c r="P110" s="35"/>
      <c r="Q110" s="35"/>
      <c r="R110" s="187"/>
      <c r="S110" s="33">
        <v>0.8</v>
      </c>
      <c r="T110" s="33">
        <v>2.5</v>
      </c>
      <c r="U110" s="33">
        <v>7.5</v>
      </c>
      <c r="V110" s="70">
        <v>8</v>
      </c>
      <c r="W110" s="44" t="s">
        <v>856</v>
      </c>
      <c r="X110" s="33" t="s">
        <v>856</v>
      </c>
      <c r="Y110" s="33" t="s">
        <v>856</v>
      </c>
      <c r="Z110" s="70" t="s">
        <v>856</v>
      </c>
      <c r="AA110" s="44">
        <v>10.35</v>
      </c>
      <c r="AB110" s="33">
        <v>15.25</v>
      </c>
      <c r="AC110" s="33">
        <v>15.25</v>
      </c>
      <c r="AD110" s="70">
        <v>7.5</v>
      </c>
      <c r="AE110" s="33">
        <f t="shared" si="2"/>
        <v>1.0093858506944444</v>
      </c>
      <c r="AF110" s="37" t="s">
        <v>10</v>
      </c>
      <c r="AG110" s="37" t="s">
        <v>108</v>
      </c>
      <c r="AH110" s="37" t="s">
        <v>11</v>
      </c>
      <c r="AI110" s="37" t="s">
        <v>12</v>
      </c>
      <c r="AJ110" s="37" t="s">
        <v>13</v>
      </c>
      <c r="AK110" s="37"/>
      <c r="AL110" s="37"/>
      <c r="AM110" s="37"/>
      <c r="AN110" s="37" t="s">
        <v>109</v>
      </c>
      <c r="AO110" s="94" t="s">
        <v>520</v>
      </c>
    </row>
    <row r="111" spans="1:42" s="18" customFormat="1" x14ac:dyDescent="0.2">
      <c r="A111" s="18" t="s">
        <v>510</v>
      </c>
      <c r="B111" s="33" t="s">
        <v>587</v>
      </c>
      <c r="C111" s="33" t="s">
        <v>1019</v>
      </c>
      <c r="D111" s="19" t="s">
        <v>1595</v>
      </c>
      <c r="E111" s="33" t="s">
        <v>1019</v>
      </c>
      <c r="F111" s="33"/>
      <c r="G111" s="77">
        <v>7331423005895</v>
      </c>
      <c r="H111" s="77"/>
      <c r="I111" s="77"/>
      <c r="J111" s="36" t="s">
        <v>261</v>
      </c>
      <c r="K111" s="36" t="s">
        <v>977</v>
      </c>
      <c r="L111" s="5">
        <v>22.99</v>
      </c>
      <c r="M111" s="35">
        <v>1</v>
      </c>
      <c r="N111" s="35">
        <v>12</v>
      </c>
      <c r="O111" s="345"/>
      <c r="P111" s="35"/>
      <c r="Q111" s="35"/>
      <c r="R111" s="187"/>
      <c r="S111" s="33">
        <v>0.8</v>
      </c>
      <c r="T111" s="33">
        <v>2.5</v>
      </c>
      <c r="U111" s="33">
        <v>7.5</v>
      </c>
      <c r="V111" s="70">
        <v>8</v>
      </c>
      <c r="W111" s="44" t="s">
        <v>856</v>
      </c>
      <c r="X111" s="33" t="s">
        <v>856</v>
      </c>
      <c r="Y111" s="33" t="s">
        <v>856</v>
      </c>
      <c r="Z111" s="70" t="s">
        <v>856</v>
      </c>
      <c r="AA111" s="44">
        <v>10.35</v>
      </c>
      <c r="AB111" s="33">
        <v>15.25</v>
      </c>
      <c r="AC111" s="33">
        <v>15.25</v>
      </c>
      <c r="AD111" s="70">
        <v>7.5</v>
      </c>
      <c r="AE111" s="33">
        <f t="shared" si="2"/>
        <v>1.0093858506944444</v>
      </c>
      <c r="AF111" s="37" t="s">
        <v>10</v>
      </c>
      <c r="AG111" s="37" t="s">
        <v>108</v>
      </c>
      <c r="AH111" s="37" t="s">
        <v>11</v>
      </c>
      <c r="AI111" s="37" t="s">
        <v>12</v>
      </c>
      <c r="AJ111" s="37" t="s">
        <v>13</v>
      </c>
      <c r="AK111" s="37"/>
      <c r="AL111" s="37"/>
      <c r="AM111" s="37"/>
      <c r="AN111" s="37" t="s">
        <v>109</v>
      </c>
      <c r="AO111" s="94" t="s">
        <v>520</v>
      </c>
    </row>
    <row r="112" spans="1:42" s="18" customFormat="1" x14ac:dyDescent="0.2">
      <c r="A112" s="18" t="s">
        <v>510</v>
      </c>
      <c r="B112" s="33" t="s">
        <v>587</v>
      </c>
      <c r="C112" s="33" t="s">
        <v>484</v>
      </c>
      <c r="D112" s="19" t="s">
        <v>1595</v>
      </c>
      <c r="E112" s="33" t="s">
        <v>484</v>
      </c>
      <c r="F112" s="33"/>
      <c r="G112" s="77">
        <v>7331423001996</v>
      </c>
      <c r="H112" s="77"/>
      <c r="I112" s="77"/>
      <c r="J112" s="36" t="s">
        <v>261</v>
      </c>
      <c r="K112" s="36" t="s">
        <v>977</v>
      </c>
      <c r="L112" s="5">
        <v>22.99</v>
      </c>
      <c r="M112" s="35">
        <v>1</v>
      </c>
      <c r="N112" s="35">
        <v>12</v>
      </c>
      <c r="O112" s="345"/>
      <c r="P112" s="35"/>
      <c r="Q112" s="35"/>
      <c r="R112" s="187"/>
      <c r="S112" s="33">
        <v>0.8</v>
      </c>
      <c r="T112" s="33">
        <v>2.5</v>
      </c>
      <c r="U112" s="33">
        <v>7.5</v>
      </c>
      <c r="V112" s="70">
        <v>8</v>
      </c>
      <c r="W112" s="44" t="s">
        <v>856</v>
      </c>
      <c r="X112" s="33" t="s">
        <v>856</v>
      </c>
      <c r="Y112" s="33" t="s">
        <v>856</v>
      </c>
      <c r="Z112" s="70" t="s">
        <v>856</v>
      </c>
      <c r="AA112" s="44">
        <v>10.35</v>
      </c>
      <c r="AB112" s="33">
        <v>15.25</v>
      </c>
      <c r="AC112" s="33">
        <v>15.25</v>
      </c>
      <c r="AD112" s="70">
        <v>7.5</v>
      </c>
      <c r="AE112" s="33">
        <f t="shared" si="2"/>
        <v>1.0093858506944444</v>
      </c>
      <c r="AF112" s="37" t="s">
        <v>10</v>
      </c>
      <c r="AG112" s="37" t="s">
        <v>108</v>
      </c>
      <c r="AH112" s="37" t="s">
        <v>11</v>
      </c>
      <c r="AI112" s="37" t="s">
        <v>12</v>
      </c>
      <c r="AJ112" s="37" t="s">
        <v>13</v>
      </c>
      <c r="AK112" s="37"/>
      <c r="AL112" s="37"/>
      <c r="AM112" s="37"/>
      <c r="AN112" s="37" t="s">
        <v>109</v>
      </c>
      <c r="AO112" s="94" t="s">
        <v>520</v>
      </c>
    </row>
    <row r="113" spans="1:42" s="18" customFormat="1" x14ac:dyDescent="0.2">
      <c r="A113" s="18" t="s">
        <v>510</v>
      </c>
      <c r="B113" s="33" t="s">
        <v>587</v>
      </c>
      <c r="C113" s="33" t="s">
        <v>217</v>
      </c>
      <c r="D113" s="19" t="s">
        <v>1595</v>
      </c>
      <c r="E113" s="33" t="s">
        <v>217</v>
      </c>
      <c r="F113" s="33"/>
      <c r="G113" s="77">
        <v>7331423002016</v>
      </c>
      <c r="H113" s="77"/>
      <c r="I113" s="77"/>
      <c r="J113" s="36" t="s">
        <v>261</v>
      </c>
      <c r="K113" s="36" t="s">
        <v>977</v>
      </c>
      <c r="L113" s="5">
        <v>22.99</v>
      </c>
      <c r="M113" s="35">
        <v>1</v>
      </c>
      <c r="N113" s="35">
        <v>12</v>
      </c>
      <c r="O113" s="345"/>
      <c r="P113" s="35"/>
      <c r="Q113" s="35"/>
      <c r="R113" s="187"/>
      <c r="S113" s="33">
        <v>0.8</v>
      </c>
      <c r="T113" s="33">
        <v>2.5</v>
      </c>
      <c r="U113" s="33">
        <v>7.5</v>
      </c>
      <c r="V113" s="70">
        <v>8</v>
      </c>
      <c r="W113" s="44" t="s">
        <v>856</v>
      </c>
      <c r="X113" s="33" t="s">
        <v>856</v>
      </c>
      <c r="Y113" s="33" t="s">
        <v>856</v>
      </c>
      <c r="Z113" s="70" t="s">
        <v>856</v>
      </c>
      <c r="AA113" s="44">
        <v>10.35</v>
      </c>
      <c r="AB113" s="33">
        <v>15.25</v>
      </c>
      <c r="AC113" s="33">
        <v>15.25</v>
      </c>
      <c r="AD113" s="70">
        <v>7.5</v>
      </c>
      <c r="AE113" s="33">
        <f t="shared" si="2"/>
        <v>1.0093858506944444</v>
      </c>
      <c r="AF113" s="37" t="s">
        <v>10</v>
      </c>
      <c r="AG113" s="37" t="s">
        <v>108</v>
      </c>
      <c r="AH113" s="37" t="s">
        <v>11</v>
      </c>
      <c r="AI113" s="37" t="s">
        <v>12</v>
      </c>
      <c r="AJ113" s="37" t="s">
        <v>13</v>
      </c>
      <c r="AK113" s="37"/>
      <c r="AL113" s="37"/>
      <c r="AM113" s="37"/>
      <c r="AN113" s="37" t="s">
        <v>109</v>
      </c>
      <c r="AO113" s="94" t="s">
        <v>520</v>
      </c>
    </row>
    <row r="114" spans="1:42" s="18" customFormat="1" x14ac:dyDescent="0.2">
      <c r="A114" s="18" t="s">
        <v>510</v>
      </c>
      <c r="B114" s="33" t="s">
        <v>587</v>
      </c>
      <c r="C114" s="33" t="s">
        <v>654</v>
      </c>
      <c r="D114" s="19" t="s">
        <v>1595</v>
      </c>
      <c r="E114" s="33" t="s">
        <v>654</v>
      </c>
      <c r="F114" s="33"/>
      <c r="G114" s="77">
        <v>7331423002047</v>
      </c>
      <c r="H114" s="77"/>
      <c r="I114" s="77"/>
      <c r="J114" s="36" t="s">
        <v>261</v>
      </c>
      <c r="K114" s="36" t="s">
        <v>977</v>
      </c>
      <c r="L114" s="5">
        <v>22.99</v>
      </c>
      <c r="M114" s="35">
        <v>1</v>
      </c>
      <c r="N114" s="35">
        <v>12</v>
      </c>
      <c r="O114" s="345"/>
      <c r="P114" s="35"/>
      <c r="Q114" s="35"/>
      <c r="R114" s="187"/>
      <c r="S114" s="33">
        <v>0.8</v>
      </c>
      <c r="T114" s="33">
        <v>2.5</v>
      </c>
      <c r="U114" s="33">
        <v>7.5</v>
      </c>
      <c r="V114" s="70">
        <v>8</v>
      </c>
      <c r="W114" s="44" t="s">
        <v>856</v>
      </c>
      <c r="X114" s="33" t="s">
        <v>856</v>
      </c>
      <c r="Y114" s="33" t="s">
        <v>856</v>
      </c>
      <c r="Z114" s="70" t="s">
        <v>856</v>
      </c>
      <c r="AA114" s="44">
        <v>10.35</v>
      </c>
      <c r="AB114" s="33">
        <v>15.25</v>
      </c>
      <c r="AC114" s="33">
        <v>15.25</v>
      </c>
      <c r="AD114" s="70">
        <v>7.5</v>
      </c>
      <c r="AE114" s="33">
        <f t="shared" si="2"/>
        <v>1.0093858506944444</v>
      </c>
      <c r="AF114" s="37" t="s">
        <v>10</v>
      </c>
      <c r="AG114" s="37" t="s">
        <v>108</v>
      </c>
      <c r="AH114" s="37" t="s">
        <v>11</v>
      </c>
      <c r="AI114" s="37" t="s">
        <v>12</v>
      </c>
      <c r="AJ114" s="37" t="s">
        <v>13</v>
      </c>
      <c r="AK114" s="37"/>
      <c r="AL114" s="37"/>
      <c r="AM114" s="37"/>
      <c r="AN114" s="37" t="s">
        <v>109</v>
      </c>
      <c r="AO114" s="94" t="s">
        <v>520</v>
      </c>
    </row>
    <row r="115" spans="1:42" s="18" customFormat="1" x14ac:dyDescent="0.2">
      <c r="A115" s="18" t="s">
        <v>510</v>
      </c>
      <c r="B115" s="33" t="s">
        <v>587</v>
      </c>
      <c r="C115" s="33" t="s">
        <v>218</v>
      </c>
      <c r="D115" s="19" t="s">
        <v>1595</v>
      </c>
      <c r="E115" s="33" t="s">
        <v>218</v>
      </c>
      <c r="F115" s="33"/>
      <c r="G115" s="77">
        <v>7331423002030</v>
      </c>
      <c r="H115" s="77"/>
      <c r="I115" s="77"/>
      <c r="J115" s="36" t="s">
        <v>261</v>
      </c>
      <c r="K115" s="36" t="s">
        <v>977</v>
      </c>
      <c r="L115" s="5">
        <v>22.99</v>
      </c>
      <c r="M115" s="35">
        <v>1</v>
      </c>
      <c r="N115" s="35">
        <v>12</v>
      </c>
      <c r="O115" s="345"/>
      <c r="P115" s="35"/>
      <c r="Q115" s="35"/>
      <c r="R115" s="187"/>
      <c r="S115" s="33">
        <v>0.8</v>
      </c>
      <c r="T115" s="33">
        <v>2.5</v>
      </c>
      <c r="U115" s="33">
        <v>7.5</v>
      </c>
      <c r="V115" s="70">
        <v>8</v>
      </c>
      <c r="W115" s="44" t="s">
        <v>856</v>
      </c>
      <c r="X115" s="33" t="s">
        <v>856</v>
      </c>
      <c r="Y115" s="33" t="s">
        <v>856</v>
      </c>
      <c r="Z115" s="70" t="s">
        <v>856</v>
      </c>
      <c r="AA115" s="44">
        <v>10.35</v>
      </c>
      <c r="AB115" s="33">
        <v>15.25</v>
      </c>
      <c r="AC115" s="33">
        <v>15.25</v>
      </c>
      <c r="AD115" s="70">
        <v>7.5</v>
      </c>
      <c r="AE115" s="33">
        <f t="shared" si="2"/>
        <v>1.0093858506944444</v>
      </c>
      <c r="AF115" s="37" t="s">
        <v>10</v>
      </c>
      <c r="AG115" s="37" t="s">
        <v>108</v>
      </c>
      <c r="AH115" s="37" t="s">
        <v>11</v>
      </c>
      <c r="AI115" s="37" t="s">
        <v>12</v>
      </c>
      <c r="AJ115" s="37" t="s">
        <v>13</v>
      </c>
      <c r="AK115" s="37"/>
      <c r="AL115" s="37"/>
      <c r="AM115" s="37"/>
      <c r="AN115" s="37" t="s">
        <v>109</v>
      </c>
      <c r="AO115" s="94" t="s">
        <v>520</v>
      </c>
    </row>
    <row r="116" spans="1:42" s="18" customFormat="1" x14ac:dyDescent="0.2">
      <c r="A116" s="18" t="s">
        <v>510</v>
      </c>
      <c r="B116" s="33" t="s">
        <v>587</v>
      </c>
      <c r="C116" s="33" t="s">
        <v>219</v>
      </c>
      <c r="D116" s="19" t="s">
        <v>1595</v>
      </c>
      <c r="E116" s="33" t="s">
        <v>219</v>
      </c>
      <c r="F116" s="33"/>
      <c r="G116" s="77">
        <v>7331423002061</v>
      </c>
      <c r="H116" s="77"/>
      <c r="I116" s="77"/>
      <c r="J116" s="36" t="s">
        <v>261</v>
      </c>
      <c r="K116" s="36" t="s">
        <v>977</v>
      </c>
      <c r="L116" s="5">
        <v>22.99</v>
      </c>
      <c r="M116" s="35">
        <v>1</v>
      </c>
      <c r="N116" s="35">
        <v>12</v>
      </c>
      <c r="O116" s="345"/>
      <c r="P116" s="35"/>
      <c r="Q116" s="35"/>
      <c r="R116" s="187"/>
      <c r="S116" s="33">
        <v>0.8</v>
      </c>
      <c r="T116" s="33">
        <v>2.5</v>
      </c>
      <c r="U116" s="33">
        <v>7.5</v>
      </c>
      <c r="V116" s="70">
        <v>8</v>
      </c>
      <c r="W116" s="44" t="s">
        <v>856</v>
      </c>
      <c r="X116" s="33" t="s">
        <v>856</v>
      </c>
      <c r="Y116" s="33" t="s">
        <v>856</v>
      </c>
      <c r="Z116" s="70" t="s">
        <v>856</v>
      </c>
      <c r="AA116" s="44">
        <v>10.35</v>
      </c>
      <c r="AB116" s="33">
        <v>15.25</v>
      </c>
      <c r="AC116" s="33">
        <v>15.25</v>
      </c>
      <c r="AD116" s="70">
        <v>7.5</v>
      </c>
      <c r="AE116" s="33">
        <f t="shared" si="2"/>
        <v>1.0093858506944444</v>
      </c>
      <c r="AF116" s="37" t="s">
        <v>10</v>
      </c>
      <c r="AG116" s="37" t="s">
        <v>108</v>
      </c>
      <c r="AH116" s="37" t="s">
        <v>11</v>
      </c>
      <c r="AI116" s="37" t="s">
        <v>12</v>
      </c>
      <c r="AJ116" s="37" t="s">
        <v>13</v>
      </c>
      <c r="AK116" s="37"/>
      <c r="AL116" s="37"/>
      <c r="AM116" s="37"/>
      <c r="AN116" s="37" t="s">
        <v>109</v>
      </c>
      <c r="AO116" s="94" t="s">
        <v>520</v>
      </c>
    </row>
    <row r="117" spans="1:42" s="18" customFormat="1" x14ac:dyDescent="0.2">
      <c r="A117" s="18" t="s">
        <v>510</v>
      </c>
      <c r="B117" s="33" t="s">
        <v>587</v>
      </c>
      <c r="C117" s="33" t="s">
        <v>220</v>
      </c>
      <c r="D117" s="19" t="s">
        <v>1595</v>
      </c>
      <c r="E117" s="33" t="s">
        <v>220</v>
      </c>
      <c r="F117" s="33"/>
      <c r="G117" s="77">
        <v>7331423002054</v>
      </c>
      <c r="H117" s="77"/>
      <c r="I117" s="77"/>
      <c r="J117" s="36" t="s">
        <v>261</v>
      </c>
      <c r="K117" s="36" t="s">
        <v>977</v>
      </c>
      <c r="L117" s="5">
        <v>22.99</v>
      </c>
      <c r="M117" s="35">
        <v>1</v>
      </c>
      <c r="N117" s="35">
        <v>12</v>
      </c>
      <c r="O117" s="345"/>
      <c r="P117" s="35"/>
      <c r="Q117" s="35"/>
      <c r="R117" s="187"/>
      <c r="S117" s="33">
        <v>0.8</v>
      </c>
      <c r="T117" s="33">
        <v>2.5</v>
      </c>
      <c r="U117" s="33">
        <v>7.5</v>
      </c>
      <c r="V117" s="70">
        <v>8</v>
      </c>
      <c r="W117" s="44" t="s">
        <v>856</v>
      </c>
      <c r="X117" s="33" t="s">
        <v>856</v>
      </c>
      <c r="Y117" s="33" t="s">
        <v>856</v>
      </c>
      <c r="Z117" s="70" t="s">
        <v>856</v>
      </c>
      <c r="AA117" s="44">
        <v>10.35</v>
      </c>
      <c r="AB117" s="33">
        <v>15.25</v>
      </c>
      <c r="AC117" s="33">
        <v>15.25</v>
      </c>
      <c r="AD117" s="70">
        <v>7.5</v>
      </c>
      <c r="AE117" s="33">
        <f t="shared" si="2"/>
        <v>1.0093858506944444</v>
      </c>
      <c r="AF117" s="37" t="s">
        <v>10</v>
      </c>
      <c r="AG117" s="37" t="s">
        <v>108</v>
      </c>
      <c r="AH117" s="37" t="s">
        <v>11</v>
      </c>
      <c r="AI117" s="37" t="s">
        <v>12</v>
      </c>
      <c r="AJ117" s="37" t="s">
        <v>13</v>
      </c>
      <c r="AK117" s="37"/>
      <c r="AL117" s="37"/>
      <c r="AM117" s="37"/>
      <c r="AN117" s="37" t="s">
        <v>109</v>
      </c>
      <c r="AO117" s="94" t="s">
        <v>520</v>
      </c>
    </row>
    <row r="118" spans="1:42" s="18" customFormat="1" x14ac:dyDescent="0.2">
      <c r="A118" s="18" t="s">
        <v>510</v>
      </c>
      <c r="B118" s="33" t="s">
        <v>587</v>
      </c>
      <c r="C118" s="33" t="s">
        <v>222</v>
      </c>
      <c r="D118" s="19" t="s">
        <v>1595</v>
      </c>
      <c r="E118" s="33" t="s">
        <v>222</v>
      </c>
      <c r="F118" s="33"/>
      <c r="G118" s="77">
        <v>7331423002009</v>
      </c>
      <c r="H118" s="77"/>
      <c r="I118" s="77"/>
      <c r="J118" s="36" t="s">
        <v>261</v>
      </c>
      <c r="K118" s="36" t="s">
        <v>977</v>
      </c>
      <c r="L118" s="5">
        <v>22.99</v>
      </c>
      <c r="M118" s="35">
        <v>1</v>
      </c>
      <c r="N118" s="35">
        <v>12</v>
      </c>
      <c r="O118" s="345"/>
      <c r="P118" s="35"/>
      <c r="Q118" s="35"/>
      <c r="R118" s="187"/>
      <c r="S118" s="33">
        <v>0.8</v>
      </c>
      <c r="T118" s="33">
        <v>2.5</v>
      </c>
      <c r="U118" s="33">
        <v>7.5</v>
      </c>
      <c r="V118" s="70">
        <v>8</v>
      </c>
      <c r="W118" s="44" t="s">
        <v>856</v>
      </c>
      <c r="X118" s="33" t="s">
        <v>856</v>
      </c>
      <c r="Y118" s="33" t="s">
        <v>856</v>
      </c>
      <c r="Z118" s="70" t="s">
        <v>856</v>
      </c>
      <c r="AA118" s="44">
        <v>10.35</v>
      </c>
      <c r="AB118" s="33">
        <v>15.25</v>
      </c>
      <c r="AC118" s="33">
        <v>15.25</v>
      </c>
      <c r="AD118" s="70">
        <v>7.5</v>
      </c>
      <c r="AE118" s="33">
        <f t="shared" si="2"/>
        <v>1.0093858506944444</v>
      </c>
      <c r="AF118" s="37" t="s">
        <v>10</v>
      </c>
      <c r="AG118" s="37" t="s">
        <v>108</v>
      </c>
      <c r="AH118" s="37" t="s">
        <v>11</v>
      </c>
      <c r="AI118" s="37" t="s">
        <v>12</v>
      </c>
      <c r="AJ118" s="37" t="s">
        <v>13</v>
      </c>
      <c r="AK118" s="37"/>
      <c r="AL118" s="37"/>
      <c r="AM118" s="37"/>
      <c r="AN118" s="37" t="s">
        <v>109</v>
      </c>
      <c r="AO118" s="94" t="s">
        <v>520</v>
      </c>
    </row>
    <row r="119" spans="1:42" s="18" customFormat="1" x14ac:dyDescent="0.2">
      <c r="A119" s="18" t="s">
        <v>510</v>
      </c>
      <c r="B119" s="33" t="s">
        <v>587</v>
      </c>
      <c r="C119" s="33" t="s">
        <v>483</v>
      </c>
      <c r="D119" s="19" t="s">
        <v>1595</v>
      </c>
      <c r="E119" s="33" t="s">
        <v>483</v>
      </c>
      <c r="F119" s="33"/>
      <c r="G119" s="77">
        <v>7331423002023</v>
      </c>
      <c r="H119" s="77"/>
      <c r="I119" s="77"/>
      <c r="J119" s="36" t="s">
        <v>261</v>
      </c>
      <c r="K119" s="36" t="s">
        <v>977</v>
      </c>
      <c r="L119" s="5">
        <v>22.99</v>
      </c>
      <c r="M119" s="35">
        <v>1</v>
      </c>
      <c r="N119" s="35">
        <v>12</v>
      </c>
      <c r="O119" s="345"/>
      <c r="P119" s="35"/>
      <c r="Q119" s="35"/>
      <c r="R119" s="187"/>
      <c r="S119" s="33">
        <v>0.8</v>
      </c>
      <c r="T119" s="33">
        <v>2.5</v>
      </c>
      <c r="U119" s="33">
        <v>7.5</v>
      </c>
      <c r="V119" s="70">
        <v>8</v>
      </c>
      <c r="W119" s="44" t="s">
        <v>856</v>
      </c>
      <c r="X119" s="33" t="s">
        <v>856</v>
      </c>
      <c r="Y119" s="33" t="s">
        <v>856</v>
      </c>
      <c r="Z119" s="70" t="s">
        <v>856</v>
      </c>
      <c r="AA119" s="44">
        <v>10.35</v>
      </c>
      <c r="AB119" s="33">
        <v>15.25</v>
      </c>
      <c r="AC119" s="33">
        <v>15.25</v>
      </c>
      <c r="AD119" s="70">
        <v>7.5</v>
      </c>
      <c r="AE119" s="33">
        <f t="shared" si="2"/>
        <v>1.0093858506944444</v>
      </c>
      <c r="AF119" s="37" t="s">
        <v>10</v>
      </c>
      <c r="AG119" s="37" t="s">
        <v>108</v>
      </c>
      <c r="AH119" s="37" t="s">
        <v>11</v>
      </c>
      <c r="AI119" s="37" t="s">
        <v>12</v>
      </c>
      <c r="AJ119" s="37" t="s">
        <v>13</v>
      </c>
      <c r="AK119" s="37"/>
      <c r="AL119" s="37"/>
      <c r="AM119" s="37"/>
      <c r="AN119" s="37" t="s">
        <v>109</v>
      </c>
      <c r="AO119" s="94" t="s">
        <v>520</v>
      </c>
    </row>
    <row r="120" spans="1:42" s="18" customFormat="1" x14ac:dyDescent="0.2">
      <c r="A120" s="18" t="s">
        <v>510</v>
      </c>
      <c r="B120" s="33" t="s">
        <v>587</v>
      </c>
      <c r="C120" s="33" t="s">
        <v>653</v>
      </c>
      <c r="D120" s="19" t="s">
        <v>1595</v>
      </c>
      <c r="E120" s="33" t="s">
        <v>653</v>
      </c>
      <c r="F120" s="33"/>
      <c r="G120" s="77">
        <v>7331423003792</v>
      </c>
      <c r="H120" s="77"/>
      <c r="I120" s="77"/>
      <c r="J120" s="36" t="s">
        <v>261</v>
      </c>
      <c r="K120" s="36" t="s">
        <v>977</v>
      </c>
      <c r="L120" s="5">
        <v>22.99</v>
      </c>
      <c r="M120" s="35">
        <v>1</v>
      </c>
      <c r="N120" s="35">
        <v>12</v>
      </c>
      <c r="O120" s="345"/>
      <c r="P120" s="35"/>
      <c r="Q120" s="35"/>
      <c r="R120" s="187"/>
      <c r="S120" s="33">
        <v>0.8</v>
      </c>
      <c r="T120" s="33">
        <v>2.5</v>
      </c>
      <c r="U120" s="33">
        <v>7.5</v>
      </c>
      <c r="V120" s="70">
        <v>8</v>
      </c>
      <c r="W120" s="44" t="s">
        <v>856</v>
      </c>
      <c r="X120" s="33" t="s">
        <v>856</v>
      </c>
      <c r="Y120" s="33" t="s">
        <v>856</v>
      </c>
      <c r="Z120" s="70" t="s">
        <v>856</v>
      </c>
      <c r="AA120" s="44">
        <v>10.35</v>
      </c>
      <c r="AB120" s="33">
        <v>15.25</v>
      </c>
      <c r="AC120" s="33">
        <v>15.25</v>
      </c>
      <c r="AD120" s="70">
        <v>7.5</v>
      </c>
      <c r="AE120" s="33">
        <f t="shared" si="2"/>
        <v>1.0093858506944444</v>
      </c>
      <c r="AF120" s="37" t="s">
        <v>10</v>
      </c>
      <c r="AG120" s="37" t="s">
        <v>108</v>
      </c>
      <c r="AH120" s="37" t="s">
        <v>11</v>
      </c>
      <c r="AI120" s="37" t="s">
        <v>12</v>
      </c>
      <c r="AJ120" s="37" t="s">
        <v>13</v>
      </c>
      <c r="AK120" s="37"/>
      <c r="AL120" s="37"/>
      <c r="AM120" s="37"/>
      <c r="AN120" s="37" t="s">
        <v>109</v>
      </c>
      <c r="AO120" s="94" t="s">
        <v>520</v>
      </c>
    </row>
    <row r="121" spans="1:42" s="18" customFormat="1" x14ac:dyDescent="0.2">
      <c r="A121" s="18" t="s">
        <v>510</v>
      </c>
      <c r="B121" s="33" t="s">
        <v>587</v>
      </c>
      <c r="C121" s="33" t="s">
        <v>1018</v>
      </c>
      <c r="D121" s="19" t="s">
        <v>1595</v>
      </c>
      <c r="E121" s="33" t="s">
        <v>1018</v>
      </c>
      <c r="F121" s="33"/>
      <c r="G121" s="77">
        <v>7331423005888</v>
      </c>
      <c r="H121" s="77"/>
      <c r="I121" s="77"/>
      <c r="J121" s="36" t="s">
        <v>261</v>
      </c>
      <c r="K121" s="36" t="s">
        <v>977</v>
      </c>
      <c r="L121" s="5">
        <v>22.99</v>
      </c>
      <c r="M121" s="35">
        <v>1</v>
      </c>
      <c r="N121" s="35">
        <v>12</v>
      </c>
      <c r="O121" s="345"/>
      <c r="P121" s="35"/>
      <c r="Q121" s="35"/>
      <c r="R121" s="187"/>
      <c r="S121" s="33">
        <v>0.8</v>
      </c>
      <c r="T121" s="33">
        <v>2.5</v>
      </c>
      <c r="U121" s="33">
        <v>7.5</v>
      </c>
      <c r="V121" s="70">
        <v>8</v>
      </c>
      <c r="W121" s="44" t="s">
        <v>856</v>
      </c>
      <c r="X121" s="33" t="s">
        <v>856</v>
      </c>
      <c r="Y121" s="33" t="s">
        <v>856</v>
      </c>
      <c r="Z121" s="70" t="s">
        <v>856</v>
      </c>
      <c r="AA121" s="44">
        <v>10.35</v>
      </c>
      <c r="AB121" s="33">
        <v>15.25</v>
      </c>
      <c r="AC121" s="33">
        <v>15.25</v>
      </c>
      <c r="AD121" s="70">
        <v>7.5</v>
      </c>
      <c r="AE121" s="33">
        <f t="shared" si="2"/>
        <v>1.0093858506944444</v>
      </c>
      <c r="AF121" s="37" t="s">
        <v>10</v>
      </c>
      <c r="AG121" s="37" t="s">
        <v>108</v>
      </c>
      <c r="AH121" s="37" t="s">
        <v>11</v>
      </c>
      <c r="AI121" s="37" t="s">
        <v>12</v>
      </c>
      <c r="AJ121" s="37" t="s">
        <v>13</v>
      </c>
      <c r="AK121" s="37"/>
      <c r="AL121" s="37"/>
      <c r="AM121" s="37"/>
      <c r="AN121" s="37" t="s">
        <v>109</v>
      </c>
      <c r="AO121" s="94" t="s">
        <v>520</v>
      </c>
    </row>
    <row r="122" spans="1:42" s="18" customFormat="1" ht="13.5" customHeight="1" x14ac:dyDescent="0.2">
      <c r="A122" s="18" t="s">
        <v>510</v>
      </c>
      <c r="B122" s="33" t="s">
        <v>389</v>
      </c>
      <c r="C122" s="33" t="s">
        <v>222</v>
      </c>
      <c r="D122" s="33" t="s">
        <v>1579</v>
      </c>
      <c r="E122" s="33" t="s">
        <v>222</v>
      </c>
      <c r="F122" s="33"/>
      <c r="G122" s="48">
        <v>7331423040230</v>
      </c>
      <c r="H122" s="48"/>
      <c r="I122" s="48"/>
      <c r="J122" s="36" t="s">
        <v>568</v>
      </c>
      <c r="K122" s="36" t="s">
        <v>977</v>
      </c>
      <c r="L122" s="5">
        <v>5.99</v>
      </c>
      <c r="M122" s="35">
        <v>36</v>
      </c>
      <c r="N122" s="35">
        <v>36</v>
      </c>
      <c r="O122" s="345"/>
      <c r="P122" s="35"/>
      <c r="Q122" s="35"/>
      <c r="R122" s="187"/>
      <c r="S122" s="33">
        <v>0.15</v>
      </c>
      <c r="T122" s="33">
        <v>4.5</v>
      </c>
      <c r="U122" s="33">
        <v>5.75</v>
      </c>
      <c r="V122" s="70">
        <v>2</v>
      </c>
      <c r="W122" s="44" t="s">
        <v>856</v>
      </c>
      <c r="X122" s="33" t="s">
        <v>856</v>
      </c>
      <c r="Y122" s="33" t="s">
        <v>856</v>
      </c>
      <c r="Z122" s="70" t="s">
        <v>856</v>
      </c>
      <c r="AA122" s="44">
        <v>6.25</v>
      </c>
      <c r="AB122" s="33">
        <v>15.25</v>
      </c>
      <c r="AC122" s="33">
        <v>15.25</v>
      </c>
      <c r="AD122" s="70">
        <v>7.5</v>
      </c>
      <c r="AE122" s="33">
        <f t="shared" si="2"/>
        <v>1.0093858506944444</v>
      </c>
      <c r="AF122" s="37" t="s">
        <v>465</v>
      </c>
      <c r="AG122" s="37" t="s">
        <v>466</v>
      </c>
      <c r="AH122" s="37" t="s">
        <v>467</v>
      </c>
      <c r="AI122" s="37" t="s">
        <v>468</v>
      </c>
      <c r="AJ122" s="37" t="s">
        <v>469</v>
      </c>
      <c r="AK122" s="37"/>
      <c r="AL122" s="37"/>
      <c r="AM122" s="37"/>
      <c r="AN122" s="37" t="s">
        <v>464</v>
      </c>
      <c r="AO122" s="94" t="s">
        <v>520</v>
      </c>
    </row>
    <row r="123" spans="1:42" s="18" customFormat="1" ht="13.5" customHeight="1" x14ac:dyDescent="0.2">
      <c r="A123" s="18" t="s">
        <v>510</v>
      </c>
      <c r="B123" s="33" t="s">
        <v>389</v>
      </c>
      <c r="C123" s="33" t="s">
        <v>217</v>
      </c>
      <c r="D123" s="33" t="s">
        <v>1579</v>
      </c>
      <c r="E123" s="33" t="s">
        <v>217</v>
      </c>
      <c r="F123" s="33"/>
      <c r="G123" s="48">
        <v>7331423000234</v>
      </c>
      <c r="H123" s="48"/>
      <c r="I123" s="48"/>
      <c r="J123" s="36" t="s">
        <v>568</v>
      </c>
      <c r="K123" s="36" t="s">
        <v>977</v>
      </c>
      <c r="L123" s="5">
        <v>5.99</v>
      </c>
      <c r="M123" s="35">
        <v>36</v>
      </c>
      <c r="N123" s="35">
        <v>36</v>
      </c>
      <c r="O123" s="345"/>
      <c r="P123" s="35"/>
      <c r="Q123" s="35"/>
      <c r="R123" s="187"/>
      <c r="S123" s="33">
        <v>0.15</v>
      </c>
      <c r="T123" s="33">
        <v>4.5</v>
      </c>
      <c r="U123" s="33">
        <v>5.75</v>
      </c>
      <c r="V123" s="70">
        <v>2</v>
      </c>
      <c r="W123" s="44" t="s">
        <v>856</v>
      </c>
      <c r="X123" s="33" t="s">
        <v>856</v>
      </c>
      <c r="Y123" s="33" t="s">
        <v>856</v>
      </c>
      <c r="Z123" s="70" t="s">
        <v>856</v>
      </c>
      <c r="AA123" s="44">
        <v>6.25</v>
      </c>
      <c r="AB123" s="33">
        <v>15.25</v>
      </c>
      <c r="AC123" s="33">
        <v>15.25</v>
      </c>
      <c r="AD123" s="70">
        <v>7.5</v>
      </c>
      <c r="AE123" s="33">
        <f t="shared" ref="AE123:AE150" si="3">AB123*AC123*AD123/(12^3)</f>
        <v>1.0093858506944444</v>
      </c>
      <c r="AF123" s="37" t="s">
        <v>465</v>
      </c>
      <c r="AG123" s="37" t="s">
        <v>466</v>
      </c>
      <c r="AH123" s="37" t="s">
        <v>467</v>
      </c>
      <c r="AI123" s="37" t="s">
        <v>468</v>
      </c>
      <c r="AJ123" s="37" t="s">
        <v>469</v>
      </c>
      <c r="AK123" s="37"/>
      <c r="AL123" s="37"/>
      <c r="AM123" s="37"/>
      <c r="AN123" s="37" t="s">
        <v>464</v>
      </c>
      <c r="AO123" s="94" t="s">
        <v>520</v>
      </c>
    </row>
    <row r="124" spans="1:42" s="18" customFormat="1" ht="13.5" customHeight="1" x14ac:dyDescent="0.2">
      <c r="A124" s="18" t="s">
        <v>510</v>
      </c>
      <c r="B124" s="33" t="s">
        <v>389</v>
      </c>
      <c r="C124" s="33" t="s">
        <v>483</v>
      </c>
      <c r="D124" s="33" t="s">
        <v>1579</v>
      </c>
      <c r="E124" s="33" t="s">
        <v>483</v>
      </c>
      <c r="F124" s="33"/>
      <c r="G124" s="48">
        <v>7331423000241</v>
      </c>
      <c r="H124" s="48"/>
      <c r="I124" s="48"/>
      <c r="J124" s="36" t="s">
        <v>568</v>
      </c>
      <c r="K124" s="36" t="s">
        <v>977</v>
      </c>
      <c r="L124" s="5">
        <v>5.99</v>
      </c>
      <c r="M124" s="35">
        <v>36</v>
      </c>
      <c r="N124" s="35">
        <v>36</v>
      </c>
      <c r="O124" s="345"/>
      <c r="P124" s="35"/>
      <c r="Q124" s="35"/>
      <c r="R124" s="187"/>
      <c r="S124" s="33">
        <v>0.15</v>
      </c>
      <c r="T124" s="33">
        <v>4.5</v>
      </c>
      <c r="U124" s="33">
        <v>5.75</v>
      </c>
      <c r="V124" s="70">
        <v>2</v>
      </c>
      <c r="W124" s="44" t="s">
        <v>856</v>
      </c>
      <c r="X124" s="33" t="s">
        <v>856</v>
      </c>
      <c r="Y124" s="33" t="s">
        <v>856</v>
      </c>
      <c r="Z124" s="70" t="s">
        <v>856</v>
      </c>
      <c r="AA124" s="44"/>
      <c r="AB124" s="33"/>
      <c r="AC124" s="33"/>
      <c r="AD124" s="70"/>
      <c r="AE124" s="33">
        <f t="shared" si="3"/>
        <v>0</v>
      </c>
      <c r="AF124" s="37" t="s">
        <v>465</v>
      </c>
      <c r="AG124" s="37" t="s">
        <v>466</v>
      </c>
      <c r="AH124" s="37" t="s">
        <v>467</v>
      </c>
      <c r="AI124" s="37" t="s">
        <v>468</v>
      </c>
      <c r="AJ124" s="37" t="s">
        <v>469</v>
      </c>
      <c r="AK124" s="37"/>
      <c r="AL124" s="37"/>
      <c r="AM124" s="37"/>
      <c r="AN124" s="37" t="s">
        <v>464</v>
      </c>
      <c r="AO124" s="94" t="s">
        <v>520</v>
      </c>
    </row>
    <row r="125" spans="1:42" s="18" customFormat="1" ht="13.5" customHeight="1" x14ac:dyDescent="0.2">
      <c r="A125" s="18" t="s">
        <v>510</v>
      </c>
      <c r="B125" s="33" t="s">
        <v>389</v>
      </c>
      <c r="C125" s="33" t="s">
        <v>218</v>
      </c>
      <c r="D125" s="33" t="s">
        <v>1579</v>
      </c>
      <c r="E125" s="33" t="s">
        <v>218</v>
      </c>
      <c r="F125" s="33"/>
      <c r="G125" s="48">
        <v>7331423000258</v>
      </c>
      <c r="H125" s="48"/>
      <c r="I125" s="48"/>
      <c r="J125" s="36" t="s">
        <v>568</v>
      </c>
      <c r="K125" s="36" t="s">
        <v>977</v>
      </c>
      <c r="L125" s="5">
        <v>5.99</v>
      </c>
      <c r="M125" s="35">
        <v>36</v>
      </c>
      <c r="N125" s="35">
        <v>36</v>
      </c>
      <c r="O125" s="345"/>
      <c r="P125" s="35"/>
      <c r="Q125" s="35"/>
      <c r="R125" s="187"/>
      <c r="S125" s="33">
        <v>0.15</v>
      </c>
      <c r="T125" s="33">
        <v>4.5</v>
      </c>
      <c r="U125" s="33">
        <v>5.75</v>
      </c>
      <c r="V125" s="70">
        <v>2</v>
      </c>
      <c r="W125" s="44" t="s">
        <v>856</v>
      </c>
      <c r="X125" s="33" t="s">
        <v>856</v>
      </c>
      <c r="Y125" s="33" t="s">
        <v>856</v>
      </c>
      <c r="Z125" s="70" t="s">
        <v>856</v>
      </c>
      <c r="AA125" s="44">
        <v>7.55</v>
      </c>
      <c r="AB125" s="33">
        <v>15.25</v>
      </c>
      <c r="AC125" s="33">
        <v>15.25</v>
      </c>
      <c r="AD125" s="70">
        <v>7.5</v>
      </c>
      <c r="AE125" s="33">
        <f t="shared" si="3"/>
        <v>1.0093858506944444</v>
      </c>
      <c r="AF125" s="37" t="s">
        <v>465</v>
      </c>
      <c r="AG125" s="37" t="s">
        <v>466</v>
      </c>
      <c r="AH125" s="37" t="s">
        <v>467</v>
      </c>
      <c r="AI125" s="37" t="s">
        <v>468</v>
      </c>
      <c r="AJ125" s="37" t="s">
        <v>469</v>
      </c>
      <c r="AK125" s="37"/>
      <c r="AL125" s="37"/>
      <c r="AM125" s="37"/>
      <c r="AN125" s="37" t="s">
        <v>464</v>
      </c>
      <c r="AO125" s="94" t="s">
        <v>520</v>
      </c>
    </row>
    <row r="126" spans="1:42" s="18" customFormat="1" x14ac:dyDescent="0.2">
      <c r="A126" s="18" t="s">
        <v>510</v>
      </c>
      <c r="B126" s="19" t="s">
        <v>730</v>
      </c>
      <c r="C126" s="19" t="s">
        <v>245</v>
      </c>
      <c r="D126" s="19" t="s">
        <v>1582</v>
      </c>
      <c r="E126" s="19" t="s">
        <v>245</v>
      </c>
      <c r="F126" s="19"/>
      <c r="G126" s="77">
        <v>7331423005086</v>
      </c>
      <c r="H126" s="77"/>
      <c r="I126" s="77"/>
      <c r="J126" s="36" t="s">
        <v>568</v>
      </c>
      <c r="K126" s="36" t="s">
        <v>977</v>
      </c>
      <c r="L126" s="5">
        <v>6.99</v>
      </c>
      <c r="M126" s="35">
        <v>24</v>
      </c>
      <c r="N126" s="35">
        <v>144</v>
      </c>
      <c r="O126" s="345"/>
      <c r="P126" s="35"/>
      <c r="Q126" s="35"/>
      <c r="R126" s="187"/>
      <c r="S126" s="33">
        <v>7.6999999999999999E-2</v>
      </c>
      <c r="T126" s="33">
        <v>2.5</v>
      </c>
      <c r="U126" s="33">
        <v>1</v>
      </c>
      <c r="V126" s="70">
        <v>8.25</v>
      </c>
      <c r="W126" s="99">
        <v>1.9</v>
      </c>
      <c r="X126" s="100">
        <v>5</v>
      </c>
      <c r="Y126" s="100">
        <v>9</v>
      </c>
      <c r="Z126" s="101">
        <v>8.5</v>
      </c>
      <c r="AA126" s="44">
        <v>12.3</v>
      </c>
      <c r="AB126" s="33">
        <v>9.5</v>
      </c>
      <c r="AC126" s="33">
        <v>15</v>
      </c>
      <c r="AD126" s="70">
        <v>18</v>
      </c>
      <c r="AE126" s="33">
        <f t="shared" si="3"/>
        <v>1.484375</v>
      </c>
      <c r="AF126" s="18" t="s">
        <v>719</v>
      </c>
      <c r="AG126" s="37" t="s">
        <v>715</v>
      </c>
      <c r="AH126" s="18" t="s">
        <v>716</v>
      </c>
      <c r="AI126" s="37" t="s">
        <v>717</v>
      </c>
      <c r="AJ126" s="18" t="s">
        <v>731</v>
      </c>
      <c r="AN126" s="12" t="s">
        <v>732</v>
      </c>
      <c r="AO126" s="94" t="s">
        <v>520</v>
      </c>
      <c r="AP126" s="13"/>
    </row>
    <row r="127" spans="1:42" s="18" customFormat="1" x14ac:dyDescent="0.2">
      <c r="A127" s="18" t="s">
        <v>510</v>
      </c>
      <c r="B127" s="19" t="s">
        <v>730</v>
      </c>
      <c r="C127" s="19" t="s">
        <v>383</v>
      </c>
      <c r="D127" s="19" t="s">
        <v>1582</v>
      </c>
      <c r="E127" s="19" t="s">
        <v>383</v>
      </c>
      <c r="F127" s="19"/>
      <c r="G127" s="77">
        <v>7331423005000</v>
      </c>
      <c r="H127" s="77"/>
      <c r="I127" s="77"/>
      <c r="J127" s="36" t="s">
        <v>568</v>
      </c>
      <c r="K127" s="36" t="s">
        <v>977</v>
      </c>
      <c r="L127" s="5">
        <v>6.99</v>
      </c>
      <c r="M127" s="35">
        <v>24</v>
      </c>
      <c r="N127" s="35">
        <v>144</v>
      </c>
      <c r="O127" s="345"/>
      <c r="P127" s="35"/>
      <c r="Q127" s="35"/>
      <c r="R127" s="187"/>
      <c r="S127" s="33">
        <v>7.6999999999999999E-2</v>
      </c>
      <c r="T127" s="33">
        <v>2.5</v>
      </c>
      <c r="U127" s="33">
        <v>1</v>
      </c>
      <c r="V127" s="70">
        <v>8.25</v>
      </c>
      <c r="W127" s="99">
        <v>1.9</v>
      </c>
      <c r="X127" s="100">
        <v>5</v>
      </c>
      <c r="Y127" s="100">
        <v>9</v>
      </c>
      <c r="Z127" s="101">
        <v>8.5</v>
      </c>
      <c r="AA127" s="44">
        <v>12.3</v>
      </c>
      <c r="AB127" s="33">
        <v>9.5</v>
      </c>
      <c r="AC127" s="33">
        <v>15</v>
      </c>
      <c r="AD127" s="70">
        <v>18</v>
      </c>
      <c r="AE127" s="33">
        <f t="shared" si="3"/>
        <v>1.484375</v>
      </c>
      <c r="AF127" s="18" t="s">
        <v>719</v>
      </c>
      <c r="AG127" s="37" t="s">
        <v>715</v>
      </c>
      <c r="AH127" s="18" t="s">
        <v>716</v>
      </c>
      <c r="AI127" s="37" t="s">
        <v>717</v>
      </c>
      <c r="AJ127" s="18" t="s">
        <v>731</v>
      </c>
      <c r="AN127" s="12" t="s">
        <v>732</v>
      </c>
      <c r="AO127" s="94" t="s">
        <v>520</v>
      </c>
      <c r="AP127" s="13"/>
    </row>
    <row r="128" spans="1:42" s="18" customFormat="1" x14ac:dyDescent="0.2">
      <c r="A128" s="18" t="s">
        <v>510</v>
      </c>
      <c r="B128" s="19" t="s">
        <v>730</v>
      </c>
      <c r="C128" s="19" t="s">
        <v>343</v>
      </c>
      <c r="D128" s="19" t="s">
        <v>1582</v>
      </c>
      <c r="E128" s="19" t="s">
        <v>485</v>
      </c>
      <c r="F128" s="19"/>
      <c r="G128" s="77">
        <v>7331423005017</v>
      </c>
      <c r="H128" s="77"/>
      <c r="I128" s="77"/>
      <c r="J128" s="36" t="s">
        <v>568</v>
      </c>
      <c r="K128" s="36" t="s">
        <v>977</v>
      </c>
      <c r="L128" s="5">
        <v>6.99</v>
      </c>
      <c r="M128" s="35">
        <v>24</v>
      </c>
      <c r="N128" s="35">
        <v>144</v>
      </c>
      <c r="O128" s="345"/>
      <c r="P128" s="35"/>
      <c r="Q128" s="35"/>
      <c r="R128" s="187"/>
      <c r="S128" s="33">
        <v>7.6999999999999999E-2</v>
      </c>
      <c r="T128" s="33">
        <v>2.5</v>
      </c>
      <c r="U128" s="33">
        <v>1</v>
      </c>
      <c r="V128" s="70">
        <v>8.25</v>
      </c>
      <c r="W128" s="99">
        <v>1.9</v>
      </c>
      <c r="X128" s="100">
        <v>5</v>
      </c>
      <c r="Y128" s="100">
        <v>9</v>
      </c>
      <c r="Z128" s="101">
        <v>8.5</v>
      </c>
      <c r="AA128" s="44">
        <v>12.3</v>
      </c>
      <c r="AB128" s="33">
        <v>9.5</v>
      </c>
      <c r="AC128" s="33">
        <v>15</v>
      </c>
      <c r="AD128" s="70">
        <v>18</v>
      </c>
      <c r="AE128" s="33">
        <f t="shared" si="3"/>
        <v>1.484375</v>
      </c>
      <c r="AF128" s="18" t="s">
        <v>719</v>
      </c>
      <c r="AG128" s="37" t="s">
        <v>715</v>
      </c>
      <c r="AH128" s="18" t="s">
        <v>716</v>
      </c>
      <c r="AI128" s="37" t="s">
        <v>717</v>
      </c>
      <c r="AJ128" s="18" t="s">
        <v>731</v>
      </c>
      <c r="AN128" s="12" t="s">
        <v>732</v>
      </c>
      <c r="AO128" s="94" t="s">
        <v>520</v>
      </c>
      <c r="AP128" s="13"/>
    </row>
    <row r="129" spans="1:42" s="18" customFormat="1" x14ac:dyDescent="0.2">
      <c r="A129" s="18" t="s">
        <v>510</v>
      </c>
      <c r="B129" s="19" t="s">
        <v>730</v>
      </c>
      <c r="C129" s="19" t="s">
        <v>369</v>
      </c>
      <c r="D129" s="19" t="s">
        <v>1582</v>
      </c>
      <c r="E129" s="19" t="s">
        <v>369</v>
      </c>
      <c r="F129" s="19"/>
      <c r="G129" s="77">
        <v>7331423005024</v>
      </c>
      <c r="H129" s="77"/>
      <c r="I129" s="77"/>
      <c r="J129" s="36" t="s">
        <v>568</v>
      </c>
      <c r="K129" s="36" t="s">
        <v>977</v>
      </c>
      <c r="L129" s="5">
        <v>6.99</v>
      </c>
      <c r="M129" s="35">
        <v>24</v>
      </c>
      <c r="N129" s="35">
        <v>144</v>
      </c>
      <c r="O129" s="345"/>
      <c r="P129" s="35"/>
      <c r="Q129" s="35"/>
      <c r="R129" s="187"/>
      <c r="S129" s="33">
        <v>7.6999999999999999E-2</v>
      </c>
      <c r="T129" s="33">
        <v>2.5</v>
      </c>
      <c r="U129" s="33">
        <v>1</v>
      </c>
      <c r="V129" s="70">
        <v>8.25</v>
      </c>
      <c r="W129" s="99">
        <v>1.9</v>
      </c>
      <c r="X129" s="100">
        <v>5</v>
      </c>
      <c r="Y129" s="100">
        <v>9</v>
      </c>
      <c r="Z129" s="101">
        <v>8.5</v>
      </c>
      <c r="AA129" s="44">
        <v>12.3</v>
      </c>
      <c r="AB129" s="33">
        <v>9.5</v>
      </c>
      <c r="AC129" s="33">
        <v>15</v>
      </c>
      <c r="AD129" s="70">
        <v>18</v>
      </c>
      <c r="AE129" s="33">
        <f t="shared" si="3"/>
        <v>1.484375</v>
      </c>
      <c r="AF129" s="18" t="s">
        <v>719</v>
      </c>
      <c r="AG129" s="37" t="s">
        <v>715</v>
      </c>
      <c r="AH129" s="18" t="s">
        <v>716</v>
      </c>
      <c r="AI129" s="37" t="s">
        <v>717</v>
      </c>
      <c r="AJ129" s="18" t="s">
        <v>731</v>
      </c>
      <c r="AN129" s="12" t="s">
        <v>732</v>
      </c>
      <c r="AO129" s="94" t="s">
        <v>520</v>
      </c>
      <c r="AP129" s="13"/>
    </row>
    <row r="130" spans="1:42" s="18" customFormat="1" x14ac:dyDescent="0.2">
      <c r="A130" s="18" t="s">
        <v>510</v>
      </c>
      <c r="B130" s="19" t="s">
        <v>730</v>
      </c>
      <c r="C130" s="19" t="s">
        <v>372</v>
      </c>
      <c r="D130" s="19" t="s">
        <v>1582</v>
      </c>
      <c r="E130" s="19" t="s">
        <v>372</v>
      </c>
      <c r="F130" s="19"/>
      <c r="G130" s="77">
        <v>7331423005031</v>
      </c>
      <c r="H130" s="77"/>
      <c r="I130" s="77"/>
      <c r="J130" s="36" t="s">
        <v>568</v>
      </c>
      <c r="K130" s="36" t="s">
        <v>977</v>
      </c>
      <c r="L130" s="5">
        <v>6.99</v>
      </c>
      <c r="M130" s="35">
        <v>24</v>
      </c>
      <c r="N130" s="35">
        <v>144</v>
      </c>
      <c r="O130" s="345"/>
      <c r="P130" s="35"/>
      <c r="Q130" s="35"/>
      <c r="R130" s="187"/>
      <c r="S130" s="33">
        <v>7.6999999999999999E-2</v>
      </c>
      <c r="T130" s="33">
        <v>2.5</v>
      </c>
      <c r="U130" s="33">
        <v>1</v>
      </c>
      <c r="V130" s="70">
        <v>8.25</v>
      </c>
      <c r="W130" s="99">
        <v>1.9</v>
      </c>
      <c r="X130" s="100">
        <v>5</v>
      </c>
      <c r="Y130" s="100">
        <v>9</v>
      </c>
      <c r="Z130" s="101">
        <v>8.5</v>
      </c>
      <c r="AA130" s="44">
        <v>12.3</v>
      </c>
      <c r="AB130" s="33">
        <v>9.5</v>
      </c>
      <c r="AC130" s="33">
        <v>15</v>
      </c>
      <c r="AD130" s="70">
        <v>18</v>
      </c>
      <c r="AE130" s="33">
        <f t="shared" si="3"/>
        <v>1.484375</v>
      </c>
      <c r="AF130" s="18" t="s">
        <v>719</v>
      </c>
      <c r="AG130" s="37" t="s">
        <v>715</v>
      </c>
      <c r="AH130" s="18" t="s">
        <v>716</v>
      </c>
      <c r="AI130" s="37" t="s">
        <v>717</v>
      </c>
      <c r="AJ130" s="18" t="s">
        <v>731</v>
      </c>
      <c r="AN130" s="12" t="s">
        <v>732</v>
      </c>
      <c r="AO130" s="94" t="s">
        <v>520</v>
      </c>
      <c r="AP130" s="13"/>
    </row>
    <row r="131" spans="1:42" s="18" customFormat="1" x14ac:dyDescent="0.2">
      <c r="A131" s="18" t="s">
        <v>510</v>
      </c>
      <c r="B131" s="19" t="s">
        <v>730</v>
      </c>
      <c r="C131" s="18" t="s">
        <v>371</v>
      </c>
      <c r="D131" s="19" t="s">
        <v>1582</v>
      </c>
      <c r="E131" s="18" t="s">
        <v>371</v>
      </c>
      <c r="G131" s="77">
        <v>7331423005048</v>
      </c>
      <c r="H131" s="77"/>
      <c r="I131" s="77"/>
      <c r="J131" s="36" t="s">
        <v>568</v>
      </c>
      <c r="K131" s="36" t="s">
        <v>977</v>
      </c>
      <c r="L131" s="5">
        <v>6.99</v>
      </c>
      <c r="M131" s="35">
        <v>24</v>
      </c>
      <c r="N131" s="35">
        <v>144</v>
      </c>
      <c r="O131" s="345"/>
      <c r="P131" s="35"/>
      <c r="Q131" s="35"/>
      <c r="R131" s="187"/>
      <c r="S131" s="33">
        <v>7.6999999999999999E-2</v>
      </c>
      <c r="T131" s="33">
        <v>2.5</v>
      </c>
      <c r="U131" s="33">
        <v>1</v>
      </c>
      <c r="V131" s="70">
        <v>8.25</v>
      </c>
      <c r="W131" s="99">
        <v>1.9</v>
      </c>
      <c r="X131" s="100">
        <v>5</v>
      </c>
      <c r="Y131" s="100">
        <v>9</v>
      </c>
      <c r="Z131" s="101">
        <v>8.5</v>
      </c>
      <c r="AA131" s="44">
        <v>12.3</v>
      </c>
      <c r="AB131" s="33">
        <v>9.5</v>
      </c>
      <c r="AC131" s="33">
        <v>15</v>
      </c>
      <c r="AD131" s="70">
        <v>18</v>
      </c>
      <c r="AE131" s="33">
        <f t="shared" si="3"/>
        <v>1.484375</v>
      </c>
      <c r="AF131" s="18" t="s">
        <v>719</v>
      </c>
      <c r="AG131" s="37" t="s">
        <v>715</v>
      </c>
      <c r="AH131" s="18" t="s">
        <v>716</v>
      </c>
      <c r="AI131" s="37" t="s">
        <v>717</v>
      </c>
      <c r="AJ131" s="18" t="s">
        <v>731</v>
      </c>
      <c r="AN131" s="12" t="s">
        <v>732</v>
      </c>
      <c r="AO131" s="94" t="s">
        <v>520</v>
      </c>
      <c r="AP131" s="13"/>
    </row>
    <row r="132" spans="1:42" s="18" customFormat="1" x14ac:dyDescent="0.2">
      <c r="A132" s="18" t="s">
        <v>510</v>
      </c>
      <c r="B132" s="19" t="s">
        <v>730</v>
      </c>
      <c r="C132" s="19" t="s">
        <v>373</v>
      </c>
      <c r="D132" s="19" t="s">
        <v>1582</v>
      </c>
      <c r="E132" s="19" t="s">
        <v>373</v>
      </c>
      <c r="F132" s="19"/>
      <c r="G132" s="77">
        <v>7331423005055</v>
      </c>
      <c r="H132" s="77"/>
      <c r="I132" s="77"/>
      <c r="J132" s="36" t="s">
        <v>568</v>
      </c>
      <c r="K132" s="36" t="s">
        <v>977</v>
      </c>
      <c r="L132" s="5">
        <v>6.99</v>
      </c>
      <c r="M132" s="35">
        <v>24</v>
      </c>
      <c r="N132" s="35">
        <v>144</v>
      </c>
      <c r="O132" s="345"/>
      <c r="P132" s="35"/>
      <c r="Q132" s="35"/>
      <c r="R132" s="187"/>
      <c r="S132" s="33">
        <v>7.6999999999999999E-2</v>
      </c>
      <c r="T132" s="33">
        <v>2.5</v>
      </c>
      <c r="U132" s="33">
        <v>1</v>
      </c>
      <c r="V132" s="70">
        <v>8.25</v>
      </c>
      <c r="W132" s="99">
        <v>1.9</v>
      </c>
      <c r="X132" s="100">
        <v>5</v>
      </c>
      <c r="Y132" s="100">
        <v>9</v>
      </c>
      <c r="Z132" s="101">
        <v>8.5</v>
      </c>
      <c r="AA132" s="44">
        <v>12.3</v>
      </c>
      <c r="AB132" s="33">
        <v>9.5</v>
      </c>
      <c r="AC132" s="33">
        <v>15</v>
      </c>
      <c r="AD132" s="70">
        <v>18</v>
      </c>
      <c r="AE132" s="33">
        <f t="shared" si="3"/>
        <v>1.484375</v>
      </c>
      <c r="AF132" s="18" t="s">
        <v>719</v>
      </c>
      <c r="AG132" s="37" t="s">
        <v>715</v>
      </c>
      <c r="AH132" s="18" t="s">
        <v>716</v>
      </c>
      <c r="AI132" s="37" t="s">
        <v>717</v>
      </c>
      <c r="AJ132" s="18" t="s">
        <v>731</v>
      </c>
      <c r="AN132" s="12" t="s">
        <v>732</v>
      </c>
      <c r="AO132" s="94" t="s">
        <v>520</v>
      </c>
      <c r="AP132" s="13"/>
    </row>
    <row r="133" spans="1:42" s="18" customFormat="1" x14ac:dyDescent="0.2">
      <c r="A133" s="18" t="s">
        <v>510</v>
      </c>
      <c r="B133" s="19" t="s">
        <v>730</v>
      </c>
      <c r="C133" s="19" t="s">
        <v>374</v>
      </c>
      <c r="D133" s="19" t="s">
        <v>1582</v>
      </c>
      <c r="E133" s="19" t="s">
        <v>374</v>
      </c>
      <c r="F133" s="19"/>
      <c r="G133" s="77">
        <v>7331423005062</v>
      </c>
      <c r="H133" s="77"/>
      <c r="I133" s="77"/>
      <c r="J133" s="36" t="s">
        <v>568</v>
      </c>
      <c r="K133" s="36" t="s">
        <v>977</v>
      </c>
      <c r="L133" s="5">
        <v>6.99</v>
      </c>
      <c r="M133" s="35">
        <v>24</v>
      </c>
      <c r="N133" s="35">
        <v>144</v>
      </c>
      <c r="O133" s="345"/>
      <c r="P133" s="35"/>
      <c r="Q133" s="35"/>
      <c r="R133" s="187"/>
      <c r="S133" s="33">
        <v>7.6999999999999999E-2</v>
      </c>
      <c r="T133" s="33">
        <v>2.5</v>
      </c>
      <c r="U133" s="33">
        <v>1</v>
      </c>
      <c r="V133" s="70">
        <v>8.25</v>
      </c>
      <c r="W133" s="99">
        <v>1.9</v>
      </c>
      <c r="X133" s="100">
        <v>5</v>
      </c>
      <c r="Y133" s="100">
        <v>9</v>
      </c>
      <c r="Z133" s="101">
        <v>8.5</v>
      </c>
      <c r="AA133" s="44">
        <v>12.3</v>
      </c>
      <c r="AB133" s="33">
        <v>9.5</v>
      </c>
      <c r="AC133" s="33">
        <v>15</v>
      </c>
      <c r="AD133" s="70">
        <v>18</v>
      </c>
      <c r="AE133" s="33">
        <f t="shared" si="3"/>
        <v>1.484375</v>
      </c>
      <c r="AF133" s="18" t="s">
        <v>719</v>
      </c>
      <c r="AG133" s="37" t="s">
        <v>715</v>
      </c>
      <c r="AH133" s="18" t="s">
        <v>716</v>
      </c>
      <c r="AI133" s="37" t="s">
        <v>717</v>
      </c>
      <c r="AJ133" s="18" t="s">
        <v>731</v>
      </c>
      <c r="AN133" s="12" t="s">
        <v>732</v>
      </c>
      <c r="AO133" s="94" t="s">
        <v>520</v>
      </c>
      <c r="AP133" s="13"/>
    </row>
    <row r="134" spans="1:42" s="18" customFormat="1" x14ac:dyDescent="0.2">
      <c r="A134" s="18" t="s">
        <v>510</v>
      </c>
      <c r="B134" s="19" t="s">
        <v>730</v>
      </c>
      <c r="C134" s="19" t="s">
        <v>1131</v>
      </c>
      <c r="D134" s="19" t="s">
        <v>1582</v>
      </c>
      <c r="E134" s="19" t="s">
        <v>653</v>
      </c>
      <c r="F134" s="19"/>
      <c r="G134" s="77">
        <v>7331423005079</v>
      </c>
      <c r="H134" s="77"/>
      <c r="I134" s="77"/>
      <c r="J134" s="36" t="s">
        <v>568</v>
      </c>
      <c r="K134" s="36" t="s">
        <v>977</v>
      </c>
      <c r="L134" s="5">
        <v>6.99</v>
      </c>
      <c r="M134" s="35">
        <v>24</v>
      </c>
      <c r="N134" s="35">
        <v>144</v>
      </c>
      <c r="O134" s="345"/>
      <c r="P134" s="35"/>
      <c r="Q134" s="35"/>
      <c r="R134" s="187"/>
      <c r="S134" s="33">
        <v>7.6999999999999999E-2</v>
      </c>
      <c r="T134" s="33">
        <v>2.5</v>
      </c>
      <c r="U134" s="33">
        <v>1</v>
      </c>
      <c r="V134" s="70">
        <v>8.25</v>
      </c>
      <c r="W134" s="99">
        <v>1.9</v>
      </c>
      <c r="X134" s="100">
        <v>5</v>
      </c>
      <c r="Y134" s="100">
        <v>9</v>
      </c>
      <c r="Z134" s="101">
        <v>8.5</v>
      </c>
      <c r="AA134" s="44">
        <v>12.3</v>
      </c>
      <c r="AB134" s="33">
        <v>9.5</v>
      </c>
      <c r="AC134" s="33">
        <v>15</v>
      </c>
      <c r="AD134" s="70">
        <v>18</v>
      </c>
      <c r="AE134" s="33">
        <f t="shared" si="3"/>
        <v>1.484375</v>
      </c>
      <c r="AF134" s="18" t="s">
        <v>719</v>
      </c>
      <c r="AG134" s="37" t="s">
        <v>715</v>
      </c>
      <c r="AH134" s="18" t="s">
        <v>716</v>
      </c>
      <c r="AI134" s="37" t="s">
        <v>717</v>
      </c>
      <c r="AJ134" s="18" t="s">
        <v>731</v>
      </c>
      <c r="AN134" s="12" t="s">
        <v>732</v>
      </c>
      <c r="AO134" s="94" t="s">
        <v>520</v>
      </c>
      <c r="AP134" s="13"/>
    </row>
    <row r="135" spans="1:42" s="18" customFormat="1" x14ac:dyDescent="0.2">
      <c r="A135" s="18" t="s">
        <v>510</v>
      </c>
      <c r="B135" s="19" t="s">
        <v>730</v>
      </c>
      <c r="C135" s="19" t="s">
        <v>1449</v>
      </c>
      <c r="D135" s="19" t="s">
        <v>1582</v>
      </c>
      <c r="E135" s="19" t="s">
        <v>1450</v>
      </c>
      <c r="F135" s="19"/>
      <c r="G135" s="77">
        <v>7331423006076</v>
      </c>
      <c r="H135" s="77"/>
      <c r="I135" s="77"/>
      <c r="J135" s="36" t="s">
        <v>568</v>
      </c>
      <c r="K135" s="36" t="s">
        <v>977</v>
      </c>
      <c r="L135" s="5">
        <v>6.99</v>
      </c>
      <c r="M135" s="35">
        <v>24</v>
      </c>
      <c r="N135" s="35">
        <v>144</v>
      </c>
      <c r="O135" s="345"/>
      <c r="P135" s="35"/>
      <c r="Q135" s="35"/>
      <c r="R135" s="187"/>
      <c r="S135" s="33">
        <v>7.6999999999999999E-2</v>
      </c>
      <c r="T135" s="33">
        <v>2.5</v>
      </c>
      <c r="U135" s="33">
        <v>1</v>
      </c>
      <c r="V135" s="70">
        <v>8.25</v>
      </c>
      <c r="W135" s="99">
        <v>1.9</v>
      </c>
      <c r="X135" s="100">
        <v>5</v>
      </c>
      <c r="Y135" s="100">
        <v>9</v>
      </c>
      <c r="Z135" s="101">
        <v>8.5</v>
      </c>
      <c r="AA135" s="44">
        <v>12.3</v>
      </c>
      <c r="AB135" s="33">
        <v>9.5</v>
      </c>
      <c r="AC135" s="33">
        <v>15</v>
      </c>
      <c r="AD135" s="70">
        <v>18</v>
      </c>
      <c r="AE135" s="33">
        <f t="shared" si="3"/>
        <v>1.484375</v>
      </c>
      <c r="AF135" s="18" t="s">
        <v>719</v>
      </c>
      <c r="AG135" s="37" t="s">
        <v>715</v>
      </c>
      <c r="AH135" s="18" t="s">
        <v>716</v>
      </c>
      <c r="AI135" s="37" t="s">
        <v>717</v>
      </c>
      <c r="AJ135" s="18" t="s">
        <v>731</v>
      </c>
      <c r="AN135" s="12" t="s">
        <v>732</v>
      </c>
      <c r="AO135" s="94" t="s">
        <v>520</v>
      </c>
      <c r="AP135" s="13"/>
    </row>
    <row r="136" spans="1:42" s="18" customFormat="1" x14ac:dyDescent="0.2">
      <c r="A136" s="18" t="s">
        <v>510</v>
      </c>
      <c r="B136" s="37" t="s">
        <v>688</v>
      </c>
      <c r="C136" s="57" t="s">
        <v>245</v>
      </c>
      <c r="D136" s="57" t="s">
        <v>1631</v>
      </c>
      <c r="E136" s="57" t="s">
        <v>245</v>
      </c>
      <c r="F136" s="57"/>
      <c r="G136" s="562"/>
      <c r="H136" s="562"/>
      <c r="I136" s="562"/>
      <c r="J136" s="28" t="s">
        <v>1044</v>
      </c>
      <c r="K136" s="36" t="s">
        <v>977</v>
      </c>
      <c r="L136" s="5">
        <v>14.99</v>
      </c>
      <c r="M136" s="35">
        <v>12</v>
      </c>
      <c r="N136" s="35">
        <v>72</v>
      </c>
      <c r="O136" s="345"/>
      <c r="P136" s="35"/>
      <c r="Q136" s="35"/>
      <c r="R136" s="187"/>
      <c r="S136" s="33">
        <v>0.06</v>
      </c>
      <c r="T136" s="33">
        <v>0.62</v>
      </c>
      <c r="U136" s="33">
        <v>2.75</v>
      </c>
      <c r="V136" s="70">
        <v>5.62</v>
      </c>
      <c r="W136" s="44">
        <v>1.05</v>
      </c>
      <c r="X136" s="33">
        <v>8</v>
      </c>
      <c r="Y136" s="33">
        <v>3.25</v>
      </c>
      <c r="Z136" s="70">
        <v>6</v>
      </c>
      <c r="AA136" s="44">
        <v>7.05</v>
      </c>
      <c r="AB136" s="33">
        <v>10.25</v>
      </c>
      <c r="AC136" s="33">
        <v>16.25</v>
      </c>
      <c r="AD136" s="70">
        <v>6.5</v>
      </c>
      <c r="AE136" s="33">
        <f t="shared" si="3"/>
        <v>0.62653718171296291</v>
      </c>
      <c r="AF136" s="37" t="s">
        <v>700</v>
      </c>
      <c r="AG136" s="37" t="s">
        <v>699</v>
      </c>
      <c r="AH136" s="37" t="s">
        <v>514</v>
      </c>
      <c r="AI136" s="18" t="s">
        <v>701</v>
      </c>
      <c r="AJ136" s="40" t="s">
        <v>702</v>
      </c>
      <c r="AK136" s="40"/>
      <c r="AL136" s="40"/>
      <c r="AM136" s="40"/>
      <c r="AN136" s="37" t="s">
        <v>720</v>
      </c>
      <c r="AO136" s="94" t="s">
        <v>520</v>
      </c>
      <c r="AP136" s="13"/>
    </row>
    <row r="137" spans="1:42" s="18" customFormat="1" ht="13.5" customHeight="1" x14ac:dyDescent="0.2">
      <c r="A137" s="18" t="s">
        <v>510</v>
      </c>
      <c r="B137" s="19" t="s">
        <v>381</v>
      </c>
      <c r="C137" s="33" t="s">
        <v>374</v>
      </c>
      <c r="D137" s="19" t="s">
        <v>1559</v>
      </c>
      <c r="E137" s="33" t="s">
        <v>374</v>
      </c>
      <c r="F137" s="33"/>
      <c r="G137" s="36" t="s">
        <v>999</v>
      </c>
      <c r="H137" s="36"/>
      <c r="I137" s="36"/>
      <c r="J137" s="28" t="s">
        <v>1044</v>
      </c>
      <c r="K137" s="36" t="s">
        <v>977</v>
      </c>
      <c r="L137" s="5">
        <v>14.99</v>
      </c>
      <c r="M137" s="35">
        <v>12</v>
      </c>
      <c r="N137" s="35">
        <v>72</v>
      </c>
      <c r="O137" s="345"/>
      <c r="P137" s="35"/>
      <c r="Q137" s="35"/>
      <c r="R137" s="187"/>
      <c r="S137" s="33">
        <v>0.15</v>
      </c>
      <c r="T137" s="33">
        <v>0.62</v>
      </c>
      <c r="U137" s="33">
        <v>2.75</v>
      </c>
      <c r="V137" s="70">
        <v>5.62</v>
      </c>
      <c r="W137" s="44">
        <v>1.55</v>
      </c>
      <c r="X137" s="33">
        <v>8</v>
      </c>
      <c r="Y137" s="33">
        <v>4.5</v>
      </c>
      <c r="Z137" s="70">
        <v>7.5</v>
      </c>
      <c r="AA137" s="44">
        <v>7.5</v>
      </c>
      <c r="AB137" s="33">
        <v>10.25</v>
      </c>
      <c r="AC137" s="33">
        <v>16.25</v>
      </c>
      <c r="AD137" s="70">
        <v>6.5</v>
      </c>
      <c r="AE137" s="33">
        <f t="shared" si="3"/>
        <v>0.62653718171296291</v>
      </c>
      <c r="AF137" s="37" t="s">
        <v>511</v>
      </c>
      <c r="AG137" s="37" t="s">
        <v>512</v>
      </c>
      <c r="AH137" s="37" t="s">
        <v>513</v>
      </c>
      <c r="AI137" s="37" t="s">
        <v>514</v>
      </c>
      <c r="AJ137" s="37" t="s">
        <v>515</v>
      </c>
      <c r="AK137" s="37"/>
      <c r="AL137" s="37"/>
      <c r="AM137" s="37"/>
      <c r="AN137" s="37" t="s">
        <v>407</v>
      </c>
      <c r="AO137" s="94" t="s">
        <v>520</v>
      </c>
      <c r="AP137" s="13"/>
    </row>
    <row r="138" spans="1:42" s="18" customFormat="1" x14ac:dyDescent="0.2">
      <c r="A138" s="18" t="s">
        <v>510</v>
      </c>
      <c r="B138" s="19" t="s">
        <v>381</v>
      </c>
      <c r="C138" s="19" t="s">
        <v>343</v>
      </c>
      <c r="D138" s="19" t="s">
        <v>1559</v>
      </c>
      <c r="E138" s="18" t="s">
        <v>485</v>
      </c>
      <c r="G138" s="47">
        <v>7331423001491</v>
      </c>
      <c r="H138" s="47"/>
      <c r="I138" s="47"/>
      <c r="J138" s="28" t="s">
        <v>1044</v>
      </c>
      <c r="K138" s="36" t="s">
        <v>977</v>
      </c>
      <c r="L138" s="5">
        <v>14.99</v>
      </c>
      <c r="M138" s="35">
        <v>24</v>
      </c>
      <c r="N138" s="35">
        <v>72</v>
      </c>
      <c r="O138" s="345"/>
      <c r="P138" s="35"/>
      <c r="Q138" s="35"/>
      <c r="R138" s="187"/>
      <c r="S138" s="33">
        <v>0.15</v>
      </c>
      <c r="T138" s="33">
        <v>0.62</v>
      </c>
      <c r="U138" s="33">
        <v>2.75</v>
      </c>
      <c r="V138" s="70">
        <v>5.62</v>
      </c>
      <c r="W138" s="44">
        <v>1.55</v>
      </c>
      <c r="X138" s="33">
        <v>8</v>
      </c>
      <c r="Y138" s="33">
        <v>4.5</v>
      </c>
      <c r="Z138" s="70">
        <v>7.5</v>
      </c>
      <c r="AA138" s="44">
        <v>7.5</v>
      </c>
      <c r="AB138" s="33">
        <v>10.25</v>
      </c>
      <c r="AC138" s="33">
        <v>16.25</v>
      </c>
      <c r="AD138" s="70">
        <v>6.5</v>
      </c>
      <c r="AE138" s="33">
        <f t="shared" si="3"/>
        <v>0.62653718171296291</v>
      </c>
      <c r="AF138" s="37" t="s">
        <v>511</v>
      </c>
      <c r="AG138" s="37" t="s">
        <v>512</v>
      </c>
      <c r="AH138" s="37" t="s">
        <v>513</v>
      </c>
      <c r="AI138" s="37" t="s">
        <v>514</v>
      </c>
      <c r="AJ138" s="37" t="s">
        <v>515</v>
      </c>
      <c r="AK138" s="37"/>
      <c r="AL138" s="37"/>
      <c r="AM138" s="37"/>
      <c r="AN138" s="37" t="s">
        <v>407</v>
      </c>
      <c r="AO138" s="94" t="s">
        <v>520</v>
      </c>
      <c r="AP138" s="13"/>
    </row>
    <row r="139" spans="1:42" s="18" customFormat="1" x14ac:dyDescent="0.2">
      <c r="A139" s="18" t="s">
        <v>510</v>
      </c>
      <c r="B139" s="19" t="s">
        <v>381</v>
      </c>
      <c r="C139" s="19" t="s">
        <v>373</v>
      </c>
      <c r="D139" s="19" t="s">
        <v>1559</v>
      </c>
      <c r="E139" s="18" t="s">
        <v>220</v>
      </c>
      <c r="G139" s="47">
        <v>7331423003099</v>
      </c>
      <c r="H139" s="47"/>
      <c r="I139" s="47"/>
      <c r="J139" s="28" t="s">
        <v>1044</v>
      </c>
      <c r="K139" s="36" t="s">
        <v>977</v>
      </c>
      <c r="L139" s="5">
        <v>14.99</v>
      </c>
      <c r="M139" s="35">
        <v>24</v>
      </c>
      <c r="N139" s="35">
        <v>72</v>
      </c>
      <c r="O139" s="345"/>
      <c r="P139" s="35"/>
      <c r="Q139" s="35"/>
      <c r="R139" s="187"/>
      <c r="S139" s="33">
        <v>0.15</v>
      </c>
      <c r="T139" s="33">
        <v>0.62</v>
      </c>
      <c r="U139" s="33">
        <v>2.75</v>
      </c>
      <c r="V139" s="70">
        <v>5.62</v>
      </c>
      <c r="W139" s="44">
        <v>1.55</v>
      </c>
      <c r="X139" s="33">
        <v>8</v>
      </c>
      <c r="Y139" s="33">
        <v>4.5</v>
      </c>
      <c r="Z139" s="70">
        <v>7.5</v>
      </c>
      <c r="AA139" s="44">
        <v>7.5</v>
      </c>
      <c r="AB139" s="33">
        <v>10.25</v>
      </c>
      <c r="AC139" s="33">
        <v>16.25</v>
      </c>
      <c r="AD139" s="70">
        <v>6.5</v>
      </c>
      <c r="AE139" s="33">
        <f t="shared" si="3"/>
        <v>0.62653718171296291</v>
      </c>
      <c r="AF139" s="37" t="s">
        <v>511</v>
      </c>
      <c r="AG139" s="37" t="s">
        <v>512</v>
      </c>
      <c r="AH139" s="37" t="s">
        <v>513</v>
      </c>
      <c r="AI139" s="37" t="s">
        <v>514</v>
      </c>
      <c r="AJ139" s="37" t="s">
        <v>515</v>
      </c>
      <c r="AK139" s="37"/>
      <c r="AL139" s="37"/>
      <c r="AM139" s="37"/>
      <c r="AN139" s="37" t="s">
        <v>407</v>
      </c>
      <c r="AO139" s="94" t="s">
        <v>520</v>
      </c>
      <c r="AP139" s="13"/>
    </row>
    <row r="140" spans="1:42" s="18" customFormat="1" x14ac:dyDescent="0.2">
      <c r="A140" s="18" t="s">
        <v>510</v>
      </c>
      <c r="B140" s="19" t="s">
        <v>380</v>
      </c>
      <c r="C140" s="19" t="s">
        <v>382</v>
      </c>
      <c r="D140" s="19" t="s">
        <v>1561</v>
      </c>
      <c r="E140" s="18" t="s">
        <v>482</v>
      </c>
      <c r="G140" s="47">
        <v>7331423000319</v>
      </c>
      <c r="H140" s="47"/>
      <c r="I140" s="47"/>
      <c r="J140" s="28" t="s">
        <v>1044</v>
      </c>
      <c r="K140" s="36" t="s">
        <v>977</v>
      </c>
      <c r="L140" s="5">
        <v>22.99</v>
      </c>
      <c r="M140" s="35">
        <v>12</v>
      </c>
      <c r="N140" s="35">
        <v>72</v>
      </c>
      <c r="O140" s="345"/>
      <c r="P140" s="35"/>
      <c r="Q140" s="35"/>
      <c r="R140" s="187"/>
      <c r="S140" s="33">
        <v>0.15</v>
      </c>
      <c r="T140" s="33">
        <v>1</v>
      </c>
      <c r="U140" s="33">
        <v>4.13</v>
      </c>
      <c r="V140" s="70">
        <v>7</v>
      </c>
      <c r="W140" s="44">
        <v>2.1</v>
      </c>
      <c r="X140" s="33">
        <v>8</v>
      </c>
      <c r="Y140" s="33">
        <v>4.5</v>
      </c>
      <c r="Z140" s="70">
        <v>7.5</v>
      </c>
      <c r="AA140" s="44">
        <v>14.3</v>
      </c>
      <c r="AB140" s="33">
        <v>13.75</v>
      </c>
      <c r="AC140" s="33">
        <v>16.25</v>
      </c>
      <c r="AD140" s="70">
        <v>8.5</v>
      </c>
      <c r="AE140" s="33">
        <f t="shared" si="3"/>
        <v>1.0990849247685186</v>
      </c>
      <c r="AF140" s="37" t="s">
        <v>0</v>
      </c>
      <c r="AG140" s="37" t="s">
        <v>512</v>
      </c>
      <c r="AH140" s="37" t="s">
        <v>513</v>
      </c>
      <c r="AI140" s="37" t="s">
        <v>514</v>
      </c>
      <c r="AJ140" s="37" t="s">
        <v>1</v>
      </c>
      <c r="AK140" s="37"/>
      <c r="AL140" s="37"/>
      <c r="AM140" s="37"/>
      <c r="AN140" s="37" t="s">
        <v>407</v>
      </c>
      <c r="AO140" s="94" t="s">
        <v>520</v>
      </c>
      <c r="AP140" s="13"/>
    </row>
    <row r="141" spans="1:42" s="18" customFormat="1" x14ac:dyDescent="0.2">
      <c r="A141" s="18" t="s">
        <v>510</v>
      </c>
      <c r="B141" s="19" t="s">
        <v>379</v>
      </c>
      <c r="C141" s="19" t="s">
        <v>369</v>
      </c>
      <c r="D141" s="19" t="s">
        <v>658</v>
      </c>
      <c r="E141" s="18" t="s">
        <v>222</v>
      </c>
      <c r="G141" s="47">
        <v>7331423000012</v>
      </c>
      <c r="H141" s="47"/>
      <c r="I141" s="47"/>
      <c r="J141" s="28" t="s">
        <v>1044</v>
      </c>
      <c r="K141" s="36" t="s">
        <v>977</v>
      </c>
      <c r="L141" s="5">
        <v>22.99</v>
      </c>
      <c r="M141" s="35">
        <v>6</v>
      </c>
      <c r="N141" s="35">
        <v>36</v>
      </c>
      <c r="O141" s="345"/>
      <c r="P141" s="35"/>
      <c r="Q141" s="35"/>
      <c r="R141" s="187"/>
      <c r="S141" s="33">
        <v>0.25</v>
      </c>
      <c r="T141" s="33">
        <v>1.5</v>
      </c>
      <c r="U141" s="33">
        <v>4.37</v>
      </c>
      <c r="V141" s="70">
        <v>8.6199999999999992</v>
      </c>
      <c r="W141" s="44">
        <v>2.1</v>
      </c>
      <c r="X141" s="33">
        <v>8</v>
      </c>
      <c r="Y141" s="33">
        <v>4.5</v>
      </c>
      <c r="Z141" s="70">
        <v>7.5</v>
      </c>
      <c r="AA141" s="44">
        <v>10.5</v>
      </c>
      <c r="AB141" s="33">
        <v>13.5</v>
      </c>
      <c r="AC141" s="33">
        <v>16.25</v>
      </c>
      <c r="AD141" s="70">
        <v>8.5</v>
      </c>
      <c r="AE141" s="33">
        <f t="shared" si="3"/>
        <v>1.0791015625</v>
      </c>
      <c r="AF141" s="37" t="s">
        <v>2</v>
      </c>
      <c r="AG141" s="37" t="s">
        <v>512</v>
      </c>
      <c r="AH141" s="37" t="s">
        <v>513</v>
      </c>
      <c r="AI141" s="37" t="s">
        <v>3</v>
      </c>
      <c r="AJ141" s="37"/>
      <c r="AK141" s="37"/>
      <c r="AL141" s="37"/>
      <c r="AM141" s="37"/>
      <c r="AN141" s="37" t="s">
        <v>407</v>
      </c>
      <c r="AO141" s="94" t="s">
        <v>520</v>
      </c>
      <c r="AP141" s="13"/>
    </row>
    <row r="142" spans="1:42" s="18" customFormat="1" ht="12" customHeight="1" x14ac:dyDescent="0.2">
      <c r="A142" s="18" t="s">
        <v>510</v>
      </c>
      <c r="B142" s="19" t="s">
        <v>379</v>
      </c>
      <c r="C142" s="19" t="s">
        <v>382</v>
      </c>
      <c r="D142" s="19" t="s">
        <v>242</v>
      </c>
      <c r="E142" s="18" t="s">
        <v>482</v>
      </c>
      <c r="G142" s="77">
        <v>7331423000326</v>
      </c>
      <c r="H142" s="77"/>
      <c r="I142" s="77"/>
      <c r="J142" s="28" t="s">
        <v>1044</v>
      </c>
      <c r="K142" s="36" t="s">
        <v>977</v>
      </c>
      <c r="L142" s="5">
        <v>22.99</v>
      </c>
      <c r="M142" s="35">
        <v>6</v>
      </c>
      <c r="N142" s="35">
        <v>36</v>
      </c>
      <c r="O142" s="345"/>
      <c r="P142" s="35"/>
      <c r="Q142" s="35"/>
      <c r="R142" s="187"/>
      <c r="S142" s="33">
        <v>0.25</v>
      </c>
      <c r="T142" s="33">
        <v>1.5</v>
      </c>
      <c r="U142" s="33">
        <v>4.37</v>
      </c>
      <c r="V142" s="70">
        <v>8.6199999999999992</v>
      </c>
      <c r="W142" s="44">
        <v>2.1</v>
      </c>
      <c r="X142" s="33">
        <v>8</v>
      </c>
      <c r="Y142" s="33">
        <v>4.5</v>
      </c>
      <c r="Z142" s="70">
        <v>7.5</v>
      </c>
      <c r="AA142" s="44">
        <v>10.5</v>
      </c>
      <c r="AB142" s="33">
        <v>13.5</v>
      </c>
      <c r="AC142" s="33">
        <v>16.25</v>
      </c>
      <c r="AD142" s="70">
        <v>8.5</v>
      </c>
      <c r="AE142" s="33">
        <f t="shared" si="3"/>
        <v>1.0791015625</v>
      </c>
      <c r="AF142" s="37" t="s">
        <v>2</v>
      </c>
      <c r="AG142" s="37" t="s">
        <v>512</v>
      </c>
      <c r="AH142" s="37" t="s">
        <v>513</v>
      </c>
      <c r="AI142" s="37" t="s">
        <v>3</v>
      </c>
      <c r="AJ142" s="37"/>
      <c r="AK142" s="37"/>
      <c r="AL142" s="37"/>
      <c r="AM142" s="37"/>
      <c r="AN142" s="37" t="s">
        <v>407</v>
      </c>
      <c r="AO142" s="94" t="s">
        <v>520</v>
      </c>
      <c r="AP142" s="13"/>
    </row>
    <row r="143" spans="1:42" s="18" customFormat="1" x14ac:dyDescent="0.2">
      <c r="A143" s="18" t="s">
        <v>510</v>
      </c>
      <c r="B143" s="19" t="s">
        <v>380</v>
      </c>
      <c r="C143" s="19" t="s">
        <v>343</v>
      </c>
      <c r="D143" s="19" t="s">
        <v>1561</v>
      </c>
      <c r="E143" s="18" t="s">
        <v>1000</v>
      </c>
      <c r="G143" s="47">
        <v>7331423006366</v>
      </c>
      <c r="H143" s="47"/>
      <c r="I143" s="47"/>
      <c r="J143" s="28" t="s">
        <v>1044</v>
      </c>
      <c r="K143" s="36" t="s">
        <v>977</v>
      </c>
      <c r="L143" s="5">
        <v>22.99</v>
      </c>
      <c r="M143" s="35">
        <v>12</v>
      </c>
      <c r="N143" s="35">
        <v>72</v>
      </c>
      <c r="O143" s="345"/>
      <c r="P143" s="35"/>
      <c r="Q143" s="35"/>
      <c r="R143" s="187"/>
      <c r="S143" s="33">
        <v>0.15</v>
      </c>
      <c r="T143" s="33">
        <v>1</v>
      </c>
      <c r="U143" s="33">
        <v>4.13</v>
      </c>
      <c r="V143" s="70">
        <v>7</v>
      </c>
      <c r="W143" s="44">
        <v>2.1</v>
      </c>
      <c r="X143" s="33">
        <v>8</v>
      </c>
      <c r="Y143" s="33">
        <v>4.5</v>
      </c>
      <c r="Z143" s="70">
        <v>7.5</v>
      </c>
      <c r="AA143" s="44">
        <v>11.35</v>
      </c>
      <c r="AB143" s="33">
        <v>10.25</v>
      </c>
      <c r="AC143" s="33">
        <v>16.25</v>
      </c>
      <c r="AD143" s="70">
        <v>6.5</v>
      </c>
      <c r="AE143" s="33">
        <f t="shared" si="3"/>
        <v>0.62653718171296291</v>
      </c>
      <c r="AF143" s="37" t="s">
        <v>0</v>
      </c>
      <c r="AG143" s="37" t="s">
        <v>512</v>
      </c>
      <c r="AH143" s="37" t="s">
        <v>513</v>
      </c>
      <c r="AI143" s="37" t="s">
        <v>514</v>
      </c>
      <c r="AJ143" s="37" t="s">
        <v>1</v>
      </c>
      <c r="AK143" s="37"/>
      <c r="AL143" s="37"/>
      <c r="AM143" s="37"/>
      <c r="AN143" s="37" t="s">
        <v>407</v>
      </c>
      <c r="AO143" s="94" t="s">
        <v>520</v>
      </c>
      <c r="AP143" s="13"/>
    </row>
    <row r="144" spans="1:42" s="18" customFormat="1" x14ac:dyDescent="0.2">
      <c r="A144" s="18" t="s">
        <v>510</v>
      </c>
      <c r="B144" s="19" t="s">
        <v>1047</v>
      </c>
      <c r="C144" s="19" t="s">
        <v>1873</v>
      </c>
      <c r="D144" s="19" t="s">
        <v>1046</v>
      </c>
      <c r="E144" s="18" t="s">
        <v>1874</v>
      </c>
      <c r="G144" s="66">
        <v>7331423006106</v>
      </c>
      <c r="H144" s="66"/>
      <c r="I144" s="66"/>
      <c r="J144" s="36" t="s">
        <v>568</v>
      </c>
      <c r="K144" s="36" t="s">
        <v>977</v>
      </c>
      <c r="L144" s="5">
        <v>7.99</v>
      </c>
      <c r="M144" s="35">
        <v>1</v>
      </c>
      <c r="N144" s="35">
        <v>4</v>
      </c>
      <c r="O144" s="345"/>
      <c r="P144" s="35"/>
      <c r="Q144" s="35"/>
      <c r="R144" s="187"/>
      <c r="S144" s="33">
        <v>0.05</v>
      </c>
      <c r="T144" s="33">
        <v>0.75</v>
      </c>
      <c r="U144" s="33">
        <v>1.25</v>
      </c>
      <c r="V144" s="70">
        <v>5.5</v>
      </c>
      <c r="W144" s="44">
        <v>2.5499999999999998</v>
      </c>
      <c r="X144" s="33">
        <v>5.5</v>
      </c>
      <c r="Y144" s="33">
        <v>5.5</v>
      </c>
      <c r="Z144" s="70">
        <v>6</v>
      </c>
      <c r="AA144" s="44">
        <v>12.3</v>
      </c>
      <c r="AB144" s="33">
        <v>9.5</v>
      </c>
      <c r="AC144" s="33">
        <v>15</v>
      </c>
      <c r="AD144" s="70">
        <v>18</v>
      </c>
      <c r="AE144" s="33">
        <f t="shared" si="3"/>
        <v>1.484375</v>
      </c>
      <c r="AF144" s="37" t="s">
        <v>240</v>
      </c>
      <c r="AG144" s="18" t="s">
        <v>241</v>
      </c>
      <c r="AH144" s="40" t="s">
        <v>423</v>
      </c>
      <c r="AI144" s="37" t="s">
        <v>875</v>
      </c>
      <c r="AJ144" s="37" t="s">
        <v>478</v>
      </c>
      <c r="AK144" s="37"/>
      <c r="AL144" s="37"/>
      <c r="AM144" s="37"/>
      <c r="AN144" s="12" t="s">
        <v>408</v>
      </c>
      <c r="AO144" s="94" t="s">
        <v>520</v>
      </c>
      <c r="AP144" s="13"/>
    </row>
    <row r="145" spans="1:42" s="18" customFormat="1" x14ac:dyDescent="0.2">
      <c r="A145" s="18" t="s">
        <v>510</v>
      </c>
      <c r="B145" s="33" t="s">
        <v>590</v>
      </c>
      <c r="C145" s="33" t="s">
        <v>655</v>
      </c>
      <c r="D145" s="34" t="s">
        <v>105</v>
      </c>
      <c r="E145" s="33" t="s">
        <v>655</v>
      </c>
      <c r="F145" s="33"/>
      <c r="G145" s="77">
        <v>7331423002627</v>
      </c>
      <c r="H145" s="77"/>
      <c r="I145" s="77"/>
      <c r="J145" s="36" t="s">
        <v>568</v>
      </c>
      <c r="K145" s="36" t="s">
        <v>977</v>
      </c>
      <c r="L145" s="5">
        <v>2.99</v>
      </c>
      <c r="M145" s="35">
        <v>1</v>
      </c>
      <c r="N145" s="35">
        <v>9</v>
      </c>
      <c r="O145" s="345"/>
      <c r="P145" s="35"/>
      <c r="Q145" s="35"/>
      <c r="R145" s="187"/>
      <c r="S145" s="100">
        <v>0.02</v>
      </c>
      <c r="T145" s="100">
        <v>6.75</v>
      </c>
      <c r="U145" s="100">
        <v>1.5</v>
      </c>
      <c r="V145" s="101">
        <v>0.5</v>
      </c>
      <c r="W145" s="44">
        <v>1.45</v>
      </c>
      <c r="X145" s="33">
        <v>4</v>
      </c>
      <c r="Y145" s="33">
        <v>4</v>
      </c>
      <c r="Z145" s="70">
        <v>7</v>
      </c>
      <c r="AA145" s="44">
        <v>13.8</v>
      </c>
      <c r="AB145" s="33">
        <v>12.5</v>
      </c>
      <c r="AC145" s="33">
        <v>12.5</v>
      </c>
      <c r="AD145" s="70">
        <v>9</v>
      </c>
      <c r="AE145" s="33">
        <f t="shared" si="3"/>
        <v>0.81380208333333337</v>
      </c>
      <c r="AF145" s="37" t="s">
        <v>95</v>
      </c>
      <c r="AG145" s="37" t="s">
        <v>876</v>
      </c>
      <c r="AH145" s="37" t="s">
        <v>86</v>
      </c>
      <c r="AI145" s="40" t="s">
        <v>87</v>
      </c>
      <c r="AJ145" s="40"/>
      <c r="AK145" s="40"/>
      <c r="AL145" s="40"/>
      <c r="AM145" s="40"/>
      <c r="AN145" s="18" t="s">
        <v>96</v>
      </c>
      <c r="AO145" s="94" t="s">
        <v>520</v>
      </c>
    </row>
    <row r="146" spans="1:42" s="18" customFormat="1" x14ac:dyDescent="0.2">
      <c r="A146" s="18" t="s">
        <v>510</v>
      </c>
      <c r="B146" s="37" t="s">
        <v>688</v>
      </c>
      <c r="C146" s="57" t="s">
        <v>372</v>
      </c>
      <c r="D146" s="57" t="s">
        <v>1631</v>
      </c>
      <c r="E146" s="57" t="s">
        <v>372</v>
      </c>
      <c r="F146" s="57"/>
      <c r="G146" s="66" t="s">
        <v>693</v>
      </c>
      <c r="H146" s="66"/>
      <c r="I146" s="66"/>
      <c r="J146" s="28" t="s">
        <v>1044</v>
      </c>
      <c r="K146" s="36" t="s">
        <v>977</v>
      </c>
      <c r="L146" s="5">
        <v>14.99</v>
      </c>
      <c r="M146" s="35">
        <v>12</v>
      </c>
      <c r="N146" s="35">
        <v>72</v>
      </c>
      <c r="O146" s="345"/>
      <c r="P146" s="35"/>
      <c r="Q146" s="35"/>
      <c r="R146" s="187"/>
      <c r="S146" s="33">
        <v>0.06</v>
      </c>
      <c r="T146" s="33">
        <v>0.62</v>
      </c>
      <c r="U146" s="33">
        <v>2.75</v>
      </c>
      <c r="V146" s="70">
        <v>5.62</v>
      </c>
      <c r="W146" s="44">
        <v>1.05</v>
      </c>
      <c r="X146" s="33">
        <v>8</v>
      </c>
      <c r="Y146" s="33">
        <v>3.25</v>
      </c>
      <c r="Z146" s="70">
        <v>6</v>
      </c>
      <c r="AA146" s="44">
        <v>7.05</v>
      </c>
      <c r="AB146" s="33">
        <v>10.25</v>
      </c>
      <c r="AC146" s="33">
        <v>16.25</v>
      </c>
      <c r="AD146" s="70">
        <v>6.5</v>
      </c>
      <c r="AE146" s="33">
        <f t="shared" si="3"/>
        <v>0.62653718171296291</v>
      </c>
      <c r="AF146" s="37" t="s">
        <v>700</v>
      </c>
      <c r="AG146" s="37" t="s">
        <v>699</v>
      </c>
      <c r="AH146" s="37" t="s">
        <v>514</v>
      </c>
      <c r="AI146" s="18" t="s">
        <v>701</v>
      </c>
      <c r="AJ146" s="40" t="s">
        <v>702</v>
      </c>
      <c r="AK146" s="40"/>
      <c r="AL146" s="40"/>
      <c r="AM146" s="40"/>
      <c r="AN146" s="37" t="s">
        <v>720</v>
      </c>
      <c r="AO146" s="94" t="s">
        <v>520</v>
      </c>
      <c r="AP146" s="13"/>
    </row>
    <row r="147" spans="1:42" s="18" customFormat="1" x14ac:dyDescent="0.2">
      <c r="A147" s="18" t="s">
        <v>510</v>
      </c>
      <c r="B147" s="37" t="s">
        <v>688</v>
      </c>
      <c r="C147" s="57" t="s">
        <v>370</v>
      </c>
      <c r="D147" s="57" t="s">
        <v>1631</v>
      </c>
      <c r="E147" s="57" t="s">
        <v>370</v>
      </c>
      <c r="F147" s="57"/>
      <c r="G147" s="66" t="s">
        <v>689</v>
      </c>
      <c r="H147" s="66"/>
      <c r="I147" s="66"/>
      <c r="J147" s="28" t="s">
        <v>1044</v>
      </c>
      <c r="K147" s="36" t="s">
        <v>977</v>
      </c>
      <c r="L147" s="5">
        <v>14.99</v>
      </c>
      <c r="M147" s="35">
        <v>12</v>
      </c>
      <c r="N147" s="35">
        <v>72</v>
      </c>
      <c r="O147" s="345"/>
      <c r="P147" s="35"/>
      <c r="Q147" s="35"/>
      <c r="R147" s="187"/>
      <c r="S147" s="33">
        <v>0.06</v>
      </c>
      <c r="T147" s="33">
        <v>0.62</v>
      </c>
      <c r="U147" s="33">
        <v>2.75</v>
      </c>
      <c r="V147" s="70">
        <v>5.62</v>
      </c>
      <c r="W147" s="44">
        <v>1.05</v>
      </c>
      <c r="X147" s="33">
        <v>8</v>
      </c>
      <c r="Y147" s="33">
        <v>3.25</v>
      </c>
      <c r="Z147" s="70">
        <v>6</v>
      </c>
      <c r="AA147" s="44">
        <v>7.05</v>
      </c>
      <c r="AB147" s="33">
        <v>10.25</v>
      </c>
      <c r="AC147" s="33">
        <v>16.25</v>
      </c>
      <c r="AD147" s="70">
        <v>6.5</v>
      </c>
      <c r="AE147" s="33">
        <f t="shared" si="3"/>
        <v>0.62653718171296291</v>
      </c>
      <c r="AF147" s="37" t="s">
        <v>700</v>
      </c>
      <c r="AG147" s="37" t="s">
        <v>699</v>
      </c>
      <c r="AH147" s="37" t="s">
        <v>514</v>
      </c>
      <c r="AI147" s="18" t="s">
        <v>701</v>
      </c>
      <c r="AJ147" s="40" t="s">
        <v>702</v>
      </c>
      <c r="AK147" s="40"/>
      <c r="AL147" s="40"/>
      <c r="AM147" s="40"/>
      <c r="AN147" s="37" t="s">
        <v>720</v>
      </c>
      <c r="AO147" s="94" t="s">
        <v>520</v>
      </c>
      <c r="AP147" s="13"/>
    </row>
    <row r="148" spans="1:42" s="18" customFormat="1" x14ac:dyDescent="0.2">
      <c r="A148" s="18" t="s">
        <v>510</v>
      </c>
      <c r="B148" s="37" t="s">
        <v>688</v>
      </c>
      <c r="C148" s="57" t="s">
        <v>343</v>
      </c>
      <c r="D148" s="57" t="s">
        <v>1631</v>
      </c>
      <c r="E148" s="57" t="s">
        <v>343</v>
      </c>
      <c r="F148" s="57"/>
      <c r="G148" s="66" t="s">
        <v>694</v>
      </c>
      <c r="H148" s="66"/>
      <c r="I148" s="66"/>
      <c r="J148" s="28" t="s">
        <v>1044</v>
      </c>
      <c r="K148" s="36" t="s">
        <v>977</v>
      </c>
      <c r="L148" s="5">
        <v>14.99</v>
      </c>
      <c r="M148" s="35">
        <v>12</v>
      </c>
      <c r="N148" s="35">
        <v>72</v>
      </c>
      <c r="O148" s="345"/>
      <c r="P148" s="35"/>
      <c r="Q148" s="35"/>
      <c r="R148" s="187"/>
      <c r="S148" s="33">
        <v>0.06</v>
      </c>
      <c r="T148" s="33">
        <v>0.62</v>
      </c>
      <c r="U148" s="33">
        <v>2.75</v>
      </c>
      <c r="V148" s="70">
        <v>5.62</v>
      </c>
      <c r="W148" s="44">
        <v>1.05</v>
      </c>
      <c r="X148" s="33">
        <v>8</v>
      </c>
      <c r="Y148" s="33">
        <v>3.25</v>
      </c>
      <c r="Z148" s="70">
        <v>6</v>
      </c>
      <c r="AA148" s="44">
        <v>7.05</v>
      </c>
      <c r="AB148" s="33">
        <v>10.25</v>
      </c>
      <c r="AC148" s="33">
        <v>16.25</v>
      </c>
      <c r="AD148" s="70">
        <v>6.5</v>
      </c>
      <c r="AE148" s="33">
        <f t="shared" si="3"/>
        <v>0.62653718171296291</v>
      </c>
      <c r="AF148" s="37" t="s">
        <v>700</v>
      </c>
      <c r="AG148" s="37" t="s">
        <v>699</v>
      </c>
      <c r="AH148" s="37" t="s">
        <v>514</v>
      </c>
      <c r="AI148" s="18" t="s">
        <v>701</v>
      </c>
      <c r="AJ148" s="40" t="s">
        <v>702</v>
      </c>
      <c r="AK148" s="40"/>
      <c r="AL148" s="40"/>
      <c r="AM148" s="40"/>
      <c r="AN148" s="37" t="s">
        <v>720</v>
      </c>
      <c r="AO148" s="94" t="s">
        <v>520</v>
      </c>
      <c r="AP148" s="13"/>
    </row>
    <row r="149" spans="1:42" s="18" customFormat="1" x14ac:dyDescent="0.2">
      <c r="A149" s="18" t="s">
        <v>510</v>
      </c>
      <c r="B149" s="19" t="s">
        <v>1127</v>
      </c>
      <c r="C149" s="19" t="s">
        <v>1019</v>
      </c>
      <c r="D149" s="19" t="s">
        <v>1128</v>
      </c>
      <c r="E149" s="19" t="s">
        <v>1019</v>
      </c>
      <c r="F149" s="19"/>
      <c r="G149" s="77">
        <v>7331423006090</v>
      </c>
      <c r="H149" s="77"/>
      <c r="I149" s="77"/>
      <c r="J149" s="36" t="s">
        <v>568</v>
      </c>
      <c r="K149" s="36" t="s">
        <v>977</v>
      </c>
      <c r="L149" s="5">
        <v>6.99</v>
      </c>
      <c r="M149" s="35">
        <v>1</v>
      </c>
      <c r="N149" s="35">
        <v>4</v>
      </c>
      <c r="O149" s="345"/>
      <c r="P149" s="35"/>
      <c r="Q149" s="35"/>
      <c r="R149" s="187"/>
      <c r="S149" s="33">
        <v>7.6999999999999999E-2</v>
      </c>
      <c r="T149" s="33">
        <v>1</v>
      </c>
      <c r="U149" s="33">
        <v>2.5</v>
      </c>
      <c r="V149" s="70">
        <v>8.25</v>
      </c>
      <c r="W149" s="99">
        <v>1.85</v>
      </c>
      <c r="X149" s="100">
        <v>6</v>
      </c>
      <c r="Y149" s="100">
        <v>6</v>
      </c>
      <c r="Z149" s="101">
        <v>8.25</v>
      </c>
      <c r="AA149" s="44">
        <v>8.75</v>
      </c>
      <c r="AB149" s="33">
        <v>16</v>
      </c>
      <c r="AC149" s="33">
        <v>14</v>
      </c>
      <c r="AD149" s="70">
        <v>9</v>
      </c>
      <c r="AE149" s="33">
        <f t="shared" si="3"/>
        <v>1.1666666666666667</v>
      </c>
      <c r="AF149" s="18" t="s">
        <v>719</v>
      </c>
      <c r="AG149" s="37" t="s">
        <v>715</v>
      </c>
      <c r="AH149" s="18" t="s">
        <v>716</v>
      </c>
      <c r="AI149" s="37" t="s">
        <v>717</v>
      </c>
      <c r="AJ149" s="18" t="s">
        <v>731</v>
      </c>
      <c r="AN149" s="12" t="s">
        <v>732</v>
      </c>
      <c r="AO149" s="94" t="s">
        <v>520</v>
      </c>
      <c r="AP149" s="13"/>
    </row>
    <row r="150" spans="1:42" s="18" customFormat="1" x14ac:dyDescent="0.2">
      <c r="A150" s="18" t="s">
        <v>510</v>
      </c>
      <c r="B150" s="19" t="s">
        <v>1127</v>
      </c>
      <c r="C150" s="19" t="s">
        <v>623</v>
      </c>
      <c r="D150" s="19" t="s">
        <v>1128</v>
      </c>
      <c r="E150" s="19" t="s">
        <v>623</v>
      </c>
      <c r="F150" s="19"/>
      <c r="G150" s="77">
        <v>7331423005673</v>
      </c>
      <c r="H150" s="77"/>
      <c r="I150" s="77"/>
      <c r="J150" s="36" t="s">
        <v>568</v>
      </c>
      <c r="K150" s="36" t="s">
        <v>977</v>
      </c>
      <c r="L150" s="5">
        <v>6.99</v>
      </c>
      <c r="M150" s="35">
        <v>1</v>
      </c>
      <c r="N150" s="35">
        <v>4</v>
      </c>
      <c r="O150" s="345"/>
      <c r="P150" s="35"/>
      <c r="Q150" s="35"/>
      <c r="R150" s="187"/>
      <c r="S150" s="33">
        <v>7.6999999999999999E-2</v>
      </c>
      <c r="T150" s="33">
        <v>1</v>
      </c>
      <c r="U150" s="33">
        <v>2.5</v>
      </c>
      <c r="V150" s="70">
        <v>8.25</v>
      </c>
      <c r="W150" s="99">
        <v>1.85</v>
      </c>
      <c r="X150" s="100">
        <v>6</v>
      </c>
      <c r="Y150" s="100">
        <v>6</v>
      </c>
      <c r="Z150" s="101">
        <v>8.25</v>
      </c>
      <c r="AA150" s="44">
        <v>8.75</v>
      </c>
      <c r="AB150" s="33">
        <v>16</v>
      </c>
      <c r="AC150" s="33">
        <v>14</v>
      </c>
      <c r="AD150" s="70">
        <v>9</v>
      </c>
      <c r="AE150" s="33">
        <f t="shared" si="3"/>
        <v>1.1666666666666667</v>
      </c>
      <c r="AF150" s="18" t="s">
        <v>719</v>
      </c>
      <c r="AG150" s="37" t="s">
        <v>715</v>
      </c>
      <c r="AH150" s="18" t="s">
        <v>716</v>
      </c>
      <c r="AI150" s="37" t="s">
        <v>717</v>
      </c>
      <c r="AJ150" s="18" t="s">
        <v>731</v>
      </c>
      <c r="AN150" s="12" t="s">
        <v>732</v>
      </c>
      <c r="AO150" s="94" t="s">
        <v>520</v>
      </c>
      <c r="AP150" s="13"/>
    </row>
    <row r="151" spans="1:42" s="18" customFormat="1" x14ac:dyDescent="0.2">
      <c r="A151" s="18" t="s">
        <v>510</v>
      </c>
      <c r="B151" s="19" t="s">
        <v>1127</v>
      </c>
      <c r="C151" s="19" t="s">
        <v>369</v>
      </c>
      <c r="D151" s="19" t="s">
        <v>1563</v>
      </c>
      <c r="E151" s="19" t="s">
        <v>369</v>
      </c>
      <c r="F151" s="19"/>
      <c r="G151" s="77">
        <v>7331423004928</v>
      </c>
      <c r="H151" s="77"/>
      <c r="I151" s="77"/>
      <c r="J151" s="36" t="s">
        <v>568</v>
      </c>
      <c r="K151" s="36" t="s">
        <v>977</v>
      </c>
      <c r="L151" s="5">
        <v>6.99</v>
      </c>
      <c r="M151" s="35">
        <v>1</v>
      </c>
      <c r="N151" s="35"/>
      <c r="O151" s="345"/>
      <c r="P151" s="35"/>
      <c r="Q151" s="35"/>
      <c r="R151" s="187"/>
      <c r="S151" s="33">
        <v>7.6999999999999999E-2</v>
      </c>
      <c r="T151" s="33">
        <v>1</v>
      </c>
      <c r="U151" s="33">
        <v>2.5</v>
      </c>
      <c r="V151" s="70">
        <v>8.25</v>
      </c>
      <c r="W151" s="44" t="s">
        <v>856</v>
      </c>
      <c r="X151" s="33" t="s">
        <v>856</v>
      </c>
      <c r="Y151" s="33" t="s">
        <v>856</v>
      </c>
      <c r="Z151" s="70" t="s">
        <v>856</v>
      </c>
      <c r="AA151" s="44" t="s">
        <v>856</v>
      </c>
      <c r="AB151" s="33" t="s">
        <v>856</v>
      </c>
      <c r="AC151" s="33" t="s">
        <v>856</v>
      </c>
      <c r="AD151" s="70" t="s">
        <v>856</v>
      </c>
      <c r="AE151" s="33"/>
      <c r="AF151" s="18" t="s">
        <v>719</v>
      </c>
      <c r="AG151" s="37" t="s">
        <v>715</v>
      </c>
      <c r="AH151" s="18" t="s">
        <v>716</v>
      </c>
      <c r="AI151" s="37" t="s">
        <v>717</v>
      </c>
      <c r="AJ151" s="18" t="s">
        <v>731</v>
      </c>
      <c r="AN151" s="12" t="s">
        <v>732</v>
      </c>
      <c r="AO151" s="94" t="s">
        <v>520</v>
      </c>
      <c r="AP151" s="13"/>
    </row>
    <row r="152" spans="1:42" s="18" customFormat="1" x14ac:dyDescent="0.2">
      <c r="A152" s="18" t="s">
        <v>510</v>
      </c>
      <c r="B152" s="19" t="s">
        <v>1127</v>
      </c>
      <c r="C152" s="19" t="s">
        <v>653</v>
      </c>
      <c r="D152" s="19" t="s">
        <v>1563</v>
      </c>
      <c r="E152" s="19" t="s">
        <v>653</v>
      </c>
      <c r="F152" s="19"/>
      <c r="G152" s="77">
        <v>7331423004973</v>
      </c>
      <c r="H152" s="77"/>
      <c r="I152" s="77"/>
      <c r="J152" s="36" t="s">
        <v>568</v>
      </c>
      <c r="K152" s="36" t="s">
        <v>977</v>
      </c>
      <c r="L152" s="5">
        <v>6.99</v>
      </c>
      <c r="M152" s="35">
        <v>1</v>
      </c>
      <c r="N152" s="35"/>
      <c r="O152" s="345"/>
      <c r="P152" s="35"/>
      <c r="Q152" s="35"/>
      <c r="R152" s="187"/>
      <c r="S152" s="33">
        <v>7.6999999999999999E-2</v>
      </c>
      <c r="T152" s="33">
        <v>1</v>
      </c>
      <c r="U152" s="33">
        <v>2.5</v>
      </c>
      <c r="V152" s="70">
        <v>8.25</v>
      </c>
      <c r="W152" s="44" t="s">
        <v>856</v>
      </c>
      <c r="X152" s="33" t="s">
        <v>856</v>
      </c>
      <c r="Y152" s="33" t="s">
        <v>856</v>
      </c>
      <c r="Z152" s="70" t="s">
        <v>856</v>
      </c>
      <c r="AA152" s="44" t="s">
        <v>856</v>
      </c>
      <c r="AB152" s="33" t="s">
        <v>856</v>
      </c>
      <c r="AC152" s="33" t="s">
        <v>856</v>
      </c>
      <c r="AD152" s="70" t="s">
        <v>856</v>
      </c>
      <c r="AE152" s="33"/>
      <c r="AF152" s="18" t="s">
        <v>719</v>
      </c>
      <c r="AG152" s="37" t="s">
        <v>715</v>
      </c>
      <c r="AH152" s="18" t="s">
        <v>716</v>
      </c>
      <c r="AI152" s="37" t="s">
        <v>717</v>
      </c>
      <c r="AJ152" s="18" t="s">
        <v>731</v>
      </c>
      <c r="AN152" s="12" t="s">
        <v>732</v>
      </c>
      <c r="AO152" s="94" t="s">
        <v>520</v>
      </c>
      <c r="AP152" s="13"/>
    </row>
    <row r="153" spans="1:42" s="18" customFormat="1" x14ac:dyDescent="0.2">
      <c r="A153" s="18" t="s">
        <v>510</v>
      </c>
      <c r="B153" s="19" t="s">
        <v>1127</v>
      </c>
      <c r="C153" s="19" t="s">
        <v>372</v>
      </c>
      <c r="D153" s="19" t="s">
        <v>1563</v>
      </c>
      <c r="E153" s="19" t="s">
        <v>372</v>
      </c>
      <c r="F153" s="19"/>
      <c r="G153" s="77">
        <v>7331423004935</v>
      </c>
      <c r="H153" s="77"/>
      <c r="I153" s="77"/>
      <c r="J153" s="36" t="s">
        <v>568</v>
      </c>
      <c r="K153" s="36" t="s">
        <v>977</v>
      </c>
      <c r="L153" s="5">
        <v>6.99</v>
      </c>
      <c r="M153" s="35">
        <v>1</v>
      </c>
      <c r="N153" s="35"/>
      <c r="O153" s="345"/>
      <c r="P153" s="35"/>
      <c r="Q153" s="35"/>
      <c r="R153" s="187"/>
      <c r="S153" s="33">
        <v>7.6999999999999999E-2</v>
      </c>
      <c r="T153" s="33">
        <v>1</v>
      </c>
      <c r="U153" s="33">
        <v>2.5</v>
      </c>
      <c r="V153" s="70">
        <v>8.25</v>
      </c>
      <c r="W153" s="44" t="s">
        <v>856</v>
      </c>
      <c r="X153" s="33" t="s">
        <v>856</v>
      </c>
      <c r="Y153" s="33" t="s">
        <v>856</v>
      </c>
      <c r="Z153" s="70" t="s">
        <v>856</v>
      </c>
      <c r="AA153" s="44" t="s">
        <v>856</v>
      </c>
      <c r="AB153" s="33" t="s">
        <v>856</v>
      </c>
      <c r="AC153" s="33" t="s">
        <v>856</v>
      </c>
      <c r="AD153" s="70" t="s">
        <v>856</v>
      </c>
      <c r="AE153" s="33"/>
      <c r="AF153" s="18" t="s">
        <v>719</v>
      </c>
      <c r="AG153" s="37" t="s">
        <v>715</v>
      </c>
      <c r="AH153" s="18" t="s">
        <v>716</v>
      </c>
      <c r="AI153" s="37" t="s">
        <v>717</v>
      </c>
      <c r="AJ153" s="18" t="s">
        <v>731</v>
      </c>
      <c r="AN153" s="12" t="s">
        <v>732</v>
      </c>
      <c r="AO153" s="94" t="s">
        <v>520</v>
      </c>
      <c r="AP153" s="13"/>
    </row>
    <row r="154" spans="1:42" s="18" customFormat="1" ht="14.25" customHeight="1" x14ac:dyDescent="0.2">
      <c r="A154" s="18" t="s">
        <v>510</v>
      </c>
      <c r="B154" s="19" t="s">
        <v>1127</v>
      </c>
      <c r="C154" s="19" t="s">
        <v>371</v>
      </c>
      <c r="D154" s="19" t="s">
        <v>1563</v>
      </c>
      <c r="E154" s="19" t="s">
        <v>371</v>
      </c>
      <c r="F154" s="19"/>
      <c r="G154" s="77">
        <v>7331423004942</v>
      </c>
      <c r="H154" s="77"/>
      <c r="I154" s="77"/>
      <c r="J154" s="36" t="s">
        <v>568</v>
      </c>
      <c r="K154" s="36" t="s">
        <v>977</v>
      </c>
      <c r="L154" s="5">
        <v>6.99</v>
      </c>
      <c r="M154" s="35">
        <v>1</v>
      </c>
      <c r="N154" s="35"/>
      <c r="O154" s="345"/>
      <c r="P154" s="35"/>
      <c r="Q154" s="35"/>
      <c r="R154" s="187"/>
      <c r="S154" s="33">
        <v>7.6999999999999999E-2</v>
      </c>
      <c r="T154" s="33">
        <v>1</v>
      </c>
      <c r="U154" s="33">
        <v>2.5</v>
      </c>
      <c r="V154" s="70">
        <v>8.25</v>
      </c>
      <c r="W154" s="44" t="s">
        <v>856</v>
      </c>
      <c r="X154" s="33" t="s">
        <v>856</v>
      </c>
      <c r="Y154" s="33" t="s">
        <v>856</v>
      </c>
      <c r="Z154" s="70" t="s">
        <v>856</v>
      </c>
      <c r="AA154" s="44" t="s">
        <v>856</v>
      </c>
      <c r="AB154" s="33" t="s">
        <v>856</v>
      </c>
      <c r="AC154" s="33" t="s">
        <v>856</v>
      </c>
      <c r="AD154" s="70" t="s">
        <v>856</v>
      </c>
      <c r="AE154" s="33"/>
      <c r="AF154" s="18" t="s">
        <v>719</v>
      </c>
      <c r="AG154" s="37" t="s">
        <v>715</v>
      </c>
      <c r="AH154" s="18" t="s">
        <v>716</v>
      </c>
      <c r="AI154" s="37" t="s">
        <v>717</v>
      </c>
      <c r="AJ154" s="18" t="s">
        <v>731</v>
      </c>
      <c r="AN154" s="12" t="s">
        <v>732</v>
      </c>
      <c r="AO154" s="94" t="s">
        <v>520</v>
      </c>
      <c r="AP154" s="13"/>
    </row>
    <row r="155" spans="1:42" s="18" customFormat="1" ht="14.25" customHeight="1" x14ac:dyDescent="0.2">
      <c r="A155" s="18" t="s">
        <v>510</v>
      </c>
      <c r="B155" s="19" t="s">
        <v>1127</v>
      </c>
      <c r="C155" s="19" t="s">
        <v>219</v>
      </c>
      <c r="D155" s="19" t="s">
        <v>1563</v>
      </c>
      <c r="E155" s="19" t="s">
        <v>219</v>
      </c>
      <c r="F155" s="19"/>
      <c r="G155" s="77">
        <v>7331423004966</v>
      </c>
      <c r="H155" s="77"/>
      <c r="I155" s="77"/>
      <c r="J155" s="36" t="s">
        <v>568</v>
      </c>
      <c r="K155" s="36" t="s">
        <v>977</v>
      </c>
      <c r="L155" s="5">
        <v>6.99</v>
      </c>
      <c r="M155" s="35">
        <v>1</v>
      </c>
      <c r="N155" s="35"/>
      <c r="O155" s="345"/>
      <c r="P155" s="35"/>
      <c r="Q155" s="35"/>
      <c r="R155" s="187"/>
      <c r="S155" s="33">
        <v>7.6999999999999999E-2</v>
      </c>
      <c r="T155" s="33">
        <v>1</v>
      </c>
      <c r="U155" s="33">
        <v>2.5</v>
      </c>
      <c r="V155" s="70">
        <v>8.25</v>
      </c>
      <c r="W155" s="44" t="s">
        <v>856</v>
      </c>
      <c r="X155" s="33" t="s">
        <v>856</v>
      </c>
      <c r="Y155" s="33" t="s">
        <v>856</v>
      </c>
      <c r="Z155" s="70" t="s">
        <v>856</v>
      </c>
      <c r="AA155" s="44" t="s">
        <v>856</v>
      </c>
      <c r="AB155" s="33" t="s">
        <v>856</v>
      </c>
      <c r="AC155" s="33" t="s">
        <v>856</v>
      </c>
      <c r="AD155" s="70" t="s">
        <v>856</v>
      </c>
      <c r="AE155" s="33"/>
      <c r="AF155" s="18" t="s">
        <v>719</v>
      </c>
      <c r="AG155" s="37" t="s">
        <v>715</v>
      </c>
      <c r="AH155" s="18" t="s">
        <v>716</v>
      </c>
      <c r="AI155" s="37" t="s">
        <v>717</v>
      </c>
      <c r="AJ155" s="18" t="s">
        <v>731</v>
      </c>
      <c r="AN155" s="12" t="s">
        <v>732</v>
      </c>
      <c r="AO155" s="94" t="s">
        <v>520</v>
      </c>
      <c r="AP155" s="13"/>
    </row>
    <row r="156" spans="1:42" s="18" customFormat="1" ht="15.75" customHeight="1" x14ac:dyDescent="0.2">
      <c r="A156" s="18" t="s">
        <v>510</v>
      </c>
      <c r="B156" s="19" t="s">
        <v>1127</v>
      </c>
      <c r="C156" s="19" t="s">
        <v>1018</v>
      </c>
      <c r="D156" s="19" t="s">
        <v>1563</v>
      </c>
      <c r="E156" s="19" t="s">
        <v>1018</v>
      </c>
      <c r="F156" s="19"/>
      <c r="G156" s="77">
        <v>7331423006069</v>
      </c>
      <c r="H156" s="77"/>
      <c r="I156" s="77"/>
      <c r="J156" s="36" t="s">
        <v>568</v>
      </c>
      <c r="K156" s="36" t="s">
        <v>977</v>
      </c>
      <c r="L156" s="5">
        <v>6.99</v>
      </c>
      <c r="M156" s="35">
        <v>1</v>
      </c>
      <c r="N156" s="35"/>
      <c r="O156" s="345"/>
      <c r="P156" s="35"/>
      <c r="Q156" s="35"/>
      <c r="R156" s="187"/>
      <c r="S156" s="33">
        <v>7.6999999999999999E-2</v>
      </c>
      <c r="T156" s="33">
        <v>1</v>
      </c>
      <c r="U156" s="33">
        <v>2.5</v>
      </c>
      <c r="V156" s="70">
        <v>8.25</v>
      </c>
      <c r="W156" s="44" t="s">
        <v>856</v>
      </c>
      <c r="X156" s="33" t="s">
        <v>856</v>
      </c>
      <c r="Y156" s="33" t="s">
        <v>856</v>
      </c>
      <c r="Z156" s="70" t="s">
        <v>856</v>
      </c>
      <c r="AA156" s="44" t="s">
        <v>856</v>
      </c>
      <c r="AB156" s="33" t="s">
        <v>856</v>
      </c>
      <c r="AC156" s="33" t="s">
        <v>856</v>
      </c>
      <c r="AD156" s="70" t="s">
        <v>856</v>
      </c>
      <c r="AE156" s="33"/>
      <c r="AF156" s="18" t="s">
        <v>719</v>
      </c>
      <c r="AG156" s="37" t="s">
        <v>715</v>
      </c>
      <c r="AH156" s="18" t="s">
        <v>716</v>
      </c>
      <c r="AI156" s="37" t="s">
        <v>717</v>
      </c>
      <c r="AJ156" s="18" t="s">
        <v>731</v>
      </c>
      <c r="AN156" s="12" t="s">
        <v>732</v>
      </c>
      <c r="AO156" s="94" t="s">
        <v>520</v>
      </c>
      <c r="AP156" s="13"/>
    </row>
    <row r="157" spans="1:42" s="18" customFormat="1" ht="13.5" customHeight="1" x14ac:dyDescent="0.2">
      <c r="A157" s="18" t="s">
        <v>510</v>
      </c>
      <c r="B157" s="33" t="s">
        <v>387</v>
      </c>
      <c r="C157" s="33" t="s">
        <v>654</v>
      </c>
      <c r="D157" s="34" t="s">
        <v>1583</v>
      </c>
      <c r="E157" s="18" t="s">
        <v>485</v>
      </c>
      <c r="G157" s="48">
        <v>7331423000951</v>
      </c>
      <c r="H157" s="48"/>
      <c r="I157" s="48"/>
      <c r="J157" s="36" t="s">
        <v>568</v>
      </c>
      <c r="K157" s="36" t="s">
        <v>977</v>
      </c>
      <c r="L157" s="5">
        <v>4.99</v>
      </c>
      <c r="M157" s="35">
        <v>12</v>
      </c>
      <c r="N157" s="35">
        <v>96</v>
      </c>
      <c r="O157" s="345"/>
      <c r="P157" s="35"/>
      <c r="Q157" s="35"/>
      <c r="R157" s="187"/>
      <c r="S157" s="33">
        <v>7.0000000000000007E-2</v>
      </c>
      <c r="T157" s="33">
        <v>1.5</v>
      </c>
      <c r="U157" s="33">
        <v>2</v>
      </c>
      <c r="V157" s="70">
        <v>6.5</v>
      </c>
      <c r="W157" s="44">
        <v>1</v>
      </c>
      <c r="X157" s="33">
        <v>8</v>
      </c>
      <c r="Y157" s="33">
        <v>4.5</v>
      </c>
      <c r="Z157" s="70">
        <v>7.5</v>
      </c>
      <c r="AA157" s="44">
        <v>6.35</v>
      </c>
      <c r="AB157" s="33">
        <v>11.75</v>
      </c>
      <c r="AC157" s="33">
        <v>11.75</v>
      </c>
      <c r="AD157" s="70">
        <v>8</v>
      </c>
      <c r="AE157" s="33">
        <f t="shared" ref="AE157:AE165" si="4">AB157*AC157*AD157/(12^3)</f>
        <v>0.6391782407407407</v>
      </c>
      <c r="AF157" s="37" t="s">
        <v>1854</v>
      </c>
      <c r="AG157" s="37" t="s">
        <v>1753</v>
      </c>
      <c r="AH157" s="37" t="s">
        <v>1855</v>
      </c>
      <c r="AI157" s="37" t="s">
        <v>1856</v>
      </c>
      <c r="AJ157" s="37" t="s">
        <v>1857</v>
      </c>
      <c r="AK157" s="37"/>
      <c r="AL157" s="37"/>
      <c r="AM157" s="37"/>
      <c r="AN157" s="37" t="s">
        <v>360</v>
      </c>
      <c r="AO157" s="94" t="s">
        <v>520</v>
      </c>
    </row>
    <row r="158" spans="1:42" s="18" customFormat="1" ht="13.5" customHeight="1" x14ac:dyDescent="0.2">
      <c r="A158" s="18" t="s">
        <v>510</v>
      </c>
      <c r="B158" s="33" t="s">
        <v>387</v>
      </c>
      <c r="C158" s="33" t="s">
        <v>222</v>
      </c>
      <c r="D158" s="34" t="s">
        <v>1583</v>
      </c>
      <c r="E158" s="34" t="s">
        <v>222</v>
      </c>
      <c r="F158" s="34"/>
      <c r="G158" s="48">
        <v>7331423000913</v>
      </c>
      <c r="H158" s="48"/>
      <c r="I158" s="48"/>
      <c r="J158" s="36" t="s">
        <v>568</v>
      </c>
      <c r="K158" s="36" t="s">
        <v>977</v>
      </c>
      <c r="L158" s="5">
        <v>4.99</v>
      </c>
      <c r="M158" s="35">
        <v>12</v>
      </c>
      <c r="N158" s="35">
        <v>96</v>
      </c>
      <c r="O158" s="345"/>
      <c r="P158" s="35"/>
      <c r="Q158" s="35"/>
      <c r="R158" s="187"/>
      <c r="S158" s="33">
        <v>7.0000000000000007E-2</v>
      </c>
      <c r="T158" s="33">
        <v>1.5</v>
      </c>
      <c r="U158" s="33">
        <v>2</v>
      </c>
      <c r="V158" s="70">
        <v>6.5</v>
      </c>
      <c r="W158" s="44">
        <v>1</v>
      </c>
      <c r="X158" s="33">
        <v>8</v>
      </c>
      <c r="Y158" s="33">
        <v>4.5</v>
      </c>
      <c r="Z158" s="70">
        <v>7.5</v>
      </c>
      <c r="AA158" s="44">
        <v>6.35</v>
      </c>
      <c r="AB158" s="33">
        <v>11.75</v>
      </c>
      <c r="AC158" s="33">
        <v>11.75</v>
      </c>
      <c r="AD158" s="70">
        <v>8</v>
      </c>
      <c r="AE158" s="33">
        <f t="shared" si="4"/>
        <v>0.6391782407407407</v>
      </c>
      <c r="AF158" s="37" t="s">
        <v>1854</v>
      </c>
      <c r="AG158" s="37" t="s">
        <v>1753</v>
      </c>
      <c r="AH158" s="37" t="s">
        <v>1855</v>
      </c>
      <c r="AI158" s="37" t="s">
        <v>1856</v>
      </c>
      <c r="AJ158" s="37" t="s">
        <v>1857</v>
      </c>
      <c r="AK158" s="37"/>
      <c r="AL158" s="37"/>
      <c r="AM158" s="37"/>
      <c r="AN158" s="37" t="s">
        <v>360</v>
      </c>
      <c r="AO158" s="94" t="s">
        <v>520</v>
      </c>
    </row>
    <row r="159" spans="1:42" s="18" customFormat="1" ht="13.5" customHeight="1" x14ac:dyDescent="0.2">
      <c r="A159" s="18" t="s">
        <v>510</v>
      </c>
      <c r="B159" s="33" t="s">
        <v>387</v>
      </c>
      <c r="C159" s="33" t="s">
        <v>217</v>
      </c>
      <c r="D159" s="34" t="s">
        <v>1583</v>
      </c>
      <c r="E159" s="34" t="s">
        <v>217</v>
      </c>
      <c r="F159" s="34"/>
      <c r="G159" s="48">
        <v>7331423000920</v>
      </c>
      <c r="H159" s="48"/>
      <c r="I159" s="48"/>
      <c r="J159" s="36" t="s">
        <v>568</v>
      </c>
      <c r="K159" s="36" t="s">
        <v>977</v>
      </c>
      <c r="L159" s="5">
        <v>4.99</v>
      </c>
      <c r="M159" s="35">
        <v>12</v>
      </c>
      <c r="N159" s="35">
        <v>96</v>
      </c>
      <c r="O159" s="345"/>
      <c r="P159" s="35"/>
      <c r="Q159" s="35"/>
      <c r="R159" s="187"/>
      <c r="S159" s="33">
        <v>7.0000000000000007E-2</v>
      </c>
      <c r="T159" s="33">
        <v>1.5</v>
      </c>
      <c r="U159" s="33">
        <v>2</v>
      </c>
      <c r="V159" s="70">
        <v>6.5</v>
      </c>
      <c r="W159" s="44">
        <v>1</v>
      </c>
      <c r="X159" s="33">
        <v>8</v>
      </c>
      <c r="Y159" s="33">
        <v>4.5</v>
      </c>
      <c r="Z159" s="70">
        <v>7.5</v>
      </c>
      <c r="AA159" s="44">
        <v>6.35</v>
      </c>
      <c r="AB159" s="33">
        <v>11.75</v>
      </c>
      <c r="AC159" s="33">
        <v>11.75</v>
      </c>
      <c r="AD159" s="70">
        <v>8</v>
      </c>
      <c r="AE159" s="33">
        <f t="shared" si="4"/>
        <v>0.6391782407407407</v>
      </c>
      <c r="AF159" s="37" t="s">
        <v>1854</v>
      </c>
      <c r="AG159" s="37" t="s">
        <v>1753</v>
      </c>
      <c r="AH159" s="37" t="s">
        <v>1855</v>
      </c>
      <c r="AI159" s="37" t="s">
        <v>1856</v>
      </c>
      <c r="AJ159" s="37" t="s">
        <v>1857</v>
      </c>
      <c r="AK159" s="37"/>
      <c r="AL159" s="37"/>
      <c r="AM159" s="37"/>
      <c r="AN159" s="37" t="s">
        <v>360</v>
      </c>
      <c r="AO159" s="94" t="s">
        <v>520</v>
      </c>
    </row>
    <row r="160" spans="1:42" s="18" customFormat="1" ht="13.5" customHeight="1" x14ac:dyDescent="0.2">
      <c r="A160" s="18" t="s">
        <v>510</v>
      </c>
      <c r="B160" s="33" t="s">
        <v>387</v>
      </c>
      <c r="C160" s="33" t="s">
        <v>1018</v>
      </c>
      <c r="D160" s="34" t="s">
        <v>1583</v>
      </c>
      <c r="E160" s="33" t="s">
        <v>1018</v>
      </c>
      <c r="F160" s="33"/>
      <c r="G160" s="66">
        <v>7331423005833</v>
      </c>
      <c r="H160" s="66"/>
      <c r="I160" s="66"/>
      <c r="J160" s="36" t="s">
        <v>568</v>
      </c>
      <c r="K160" s="36" t="s">
        <v>977</v>
      </c>
      <c r="L160" s="5">
        <v>4.99</v>
      </c>
      <c r="M160" s="35">
        <v>12</v>
      </c>
      <c r="N160" s="35">
        <v>96</v>
      </c>
      <c r="O160" s="345"/>
      <c r="P160" s="35"/>
      <c r="Q160" s="35"/>
      <c r="R160" s="187"/>
      <c r="S160" s="33">
        <v>7.0000000000000007E-2</v>
      </c>
      <c r="T160" s="33">
        <v>1.5</v>
      </c>
      <c r="U160" s="33">
        <v>2</v>
      </c>
      <c r="V160" s="70">
        <v>6.5</v>
      </c>
      <c r="W160" s="44">
        <v>1</v>
      </c>
      <c r="X160" s="33">
        <v>8</v>
      </c>
      <c r="Y160" s="33">
        <v>4.5</v>
      </c>
      <c r="Z160" s="70">
        <v>7.5</v>
      </c>
      <c r="AA160" s="44">
        <v>6.35</v>
      </c>
      <c r="AB160" s="33">
        <v>11.75</v>
      </c>
      <c r="AC160" s="33">
        <v>11.75</v>
      </c>
      <c r="AD160" s="70">
        <v>8</v>
      </c>
      <c r="AE160" s="33">
        <f t="shared" si="4"/>
        <v>0.6391782407407407</v>
      </c>
      <c r="AF160" s="37" t="s">
        <v>1854</v>
      </c>
      <c r="AG160" s="37" t="s">
        <v>1753</v>
      </c>
      <c r="AH160" s="37" t="s">
        <v>1855</v>
      </c>
      <c r="AI160" s="37" t="s">
        <v>1856</v>
      </c>
      <c r="AJ160" s="37" t="s">
        <v>1857</v>
      </c>
      <c r="AK160" s="37"/>
      <c r="AL160" s="37"/>
      <c r="AM160" s="37"/>
      <c r="AN160" s="37" t="s">
        <v>360</v>
      </c>
      <c r="AO160" s="94" t="s">
        <v>520</v>
      </c>
    </row>
    <row r="161" spans="1:41" s="18" customFormat="1" ht="13.5" customHeight="1" x14ac:dyDescent="0.2">
      <c r="A161" s="18" t="s">
        <v>510</v>
      </c>
      <c r="B161" s="33" t="s">
        <v>387</v>
      </c>
      <c r="C161" s="33" t="s">
        <v>219</v>
      </c>
      <c r="D161" s="34" t="s">
        <v>1583</v>
      </c>
      <c r="E161" s="33" t="s">
        <v>219</v>
      </c>
      <c r="F161" s="33"/>
      <c r="G161" s="66">
        <v>7331423003181</v>
      </c>
      <c r="H161" s="66"/>
      <c r="I161" s="66"/>
      <c r="J161" s="36" t="s">
        <v>568</v>
      </c>
      <c r="K161" s="36" t="s">
        <v>977</v>
      </c>
      <c r="L161" s="5">
        <v>4.99</v>
      </c>
      <c r="M161" s="35">
        <v>12</v>
      </c>
      <c r="N161" s="35">
        <v>96</v>
      </c>
      <c r="O161" s="345"/>
      <c r="P161" s="35"/>
      <c r="Q161" s="35"/>
      <c r="R161" s="187"/>
      <c r="S161" s="33">
        <v>7.0000000000000007E-2</v>
      </c>
      <c r="T161" s="33">
        <v>1.5</v>
      </c>
      <c r="U161" s="33">
        <v>2</v>
      </c>
      <c r="V161" s="70">
        <v>6.5</v>
      </c>
      <c r="W161" s="44">
        <v>1</v>
      </c>
      <c r="X161" s="33">
        <v>8</v>
      </c>
      <c r="Y161" s="33">
        <v>4.5</v>
      </c>
      <c r="Z161" s="70">
        <v>7.5</v>
      </c>
      <c r="AA161" s="44">
        <v>6.35</v>
      </c>
      <c r="AB161" s="33">
        <v>11.75</v>
      </c>
      <c r="AC161" s="33">
        <v>11.75</v>
      </c>
      <c r="AD161" s="70">
        <v>8</v>
      </c>
      <c r="AE161" s="33">
        <f t="shared" si="4"/>
        <v>0.6391782407407407</v>
      </c>
      <c r="AF161" s="37" t="s">
        <v>1854</v>
      </c>
      <c r="AG161" s="37" t="s">
        <v>1753</v>
      </c>
      <c r="AH161" s="37" t="s">
        <v>1855</v>
      </c>
      <c r="AI161" s="37" t="s">
        <v>1856</v>
      </c>
      <c r="AJ161" s="37" t="s">
        <v>1857</v>
      </c>
      <c r="AK161" s="37"/>
      <c r="AL161" s="37"/>
      <c r="AM161" s="37"/>
      <c r="AN161" s="37" t="s">
        <v>360</v>
      </c>
      <c r="AO161" s="94" t="s">
        <v>520</v>
      </c>
    </row>
    <row r="162" spans="1:41" s="18" customFormat="1" ht="13.5" customHeight="1" x14ac:dyDescent="0.2">
      <c r="A162" s="18" t="s">
        <v>510</v>
      </c>
      <c r="B162" s="33" t="s">
        <v>387</v>
      </c>
      <c r="C162" s="33" t="s">
        <v>483</v>
      </c>
      <c r="D162" s="34" t="s">
        <v>1583</v>
      </c>
      <c r="E162" s="34" t="s">
        <v>483</v>
      </c>
      <c r="F162" s="34"/>
      <c r="G162" s="48">
        <v>7331423000937</v>
      </c>
      <c r="H162" s="48"/>
      <c r="I162" s="48"/>
      <c r="J162" s="36" t="s">
        <v>568</v>
      </c>
      <c r="K162" s="36" t="s">
        <v>977</v>
      </c>
      <c r="L162" s="5">
        <v>4.99</v>
      </c>
      <c r="M162" s="35">
        <v>12</v>
      </c>
      <c r="N162" s="35">
        <v>96</v>
      </c>
      <c r="O162" s="345"/>
      <c r="P162" s="35"/>
      <c r="Q162" s="35"/>
      <c r="R162" s="187"/>
      <c r="S162" s="33">
        <v>7.0000000000000007E-2</v>
      </c>
      <c r="T162" s="33">
        <v>1.5</v>
      </c>
      <c r="U162" s="33">
        <v>2</v>
      </c>
      <c r="V162" s="70">
        <v>6.5</v>
      </c>
      <c r="W162" s="44">
        <v>1</v>
      </c>
      <c r="X162" s="33">
        <v>8</v>
      </c>
      <c r="Y162" s="33">
        <v>4.5</v>
      </c>
      <c r="Z162" s="70">
        <v>7.5</v>
      </c>
      <c r="AA162" s="44">
        <v>6.35</v>
      </c>
      <c r="AB162" s="33">
        <v>11.75</v>
      </c>
      <c r="AC162" s="33">
        <v>11.75</v>
      </c>
      <c r="AD162" s="70">
        <v>8</v>
      </c>
      <c r="AE162" s="33">
        <f t="shared" si="4"/>
        <v>0.6391782407407407</v>
      </c>
      <c r="AF162" s="37" t="s">
        <v>1854</v>
      </c>
      <c r="AG162" s="37" t="s">
        <v>1753</v>
      </c>
      <c r="AH162" s="37" t="s">
        <v>1855</v>
      </c>
      <c r="AI162" s="37" t="s">
        <v>1856</v>
      </c>
      <c r="AJ162" s="37" t="s">
        <v>1857</v>
      </c>
      <c r="AK162" s="37"/>
      <c r="AL162" s="37"/>
      <c r="AM162" s="37"/>
      <c r="AN162" s="37" t="s">
        <v>360</v>
      </c>
      <c r="AO162" s="94" t="s">
        <v>520</v>
      </c>
    </row>
    <row r="163" spans="1:41" s="18" customFormat="1" ht="13.5" customHeight="1" x14ac:dyDescent="0.2">
      <c r="A163" s="18" t="s">
        <v>510</v>
      </c>
      <c r="B163" s="33" t="s">
        <v>387</v>
      </c>
      <c r="C163" s="33" t="s">
        <v>218</v>
      </c>
      <c r="D163" s="34" t="s">
        <v>1583</v>
      </c>
      <c r="E163" s="34" t="s">
        <v>218</v>
      </c>
      <c r="F163" s="34"/>
      <c r="G163" s="48">
        <v>7331423000944</v>
      </c>
      <c r="H163" s="48"/>
      <c r="I163" s="48"/>
      <c r="J163" s="36" t="s">
        <v>568</v>
      </c>
      <c r="K163" s="36" t="s">
        <v>977</v>
      </c>
      <c r="L163" s="5">
        <v>4.99</v>
      </c>
      <c r="M163" s="35">
        <v>12</v>
      </c>
      <c r="N163" s="35">
        <v>96</v>
      </c>
      <c r="O163" s="345"/>
      <c r="P163" s="35"/>
      <c r="Q163" s="35"/>
      <c r="R163" s="187"/>
      <c r="S163" s="33">
        <v>7.0000000000000007E-2</v>
      </c>
      <c r="T163" s="33">
        <v>1.5</v>
      </c>
      <c r="U163" s="33">
        <v>2</v>
      </c>
      <c r="V163" s="70">
        <v>6.5</v>
      </c>
      <c r="W163" s="44">
        <v>1</v>
      </c>
      <c r="X163" s="33">
        <v>8</v>
      </c>
      <c r="Y163" s="33">
        <v>4.5</v>
      </c>
      <c r="Z163" s="70">
        <v>7.5</v>
      </c>
      <c r="AA163" s="44">
        <v>6.35</v>
      </c>
      <c r="AB163" s="33">
        <v>11.75</v>
      </c>
      <c r="AC163" s="33">
        <v>11.75</v>
      </c>
      <c r="AD163" s="70">
        <v>8</v>
      </c>
      <c r="AE163" s="33">
        <f t="shared" si="4"/>
        <v>0.6391782407407407</v>
      </c>
      <c r="AF163" s="37" t="s">
        <v>1854</v>
      </c>
      <c r="AG163" s="37" t="s">
        <v>1753</v>
      </c>
      <c r="AH163" s="37" t="s">
        <v>1855</v>
      </c>
      <c r="AI163" s="37" t="s">
        <v>1856</v>
      </c>
      <c r="AJ163" s="37" t="s">
        <v>1857</v>
      </c>
      <c r="AK163" s="37"/>
      <c r="AL163" s="37"/>
      <c r="AM163" s="37"/>
      <c r="AN163" s="37" t="s">
        <v>360</v>
      </c>
      <c r="AO163" s="94" t="s">
        <v>520</v>
      </c>
    </row>
    <row r="164" spans="1:41" s="18" customFormat="1" x14ac:dyDescent="0.2">
      <c r="A164" s="18" t="s">
        <v>510</v>
      </c>
      <c r="B164" s="33" t="s">
        <v>591</v>
      </c>
      <c r="C164" s="33" t="s">
        <v>655</v>
      </c>
      <c r="D164" s="34" t="s">
        <v>106</v>
      </c>
      <c r="E164" s="18" t="s">
        <v>486</v>
      </c>
      <c r="G164" s="77">
        <v>7331423002610</v>
      </c>
      <c r="H164" s="77"/>
      <c r="I164" s="77"/>
      <c r="J164" s="36" t="s">
        <v>568</v>
      </c>
      <c r="K164" s="36" t="s">
        <v>977</v>
      </c>
      <c r="L164" s="5">
        <v>4.99</v>
      </c>
      <c r="M164" s="35">
        <v>1</v>
      </c>
      <c r="N164" s="35">
        <v>1</v>
      </c>
      <c r="O164" s="345"/>
      <c r="P164" s="35"/>
      <c r="Q164" s="35"/>
      <c r="R164" s="187"/>
      <c r="S164" s="33">
        <v>7.0000000000000007E-2</v>
      </c>
      <c r="T164" s="33">
        <v>1.5</v>
      </c>
      <c r="U164" s="33">
        <v>2</v>
      </c>
      <c r="V164" s="70">
        <v>6.5</v>
      </c>
      <c r="W164" s="44" t="s">
        <v>856</v>
      </c>
      <c r="X164" s="33" t="s">
        <v>856</v>
      </c>
      <c r="Y164" s="33" t="s">
        <v>856</v>
      </c>
      <c r="Z164" s="70" t="s">
        <v>856</v>
      </c>
      <c r="AA164" s="44">
        <v>1.95</v>
      </c>
      <c r="AB164" s="33">
        <v>4.75</v>
      </c>
      <c r="AC164" s="33">
        <v>4.75</v>
      </c>
      <c r="AD164" s="70">
        <v>9</v>
      </c>
      <c r="AE164" s="33">
        <f t="shared" si="4"/>
        <v>0.11751302083333333</v>
      </c>
      <c r="AF164" s="37" t="s">
        <v>1854</v>
      </c>
      <c r="AG164" s="37" t="s">
        <v>1753</v>
      </c>
      <c r="AH164" s="37" t="s">
        <v>1855</v>
      </c>
      <c r="AI164" s="37" t="s">
        <v>1856</v>
      </c>
      <c r="AJ164" s="37" t="s">
        <v>1857</v>
      </c>
      <c r="AK164" s="37"/>
      <c r="AL164" s="37"/>
      <c r="AM164" s="37"/>
      <c r="AN164" s="37" t="s">
        <v>360</v>
      </c>
      <c r="AO164" s="94" t="s">
        <v>520</v>
      </c>
    </row>
    <row r="165" spans="1:41" s="18" customFormat="1" x14ac:dyDescent="0.2">
      <c r="A165" s="18" t="s">
        <v>510</v>
      </c>
      <c r="B165" s="33" t="s">
        <v>591</v>
      </c>
      <c r="C165" s="33" t="s">
        <v>1019</v>
      </c>
      <c r="D165" s="34" t="s">
        <v>1875</v>
      </c>
      <c r="E165" s="18" t="s">
        <v>1019</v>
      </c>
      <c r="G165" s="77">
        <v>7331423005871</v>
      </c>
      <c r="H165" s="77"/>
      <c r="I165" s="77"/>
      <c r="J165" s="36" t="s">
        <v>568</v>
      </c>
      <c r="K165" s="36" t="s">
        <v>977</v>
      </c>
      <c r="L165" s="5">
        <v>4.99</v>
      </c>
      <c r="M165" s="35">
        <v>1</v>
      </c>
      <c r="N165" s="35">
        <v>7</v>
      </c>
      <c r="O165" s="345"/>
      <c r="P165" s="35"/>
      <c r="Q165" s="35"/>
      <c r="R165" s="187"/>
      <c r="S165" s="33">
        <v>7.0000000000000007E-2</v>
      </c>
      <c r="T165" s="33">
        <v>1.5</v>
      </c>
      <c r="U165" s="33">
        <v>2</v>
      </c>
      <c r="V165" s="70">
        <v>6.5</v>
      </c>
      <c r="W165" s="44">
        <v>1.1499999999999999</v>
      </c>
      <c r="X165" s="33">
        <v>8</v>
      </c>
      <c r="Y165" s="33">
        <v>5</v>
      </c>
      <c r="Z165" s="70">
        <v>5</v>
      </c>
      <c r="AA165" s="44">
        <v>9.5</v>
      </c>
      <c r="AB165" s="33">
        <v>16</v>
      </c>
      <c r="AC165" s="33">
        <v>13.5</v>
      </c>
      <c r="AD165" s="70">
        <v>9</v>
      </c>
      <c r="AE165" s="33">
        <f t="shared" si="4"/>
        <v>1.125</v>
      </c>
      <c r="AF165" s="37" t="s">
        <v>1854</v>
      </c>
      <c r="AG165" s="37" t="s">
        <v>1753</v>
      </c>
      <c r="AH165" s="37" t="s">
        <v>1855</v>
      </c>
      <c r="AI165" s="37" t="s">
        <v>1856</v>
      </c>
      <c r="AJ165" s="37" t="s">
        <v>1857</v>
      </c>
      <c r="AK165" s="37"/>
      <c r="AL165" s="37"/>
      <c r="AM165" s="37"/>
      <c r="AN165" s="37" t="s">
        <v>360</v>
      </c>
      <c r="AO165" s="94" t="s">
        <v>520</v>
      </c>
    </row>
    <row r="166" spans="1:41" s="18" customFormat="1" x14ac:dyDescent="0.2">
      <c r="A166" s="18" t="s">
        <v>510</v>
      </c>
      <c r="B166" s="33" t="s">
        <v>1045</v>
      </c>
      <c r="C166" s="33" t="s">
        <v>222</v>
      </c>
      <c r="D166" s="34" t="s">
        <v>1599</v>
      </c>
      <c r="E166" s="33" t="s">
        <v>369</v>
      </c>
      <c r="F166" s="33"/>
      <c r="G166" s="77">
        <v>7331423002474</v>
      </c>
      <c r="H166" s="77"/>
      <c r="I166" s="77"/>
      <c r="J166" s="36" t="s">
        <v>568</v>
      </c>
      <c r="K166" s="36" t="s">
        <v>977</v>
      </c>
      <c r="L166" s="5">
        <v>4.99</v>
      </c>
      <c r="M166" s="35">
        <v>20</v>
      </c>
      <c r="N166" s="35" t="s">
        <v>856</v>
      </c>
      <c r="O166" s="345"/>
      <c r="P166" s="35"/>
      <c r="Q166" s="35"/>
      <c r="R166" s="187"/>
      <c r="S166" s="33">
        <v>0.15</v>
      </c>
      <c r="T166" s="33">
        <v>10.75</v>
      </c>
      <c r="U166" s="33">
        <v>3.125</v>
      </c>
      <c r="V166" s="70">
        <v>1.375</v>
      </c>
      <c r="W166" s="44">
        <v>1.4</v>
      </c>
      <c r="X166" s="33">
        <v>2</v>
      </c>
      <c r="Y166" s="33">
        <v>3.5</v>
      </c>
      <c r="Z166" s="70">
        <v>10</v>
      </c>
      <c r="AA166" s="91" t="s">
        <v>856</v>
      </c>
      <c r="AB166" s="87" t="s">
        <v>856</v>
      </c>
      <c r="AC166" s="87" t="s">
        <v>856</v>
      </c>
      <c r="AD166" s="70" t="s">
        <v>856</v>
      </c>
      <c r="AE166" s="33"/>
      <c r="AF166" s="37" t="s">
        <v>1848</v>
      </c>
      <c r="AG166" s="37" t="s">
        <v>1849</v>
      </c>
      <c r="AH166" s="37" t="s">
        <v>426</v>
      </c>
      <c r="AI166" s="37" t="s">
        <v>1850</v>
      </c>
      <c r="AJ166" s="37" t="s">
        <v>428</v>
      </c>
      <c r="AK166" s="37"/>
      <c r="AL166" s="37"/>
      <c r="AM166" s="37"/>
      <c r="AN166" s="37" t="s">
        <v>424</v>
      </c>
      <c r="AO166" s="94" t="s">
        <v>520</v>
      </c>
    </row>
    <row r="167" spans="1:41" s="18" customFormat="1" x14ac:dyDescent="0.2">
      <c r="A167" s="18" t="s">
        <v>510</v>
      </c>
      <c r="B167" s="33" t="s">
        <v>1045</v>
      </c>
      <c r="C167" s="33" t="s">
        <v>155</v>
      </c>
      <c r="D167" s="34" t="s">
        <v>1600</v>
      </c>
      <c r="E167" s="33" t="s">
        <v>337</v>
      </c>
      <c r="F167" s="33"/>
      <c r="G167" s="77">
        <v>7331423002740</v>
      </c>
      <c r="H167" s="77"/>
      <c r="I167" s="77"/>
      <c r="J167" s="36" t="s">
        <v>568</v>
      </c>
      <c r="K167" s="36" t="s">
        <v>977</v>
      </c>
      <c r="L167" s="5">
        <v>4.99</v>
      </c>
      <c r="M167" s="35">
        <v>20</v>
      </c>
      <c r="N167" s="35" t="s">
        <v>856</v>
      </c>
      <c r="O167" s="345"/>
      <c r="P167" s="35"/>
      <c r="Q167" s="35"/>
      <c r="R167" s="187"/>
      <c r="S167" s="33">
        <v>0.15</v>
      </c>
      <c r="T167" s="33">
        <v>10.75</v>
      </c>
      <c r="U167" s="33">
        <v>3.125</v>
      </c>
      <c r="V167" s="70">
        <v>1.375</v>
      </c>
      <c r="W167" s="44">
        <v>1.4</v>
      </c>
      <c r="X167" s="33">
        <v>2</v>
      </c>
      <c r="Y167" s="33">
        <v>3.5</v>
      </c>
      <c r="Z167" s="70">
        <v>10</v>
      </c>
      <c r="AA167" s="91" t="s">
        <v>856</v>
      </c>
      <c r="AB167" s="87" t="s">
        <v>856</v>
      </c>
      <c r="AC167" s="87" t="s">
        <v>856</v>
      </c>
      <c r="AD167" s="70" t="s">
        <v>856</v>
      </c>
      <c r="AE167" s="33"/>
      <c r="AF167" s="37" t="s">
        <v>1848</v>
      </c>
      <c r="AG167" s="37" t="s">
        <v>1849</v>
      </c>
      <c r="AH167" s="37" t="s">
        <v>426</v>
      </c>
      <c r="AI167" s="37" t="s">
        <v>1850</v>
      </c>
      <c r="AJ167" s="37" t="s">
        <v>428</v>
      </c>
      <c r="AK167" s="37"/>
      <c r="AL167" s="37"/>
      <c r="AM167" s="37"/>
      <c r="AN167" s="37" t="s">
        <v>424</v>
      </c>
      <c r="AO167" s="94" t="s">
        <v>520</v>
      </c>
    </row>
    <row r="168" spans="1:41" s="18" customFormat="1" x14ac:dyDescent="0.2">
      <c r="A168" s="18" t="s">
        <v>510</v>
      </c>
      <c r="B168" s="33" t="s">
        <v>1045</v>
      </c>
      <c r="C168" s="33" t="s">
        <v>484</v>
      </c>
      <c r="D168" s="34" t="s">
        <v>1601</v>
      </c>
      <c r="E168" s="33" t="s">
        <v>383</v>
      </c>
      <c r="F168" s="33"/>
      <c r="G168" s="77">
        <v>7331423002467</v>
      </c>
      <c r="H168" s="77"/>
      <c r="I168" s="77"/>
      <c r="J168" s="36" t="s">
        <v>568</v>
      </c>
      <c r="K168" s="36" t="s">
        <v>977</v>
      </c>
      <c r="L168" s="5">
        <v>4.99</v>
      </c>
      <c r="M168" s="35">
        <v>20</v>
      </c>
      <c r="N168" s="35" t="s">
        <v>856</v>
      </c>
      <c r="O168" s="345"/>
      <c r="P168" s="35"/>
      <c r="Q168" s="35"/>
      <c r="R168" s="187"/>
      <c r="S168" s="33">
        <v>0.15</v>
      </c>
      <c r="T168" s="33">
        <v>10.75</v>
      </c>
      <c r="U168" s="33">
        <v>3.125</v>
      </c>
      <c r="V168" s="70">
        <v>1.375</v>
      </c>
      <c r="W168" s="44">
        <v>1.4</v>
      </c>
      <c r="X168" s="33">
        <v>2</v>
      </c>
      <c r="Y168" s="33">
        <v>3.5</v>
      </c>
      <c r="Z168" s="70">
        <v>10</v>
      </c>
      <c r="AA168" s="91" t="s">
        <v>856</v>
      </c>
      <c r="AB168" s="87" t="s">
        <v>856</v>
      </c>
      <c r="AC168" s="87" t="s">
        <v>856</v>
      </c>
      <c r="AD168" s="70" t="s">
        <v>856</v>
      </c>
      <c r="AE168" s="33"/>
      <c r="AF168" s="37" t="s">
        <v>1848</v>
      </c>
      <c r="AG168" s="37" t="s">
        <v>1849</v>
      </c>
      <c r="AH168" s="37" t="s">
        <v>426</v>
      </c>
      <c r="AI168" s="37" t="s">
        <v>1850</v>
      </c>
      <c r="AJ168" s="37" t="s">
        <v>428</v>
      </c>
      <c r="AK168" s="37"/>
      <c r="AL168" s="37"/>
      <c r="AM168" s="37"/>
      <c r="AN168" s="37" t="s">
        <v>424</v>
      </c>
      <c r="AO168" s="94" t="s">
        <v>520</v>
      </c>
    </row>
    <row r="169" spans="1:41" s="18" customFormat="1" x14ac:dyDescent="0.2">
      <c r="A169" s="18" t="s">
        <v>510</v>
      </c>
      <c r="B169" s="33" t="s">
        <v>154</v>
      </c>
      <c r="C169" s="33" t="s">
        <v>222</v>
      </c>
      <c r="D169" s="34" t="s">
        <v>1576</v>
      </c>
      <c r="E169" s="33" t="s">
        <v>222</v>
      </c>
      <c r="F169" s="33"/>
      <c r="G169" s="77">
        <v>7331423002504</v>
      </c>
      <c r="H169" s="77"/>
      <c r="I169" s="77"/>
      <c r="J169" s="36" t="s">
        <v>568</v>
      </c>
      <c r="K169" s="36" t="s">
        <v>977</v>
      </c>
      <c r="L169" s="5">
        <v>4.99</v>
      </c>
      <c r="M169" s="35">
        <v>20</v>
      </c>
      <c r="N169" s="35">
        <v>120</v>
      </c>
      <c r="O169" s="345"/>
      <c r="P169" s="35"/>
      <c r="Q169" s="35"/>
      <c r="R169" s="187"/>
      <c r="S169" s="33">
        <v>0.15</v>
      </c>
      <c r="T169" s="33">
        <v>10.75</v>
      </c>
      <c r="U169" s="33">
        <v>3.125</v>
      </c>
      <c r="V169" s="70">
        <v>1.375</v>
      </c>
      <c r="W169" s="44">
        <v>2.15</v>
      </c>
      <c r="X169" s="33">
        <v>4.75</v>
      </c>
      <c r="Y169" s="33">
        <v>11</v>
      </c>
      <c r="Z169" s="70">
        <v>9.5</v>
      </c>
      <c r="AA169" s="44">
        <v>11.15</v>
      </c>
      <c r="AB169" s="33">
        <v>11.5</v>
      </c>
      <c r="AC169" s="33">
        <v>15</v>
      </c>
      <c r="AD169" s="70">
        <v>19.5</v>
      </c>
      <c r="AE169" s="33">
        <f>AB169*AC169*AD169/(12^3)</f>
        <v>1.9466145833333333</v>
      </c>
      <c r="AF169" s="37" t="s">
        <v>1848</v>
      </c>
      <c r="AG169" s="37" t="s">
        <v>1849</v>
      </c>
      <c r="AH169" s="37" t="s">
        <v>426</v>
      </c>
      <c r="AI169" s="37" t="s">
        <v>1850</v>
      </c>
      <c r="AJ169" s="37" t="s">
        <v>428</v>
      </c>
      <c r="AK169" s="37"/>
      <c r="AL169" s="37"/>
      <c r="AM169" s="37"/>
      <c r="AN169" s="37" t="s">
        <v>424</v>
      </c>
      <c r="AO169" s="94" t="s">
        <v>520</v>
      </c>
    </row>
    <row r="170" spans="1:41" s="18" customFormat="1" x14ac:dyDescent="0.2">
      <c r="A170" s="18" t="s">
        <v>510</v>
      </c>
      <c r="B170" s="33" t="s">
        <v>154</v>
      </c>
      <c r="C170" s="33" t="s">
        <v>155</v>
      </c>
      <c r="D170" s="34" t="s">
        <v>1576</v>
      </c>
      <c r="E170" s="33" t="s">
        <v>337</v>
      </c>
      <c r="F170" s="33"/>
      <c r="G170" s="77">
        <v>7331423002818</v>
      </c>
      <c r="H170" s="77"/>
      <c r="I170" s="77"/>
      <c r="J170" s="36" t="s">
        <v>568</v>
      </c>
      <c r="K170" s="36" t="s">
        <v>977</v>
      </c>
      <c r="L170" s="5">
        <v>4.99</v>
      </c>
      <c r="M170" s="35">
        <v>20</v>
      </c>
      <c r="N170" s="35">
        <v>120</v>
      </c>
      <c r="O170" s="345"/>
      <c r="P170" s="35"/>
      <c r="Q170" s="35"/>
      <c r="R170" s="187"/>
      <c r="S170" s="33">
        <v>0.15</v>
      </c>
      <c r="T170" s="33">
        <v>10.75</v>
      </c>
      <c r="U170" s="33">
        <v>3.125</v>
      </c>
      <c r="V170" s="70">
        <v>1.375</v>
      </c>
      <c r="W170" s="44">
        <v>2.15</v>
      </c>
      <c r="X170" s="33">
        <v>4.75</v>
      </c>
      <c r="Y170" s="33">
        <v>11</v>
      </c>
      <c r="Z170" s="70">
        <v>9.5</v>
      </c>
      <c r="AA170" s="44">
        <v>11.15</v>
      </c>
      <c r="AB170" s="33">
        <v>11.5</v>
      </c>
      <c r="AC170" s="33">
        <v>15</v>
      </c>
      <c r="AD170" s="70">
        <v>19.5</v>
      </c>
      <c r="AE170" s="33">
        <f>AB170*AC170*AD170/(12^3)</f>
        <v>1.9466145833333333</v>
      </c>
      <c r="AF170" s="37" t="s">
        <v>1848</v>
      </c>
      <c r="AG170" s="37" t="s">
        <v>1849</v>
      </c>
      <c r="AH170" s="37" t="s">
        <v>426</v>
      </c>
      <c r="AI170" s="37" t="s">
        <v>1850</v>
      </c>
      <c r="AJ170" s="37" t="s">
        <v>428</v>
      </c>
      <c r="AK170" s="37"/>
      <c r="AL170" s="37"/>
      <c r="AM170" s="37"/>
      <c r="AN170" s="37" t="s">
        <v>424</v>
      </c>
      <c r="AO170" s="94" t="s">
        <v>520</v>
      </c>
    </row>
    <row r="171" spans="1:41" s="18" customFormat="1" x14ac:dyDescent="0.2">
      <c r="A171" s="18" t="s">
        <v>510</v>
      </c>
      <c r="B171" s="33" t="s">
        <v>154</v>
      </c>
      <c r="C171" s="33" t="s">
        <v>484</v>
      </c>
      <c r="D171" s="34" t="s">
        <v>1576</v>
      </c>
      <c r="E171" s="33" t="s">
        <v>484</v>
      </c>
      <c r="F171" s="33"/>
      <c r="G171" s="77">
        <v>7331423002498</v>
      </c>
      <c r="H171" s="77"/>
      <c r="I171" s="77"/>
      <c r="J171" s="36" t="s">
        <v>568</v>
      </c>
      <c r="K171" s="36" t="s">
        <v>977</v>
      </c>
      <c r="L171" s="5">
        <v>4.99</v>
      </c>
      <c r="M171" s="35">
        <v>20</v>
      </c>
      <c r="N171" s="35">
        <v>120</v>
      </c>
      <c r="O171" s="345"/>
      <c r="P171" s="35"/>
      <c r="Q171" s="35"/>
      <c r="R171" s="187"/>
      <c r="S171" s="33">
        <v>0.15</v>
      </c>
      <c r="T171" s="33">
        <v>10.75</v>
      </c>
      <c r="U171" s="33">
        <v>3.125</v>
      </c>
      <c r="V171" s="70">
        <v>1.375</v>
      </c>
      <c r="W171" s="44">
        <v>2.15</v>
      </c>
      <c r="X171" s="33">
        <v>4.75</v>
      </c>
      <c r="Y171" s="33">
        <v>11</v>
      </c>
      <c r="Z171" s="70">
        <v>9.5</v>
      </c>
      <c r="AA171" s="44">
        <v>11.15</v>
      </c>
      <c r="AB171" s="33">
        <v>11.5</v>
      </c>
      <c r="AC171" s="33">
        <v>15</v>
      </c>
      <c r="AD171" s="70">
        <v>19.5</v>
      </c>
      <c r="AE171" s="33">
        <f>AB171*AC171*AD171/(12^3)</f>
        <v>1.9466145833333333</v>
      </c>
      <c r="AF171" s="37" t="s">
        <v>1848</v>
      </c>
      <c r="AG171" s="37" t="s">
        <v>1849</v>
      </c>
      <c r="AH171" s="37" t="s">
        <v>426</v>
      </c>
      <c r="AI171" s="37" t="s">
        <v>1850</v>
      </c>
      <c r="AJ171" s="37" t="s">
        <v>428</v>
      </c>
      <c r="AK171" s="37"/>
      <c r="AL171" s="37"/>
      <c r="AM171" s="37"/>
      <c r="AN171" s="37" t="s">
        <v>424</v>
      </c>
      <c r="AO171" s="94" t="s">
        <v>520</v>
      </c>
    </row>
    <row r="172" spans="1:41" s="18" customFormat="1" x14ac:dyDescent="0.2">
      <c r="A172" s="18" t="s">
        <v>510</v>
      </c>
      <c r="B172" s="33" t="s">
        <v>1130</v>
      </c>
      <c r="C172" s="33" t="s">
        <v>1019</v>
      </c>
      <c r="D172" s="34" t="s">
        <v>1129</v>
      </c>
      <c r="E172" s="33" t="s">
        <v>1019</v>
      </c>
      <c r="F172" s="33"/>
      <c r="G172" s="77">
        <v>7331423006144</v>
      </c>
      <c r="H172" s="77"/>
      <c r="I172" s="77"/>
      <c r="J172" s="36" t="s">
        <v>568</v>
      </c>
      <c r="K172" s="36" t="s">
        <v>977</v>
      </c>
      <c r="L172" s="5">
        <v>4.99</v>
      </c>
      <c r="M172" s="35">
        <v>1</v>
      </c>
      <c r="N172" s="35">
        <v>4</v>
      </c>
      <c r="O172" s="345"/>
      <c r="P172" s="35"/>
      <c r="Q172" s="35"/>
      <c r="R172" s="187"/>
      <c r="S172" s="33">
        <v>0.15</v>
      </c>
      <c r="T172" s="33">
        <v>10.75</v>
      </c>
      <c r="U172" s="33">
        <v>3.125</v>
      </c>
      <c r="V172" s="70">
        <v>1.375</v>
      </c>
      <c r="W172" s="44">
        <v>3</v>
      </c>
      <c r="X172" s="33">
        <v>5.5</v>
      </c>
      <c r="Y172" s="33">
        <v>5.5</v>
      </c>
      <c r="Z172" s="70">
        <v>10</v>
      </c>
      <c r="AA172" s="44">
        <v>12.1</v>
      </c>
      <c r="AB172" s="33">
        <v>10.25</v>
      </c>
      <c r="AC172" s="33">
        <v>10.25</v>
      </c>
      <c r="AD172" s="70">
        <v>11.25</v>
      </c>
      <c r="AE172" s="33">
        <f>AB172*AC172*AD172/(12^3)</f>
        <v>0.68400065104166663</v>
      </c>
      <c r="AF172" s="37" t="s">
        <v>1848</v>
      </c>
      <c r="AG172" s="37" t="s">
        <v>1849</v>
      </c>
      <c r="AH172" s="37" t="s">
        <v>426</v>
      </c>
      <c r="AI172" s="37" t="s">
        <v>1850</v>
      </c>
      <c r="AJ172" s="37" t="s">
        <v>428</v>
      </c>
      <c r="AK172" s="37"/>
      <c r="AL172" s="37"/>
      <c r="AM172" s="37"/>
      <c r="AN172" s="37" t="s">
        <v>424</v>
      </c>
      <c r="AO172" s="94" t="s">
        <v>520</v>
      </c>
    </row>
    <row r="173" spans="1:41" s="18" customFormat="1" x14ac:dyDescent="0.2">
      <c r="A173" s="18" t="s">
        <v>510</v>
      </c>
      <c r="B173" s="33" t="s">
        <v>1045</v>
      </c>
      <c r="C173" s="33" t="s">
        <v>1018</v>
      </c>
      <c r="D173" s="34" t="s">
        <v>1577</v>
      </c>
      <c r="E173" s="33" t="s">
        <v>1018</v>
      </c>
      <c r="F173" s="33"/>
      <c r="G173" s="77">
        <v>7331423006212</v>
      </c>
      <c r="H173" s="77"/>
      <c r="I173" s="77"/>
      <c r="J173" s="36" t="s">
        <v>568</v>
      </c>
      <c r="K173" s="36" t="s">
        <v>977</v>
      </c>
      <c r="L173" s="5">
        <v>4.99</v>
      </c>
      <c r="M173" s="35">
        <v>1</v>
      </c>
      <c r="N173" s="35" t="s">
        <v>856</v>
      </c>
      <c r="O173" s="345"/>
      <c r="P173" s="35"/>
      <c r="Q173" s="35"/>
      <c r="R173" s="187"/>
      <c r="S173" s="33">
        <v>0.15</v>
      </c>
      <c r="T173" s="33">
        <v>10.75</v>
      </c>
      <c r="U173" s="33">
        <v>3.125</v>
      </c>
      <c r="V173" s="70">
        <v>1.375</v>
      </c>
      <c r="W173" s="44" t="s">
        <v>856</v>
      </c>
      <c r="X173" s="33" t="s">
        <v>856</v>
      </c>
      <c r="Y173" s="33" t="s">
        <v>856</v>
      </c>
      <c r="Z173" s="70" t="s">
        <v>856</v>
      </c>
      <c r="AA173" s="91" t="s">
        <v>856</v>
      </c>
      <c r="AB173" s="87" t="s">
        <v>856</v>
      </c>
      <c r="AC173" s="87" t="s">
        <v>856</v>
      </c>
      <c r="AD173" s="70" t="s">
        <v>856</v>
      </c>
      <c r="AE173" s="33"/>
      <c r="AF173" s="37" t="s">
        <v>1848</v>
      </c>
      <c r="AG173" s="37" t="s">
        <v>1849</v>
      </c>
      <c r="AH173" s="37" t="s">
        <v>426</v>
      </c>
      <c r="AI173" s="37" t="s">
        <v>1850</v>
      </c>
      <c r="AJ173" s="37" t="s">
        <v>428</v>
      </c>
      <c r="AK173" s="37"/>
      <c r="AL173" s="37"/>
      <c r="AM173" s="37"/>
      <c r="AN173" s="37" t="s">
        <v>424</v>
      </c>
      <c r="AO173" s="94" t="s">
        <v>520</v>
      </c>
    </row>
    <row r="174" spans="1:41" s="18" customFormat="1" x14ac:dyDescent="0.2">
      <c r="A174" s="18" t="s">
        <v>510</v>
      </c>
      <c r="B174" s="33" t="s">
        <v>1045</v>
      </c>
      <c r="C174" s="33" t="s">
        <v>218</v>
      </c>
      <c r="D174" s="34" t="s">
        <v>1577</v>
      </c>
      <c r="E174" s="33" t="s">
        <v>218</v>
      </c>
      <c r="F174" s="33"/>
      <c r="G174" s="77">
        <v>7331423006113</v>
      </c>
      <c r="H174" s="77"/>
      <c r="I174" s="77"/>
      <c r="J174" s="36" t="s">
        <v>568</v>
      </c>
      <c r="K174" s="36" t="s">
        <v>977</v>
      </c>
      <c r="L174" s="5">
        <v>4.99</v>
      </c>
      <c r="M174" s="35">
        <v>1</v>
      </c>
      <c r="N174" s="35" t="s">
        <v>856</v>
      </c>
      <c r="O174" s="345"/>
      <c r="P174" s="35"/>
      <c r="Q174" s="35"/>
      <c r="R174" s="187"/>
      <c r="S174" s="33">
        <v>0.15</v>
      </c>
      <c r="T174" s="33">
        <v>10.75</v>
      </c>
      <c r="U174" s="33">
        <v>3.125</v>
      </c>
      <c r="V174" s="70">
        <v>1.375</v>
      </c>
      <c r="W174" s="44" t="s">
        <v>856</v>
      </c>
      <c r="X174" s="33" t="s">
        <v>856</v>
      </c>
      <c r="Y174" s="33" t="s">
        <v>856</v>
      </c>
      <c r="Z174" s="70" t="s">
        <v>856</v>
      </c>
      <c r="AA174" s="91" t="s">
        <v>856</v>
      </c>
      <c r="AB174" s="87" t="s">
        <v>856</v>
      </c>
      <c r="AC174" s="87" t="s">
        <v>856</v>
      </c>
      <c r="AD174" s="70" t="s">
        <v>856</v>
      </c>
      <c r="AE174" s="33"/>
      <c r="AF174" s="37" t="s">
        <v>1848</v>
      </c>
      <c r="AG174" s="37" t="s">
        <v>1849</v>
      </c>
      <c r="AH174" s="37" t="s">
        <v>426</v>
      </c>
      <c r="AI174" s="37" t="s">
        <v>1850</v>
      </c>
      <c r="AJ174" s="37" t="s">
        <v>428</v>
      </c>
      <c r="AK174" s="37"/>
      <c r="AL174" s="37"/>
      <c r="AM174" s="37"/>
      <c r="AN174" s="37" t="s">
        <v>424</v>
      </c>
      <c r="AO174" s="94" t="s">
        <v>520</v>
      </c>
    </row>
    <row r="175" spans="1:41" s="18" customFormat="1" x14ac:dyDescent="0.2">
      <c r="A175" s="18" t="s">
        <v>510</v>
      </c>
      <c r="B175" s="33" t="s">
        <v>1045</v>
      </c>
      <c r="C175" s="33" t="s">
        <v>222</v>
      </c>
      <c r="D175" s="34" t="s">
        <v>1577</v>
      </c>
      <c r="E175" s="33" t="s">
        <v>222</v>
      </c>
      <c r="F175" s="33"/>
      <c r="G175" s="77">
        <v>7331423002474</v>
      </c>
      <c r="H175" s="77"/>
      <c r="I175" s="77"/>
      <c r="J175" s="36" t="s">
        <v>568</v>
      </c>
      <c r="K175" s="36" t="s">
        <v>977</v>
      </c>
      <c r="L175" s="5">
        <v>4.99</v>
      </c>
      <c r="M175" s="35">
        <v>1</v>
      </c>
      <c r="N175" s="35" t="s">
        <v>856</v>
      </c>
      <c r="O175" s="345"/>
      <c r="P175" s="35"/>
      <c r="Q175" s="35"/>
      <c r="R175" s="187"/>
      <c r="S175" s="33">
        <v>0.15</v>
      </c>
      <c r="T175" s="33">
        <v>10.75</v>
      </c>
      <c r="U175" s="33">
        <v>3.125</v>
      </c>
      <c r="V175" s="70">
        <v>1.375</v>
      </c>
      <c r="W175" s="44" t="s">
        <v>856</v>
      </c>
      <c r="X175" s="33" t="s">
        <v>856</v>
      </c>
      <c r="Y175" s="33" t="s">
        <v>856</v>
      </c>
      <c r="Z175" s="70" t="s">
        <v>856</v>
      </c>
      <c r="AA175" s="91" t="s">
        <v>856</v>
      </c>
      <c r="AB175" s="87" t="s">
        <v>856</v>
      </c>
      <c r="AC175" s="87" t="s">
        <v>856</v>
      </c>
      <c r="AD175" s="70" t="s">
        <v>856</v>
      </c>
      <c r="AE175" s="33"/>
      <c r="AF175" s="37" t="s">
        <v>1848</v>
      </c>
      <c r="AG175" s="37" t="s">
        <v>1849</v>
      </c>
      <c r="AH175" s="37" t="s">
        <v>426</v>
      </c>
      <c r="AI175" s="37" t="s">
        <v>1850</v>
      </c>
      <c r="AJ175" s="37" t="s">
        <v>428</v>
      </c>
      <c r="AK175" s="37"/>
      <c r="AL175" s="37"/>
      <c r="AM175" s="37"/>
      <c r="AN175" s="37" t="s">
        <v>424</v>
      </c>
      <c r="AO175" s="94" t="s">
        <v>520</v>
      </c>
    </row>
    <row r="176" spans="1:41" s="18" customFormat="1" x14ac:dyDescent="0.2">
      <c r="A176" s="18" t="s">
        <v>510</v>
      </c>
      <c r="B176" s="33" t="s">
        <v>1045</v>
      </c>
      <c r="C176" s="33" t="s">
        <v>219</v>
      </c>
      <c r="D176" s="34" t="s">
        <v>1577</v>
      </c>
      <c r="E176" s="33" t="s">
        <v>219</v>
      </c>
      <c r="F176" s="33"/>
      <c r="G176" s="77">
        <v>7331423006311</v>
      </c>
      <c r="H176" s="77"/>
      <c r="I176" s="77"/>
      <c r="J176" s="36" t="s">
        <v>568</v>
      </c>
      <c r="K176" s="36" t="s">
        <v>977</v>
      </c>
      <c r="L176" s="5">
        <v>4.99</v>
      </c>
      <c r="M176" s="35">
        <v>1</v>
      </c>
      <c r="N176" s="35" t="s">
        <v>856</v>
      </c>
      <c r="O176" s="345"/>
      <c r="P176" s="35"/>
      <c r="Q176" s="35"/>
      <c r="R176" s="187"/>
      <c r="S176" s="33">
        <v>0.15</v>
      </c>
      <c r="T176" s="33">
        <v>10.75</v>
      </c>
      <c r="U176" s="33">
        <v>3.125</v>
      </c>
      <c r="V176" s="70">
        <v>1.375</v>
      </c>
      <c r="W176" s="44" t="s">
        <v>856</v>
      </c>
      <c r="X176" s="33" t="s">
        <v>856</v>
      </c>
      <c r="Y176" s="33" t="s">
        <v>856</v>
      </c>
      <c r="Z176" s="70" t="s">
        <v>856</v>
      </c>
      <c r="AA176" s="91" t="s">
        <v>856</v>
      </c>
      <c r="AB176" s="87" t="s">
        <v>856</v>
      </c>
      <c r="AC176" s="87" t="s">
        <v>856</v>
      </c>
      <c r="AD176" s="70" t="s">
        <v>856</v>
      </c>
      <c r="AE176" s="33"/>
      <c r="AF176" s="37" t="s">
        <v>1848</v>
      </c>
      <c r="AG176" s="37" t="s">
        <v>1849</v>
      </c>
      <c r="AH176" s="37" t="s">
        <v>426</v>
      </c>
      <c r="AI176" s="37" t="s">
        <v>1850</v>
      </c>
      <c r="AJ176" s="37" t="s">
        <v>428</v>
      </c>
      <c r="AK176" s="37"/>
      <c r="AL176" s="37"/>
      <c r="AM176" s="37"/>
      <c r="AN176" s="37" t="s">
        <v>424</v>
      </c>
      <c r="AO176" s="94" t="s">
        <v>520</v>
      </c>
    </row>
    <row r="177" spans="1:42" s="18" customFormat="1" x14ac:dyDescent="0.2">
      <c r="A177" s="18" t="s">
        <v>510</v>
      </c>
      <c r="B177" s="19" t="s">
        <v>943</v>
      </c>
      <c r="C177" s="19" t="s">
        <v>1942</v>
      </c>
      <c r="D177" s="19" t="s">
        <v>1578</v>
      </c>
      <c r="E177" s="18" t="s">
        <v>1944</v>
      </c>
      <c r="G177" s="77">
        <v>7331423003891</v>
      </c>
      <c r="H177" s="77"/>
      <c r="I177" s="77"/>
      <c r="J177" s="36" t="s">
        <v>568</v>
      </c>
      <c r="K177" s="36" t="s">
        <v>977</v>
      </c>
      <c r="L177" s="5">
        <v>6.99</v>
      </c>
      <c r="M177" s="35">
        <v>24</v>
      </c>
      <c r="N177" s="35">
        <v>144</v>
      </c>
      <c r="O177" s="345"/>
      <c r="P177" s="35"/>
      <c r="Q177" s="35"/>
      <c r="R177" s="187"/>
      <c r="S177" s="33">
        <v>0.06</v>
      </c>
      <c r="T177" s="100">
        <v>8</v>
      </c>
      <c r="U177" s="100">
        <v>2.5</v>
      </c>
      <c r="V177" s="101">
        <v>0.75</v>
      </c>
      <c r="W177" s="44">
        <v>1.62</v>
      </c>
      <c r="X177" s="100">
        <v>8</v>
      </c>
      <c r="Y177" s="100">
        <v>4.25</v>
      </c>
      <c r="Z177" s="101">
        <v>7.5</v>
      </c>
      <c r="AA177" s="44">
        <v>11</v>
      </c>
      <c r="AB177" s="33">
        <v>16</v>
      </c>
      <c r="AC177" s="33">
        <v>14</v>
      </c>
      <c r="AD177" s="70">
        <v>9</v>
      </c>
      <c r="AE177" s="33">
        <f t="shared" ref="AE177:AE206" si="5">AB177*AC177*AD177/(12^3)</f>
        <v>1.1666666666666667</v>
      </c>
      <c r="AF177" s="37" t="s">
        <v>84</v>
      </c>
      <c r="AG177" s="18" t="s">
        <v>239</v>
      </c>
      <c r="AH177" s="37" t="s">
        <v>875</v>
      </c>
      <c r="AI177" s="37" t="s">
        <v>478</v>
      </c>
      <c r="AJ177" s="37" t="s">
        <v>85</v>
      </c>
      <c r="AK177" s="37"/>
      <c r="AL177" s="37"/>
      <c r="AM177" s="37"/>
      <c r="AN177" s="12" t="s">
        <v>409</v>
      </c>
      <c r="AO177" s="94" t="s">
        <v>520</v>
      </c>
      <c r="AP177" s="13"/>
    </row>
    <row r="178" spans="1:42" s="18" customFormat="1" ht="13.5" customHeight="1" x14ac:dyDescent="0.2">
      <c r="A178" s="18" t="s">
        <v>510</v>
      </c>
      <c r="B178" s="33" t="s">
        <v>538</v>
      </c>
      <c r="C178" s="33"/>
      <c r="D178" s="34" t="s">
        <v>1564</v>
      </c>
      <c r="E178" s="18" t="s">
        <v>849</v>
      </c>
      <c r="G178" s="48">
        <v>7331423000029</v>
      </c>
      <c r="H178" s="48"/>
      <c r="I178" s="48"/>
      <c r="J178" s="36" t="s">
        <v>1042</v>
      </c>
      <c r="K178" s="36" t="s">
        <v>982</v>
      </c>
      <c r="L178" s="5">
        <v>4.99</v>
      </c>
      <c r="M178" s="35">
        <v>12</v>
      </c>
      <c r="N178" s="35">
        <v>96</v>
      </c>
      <c r="O178" s="345"/>
      <c r="P178" s="35"/>
      <c r="Q178" s="35"/>
      <c r="R178" s="187"/>
      <c r="S178" s="33">
        <v>0.06</v>
      </c>
      <c r="T178" s="33">
        <v>3</v>
      </c>
      <c r="U178" s="33">
        <v>3</v>
      </c>
      <c r="V178" s="70">
        <v>0.8</v>
      </c>
      <c r="W178" s="44">
        <v>0.7</v>
      </c>
      <c r="X178" s="33">
        <v>8.8699999999999992</v>
      </c>
      <c r="Y178" s="33">
        <v>3.25</v>
      </c>
      <c r="Z178" s="70">
        <v>3.5</v>
      </c>
      <c r="AA178" s="44">
        <v>5.4</v>
      </c>
      <c r="AB178" s="33">
        <v>10.5</v>
      </c>
      <c r="AC178" s="33">
        <v>12</v>
      </c>
      <c r="AD178" s="70">
        <v>9</v>
      </c>
      <c r="AE178" s="33">
        <f t="shared" si="5"/>
        <v>0.65625</v>
      </c>
      <c r="AF178" s="37" t="s">
        <v>463</v>
      </c>
      <c r="AG178" s="37" t="s">
        <v>459</v>
      </c>
      <c r="AH178" s="37" t="s">
        <v>460</v>
      </c>
      <c r="AI178" s="37" t="s">
        <v>461</v>
      </c>
      <c r="AJ178" s="37"/>
      <c r="AK178" s="37"/>
      <c r="AL178" s="37"/>
      <c r="AM178" s="37"/>
      <c r="AN178" s="37" t="s">
        <v>411</v>
      </c>
      <c r="AO178" s="94" t="s">
        <v>520</v>
      </c>
    </row>
    <row r="179" spans="1:42" s="18" customFormat="1" ht="15" customHeight="1" x14ac:dyDescent="0.2">
      <c r="A179" s="18" t="s">
        <v>510</v>
      </c>
      <c r="B179" s="33" t="s">
        <v>498</v>
      </c>
      <c r="C179" s="33" t="s">
        <v>484</v>
      </c>
      <c r="D179" s="34" t="s">
        <v>494</v>
      </c>
      <c r="E179" s="18" t="s">
        <v>484</v>
      </c>
      <c r="G179" s="563">
        <v>7331423001439</v>
      </c>
      <c r="H179" s="563"/>
      <c r="I179" s="563"/>
      <c r="J179" s="36" t="s">
        <v>568</v>
      </c>
      <c r="K179" s="36" t="s">
        <v>977</v>
      </c>
      <c r="L179" s="5">
        <v>17.989999999999998</v>
      </c>
      <c r="M179" s="35">
        <v>24</v>
      </c>
      <c r="N179" s="35">
        <v>24</v>
      </c>
      <c r="O179" s="345"/>
      <c r="P179" s="35"/>
      <c r="Q179" s="35"/>
      <c r="R179" s="187"/>
      <c r="S179" s="33">
        <v>0.3</v>
      </c>
      <c r="T179" s="33">
        <v>14</v>
      </c>
      <c r="U179" s="33">
        <v>4.25</v>
      </c>
      <c r="V179" s="70">
        <v>2</v>
      </c>
      <c r="W179" s="44" t="s">
        <v>856</v>
      </c>
      <c r="X179" s="33" t="s">
        <v>856</v>
      </c>
      <c r="Y179" s="33" t="s">
        <v>856</v>
      </c>
      <c r="Z179" s="70" t="s">
        <v>856</v>
      </c>
      <c r="AA179" s="44"/>
      <c r="AB179" s="33"/>
      <c r="AC179" s="33"/>
      <c r="AD179" s="70"/>
      <c r="AE179" s="33">
        <f t="shared" si="5"/>
        <v>0</v>
      </c>
      <c r="AF179" s="18" t="s">
        <v>495</v>
      </c>
      <c r="AG179" s="18" t="s">
        <v>496</v>
      </c>
      <c r="AH179" s="18" t="s">
        <v>499</v>
      </c>
      <c r="AI179" s="18" t="s">
        <v>497</v>
      </c>
      <c r="AN179" s="37" t="s">
        <v>580</v>
      </c>
      <c r="AO179" s="94" t="s">
        <v>520</v>
      </c>
    </row>
    <row r="180" spans="1:42" s="18" customFormat="1" x14ac:dyDescent="0.2">
      <c r="A180" s="18" t="s">
        <v>510</v>
      </c>
      <c r="B180" s="33" t="s">
        <v>586</v>
      </c>
      <c r="C180" s="33" t="s">
        <v>1111</v>
      </c>
      <c r="D180" s="34" t="s">
        <v>1596</v>
      </c>
      <c r="E180" s="18" t="s">
        <v>245</v>
      </c>
      <c r="G180" s="77">
        <v>7331423006274</v>
      </c>
      <c r="H180" s="77"/>
      <c r="I180" s="77"/>
      <c r="J180" s="36" t="s">
        <v>568</v>
      </c>
      <c r="K180" s="36" t="s">
        <v>977</v>
      </c>
      <c r="L180" s="5">
        <v>3.49</v>
      </c>
      <c r="M180" s="35">
        <v>24</v>
      </c>
      <c r="N180" s="35">
        <v>144</v>
      </c>
      <c r="O180" s="345"/>
      <c r="P180" s="35"/>
      <c r="Q180" s="35"/>
      <c r="R180" s="187"/>
      <c r="S180" s="100">
        <v>0.05</v>
      </c>
      <c r="T180" s="100">
        <v>8</v>
      </c>
      <c r="U180" s="100">
        <v>2.5</v>
      </c>
      <c r="V180" s="101">
        <v>0.75</v>
      </c>
      <c r="W180" s="99">
        <v>1.75</v>
      </c>
      <c r="X180" s="100">
        <v>9</v>
      </c>
      <c r="Y180" s="100">
        <v>6.5</v>
      </c>
      <c r="Z180" s="101">
        <v>8</v>
      </c>
      <c r="AA180" s="44">
        <v>15.2</v>
      </c>
      <c r="AB180" s="33">
        <v>14.25</v>
      </c>
      <c r="AC180" s="33">
        <v>16.25</v>
      </c>
      <c r="AD180" s="70">
        <v>8.75</v>
      </c>
      <c r="AE180" s="33">
        <f t="shared" si="5"/>
        <v>1.1725531684027777</v>
      </c>
      <c r="AF180" s="37" t="s">
        <v>359</v>
      </c>
      <c r="AG180" s="37" t="s">
        <v>874</v>
      </c>
      <c r="AH180" s="37" t="s">
        <v>478</v>
      </c>
      <c r="AI180" s="37" t="s">
        <v>107</v>
      </c>
      <c r="AJ180" s="37" t="s">
        <v>480</v>
      </c>
      <c r="AK180" s="37"/>
      <c r="AL180" s="37"/>
      <c r="AM180" s="37"/>
      <c r="AN180" s="37" t="s">
        <v>481</v>
      </c>
      <c r="AO180" s="94" t="s">
        <v>520</v>
      </c>
    </row>
    <row r="181" spans="1:42" s="18" customFormat="1" x14ac:dyDescent="0.2">
      <c r="A181" s="18" t="s">
        <v>510</v>
      </c>
      <c r="B181" s="19" t="s">
        <v>380</v>
      </c>
      <c r="C181" s="33" t="s">
        <v>369</v>
      </c>
      <c r="D181" s="19" t="s">
        <v>2400</v>
      </c>
      <c r="E181" s="18" t="s">
        <v>222</v>
      </c>
      <c r="G181" s="47">
        <v>7331423002535</v>
      </c>
      <c r="H181" s="47"/>
      <c r="I181" s="47"/>
      <c r="J181" s="28" t="s">
        <v>1044</v>
      </c>
      <c r="K181" s="36" t="s">
        <v>977</v>
      </c>
      <c r="L181" s="5">
        <v>22.99</v>
      </c>
      <c r="M181" s="35">
        <v>12</v>
      </c>
      <c r="N181" s="35">
        <v>72</v>
      </c>
      <c r="O181" s="345"/>
      <c r="P181" s="35"/>
      <c r="Q181" s="35"/>
      <c r="R181" s="187"/>
      <c r="S181" s="33">
        <v>0.1</v>
      </c>
      <c r="T181" s="33">
        <v>3.125</v>
      </c>
      <c r="U181" s="33">
        <v>0.625</v>
      </c>
      <c r="V181" s="70">
        <v>5.875</v>
      </c>
      <c r="W181" s="44">
        <v>1.55</v>
      </c>
      <c r="X181" s="33">
        <v>8</v>
      </c>
      <c r="Y181" s="33">
        <v>3.25</v>
      </c>
      <c r="Z181" s="70">
        <v>6</v>
      </c>
      <c r="AA181" s="44">
        <v>10</v>
      </c>
      <c r="AB181" s="33">
        <v>16.25</v>
      </c>
      <c r="AC181" s="33">
        <v>10.125</v>
      </c>
      <c r="AD181" s="70">
        <v>6.625</v>
      </c>
      <c r="AE181" s="33">
        <f t="shared" si="5"/>
        <v>0.63079833984375</v>
      </c>
      <c r="AF181" s="37" t="s">
        <v>0</v>
      </c>
      <c r="AG181" s="37" t="s">
        <v>512</v>
      </c>
      <c r="AH181" s="37" t="s">
        <v>513</v>
      </c>
      <c r="AI181" s="37" t="s">
        <v>514</v>
      </c>
      <c r="AJ181" s="37" t="s">
        <v>1</v>
      </c>
      <c r="AK181" s="37" t="s">
        <v>407</v>
      </c>
      <c r="AL181" s="94" t="s">
        <v>520</v>
      </c>
      <c r="AM181" s="13"/>
    </row>
    <row r="182" spans="1:42" s="18" customFormat="1" x14ac:dyDescent="0.2">
      <c r="A182" s="18" t="s">
        <v>510</v>
      </c>
      <c r="B182" s="19" t="s">
        <v>2657</v>
      </c>
      <c r="C182" s="33" t="s">
        <v>369</v>
      </c>
      <c r="D182" s="19" t="s">
        <v>2486</v>
      </c>
      <c r="E182" s="18" t="s">
        <v>222</v>
      </c>
      <c r="G182" s="47">
        <v>7331423005543</v>
      </c>
      <c r="H182" s="47"/>
      <c r="I182" s="47"/>
      <c r="J182" s="28" t="s">
        <v>1044</v>
      </c>
      <c r="K182" s="36" t="s">
        <v>977</v>
      </c>
      <c r="L182" s="5">
        <v>18.989999999999998</v>
      </c>
      <c r="M182" s="35">
        <v>1</v>
      </c>
      <c r="N182" s="35">
        <v>24</v>
      </c>
      <c r="O182" s="345"/>
      <c r="P182" s="35"/>
      <c r="Q182" s="35"/>
      <c r="R182" s="187"/>
      <c r="S182" s="33">
        <v>0.15</v>
      </c>
      <c r="T182" s="33">
        <v>3.75</v>
      </c>
      <c r="U182" s="33">
        <v>1</v>
      </c>
      <c r="V182" s="70">
        <v>5.75</v>
      </c>
      <c r="W182" s="44"/>
      <c r="X182" s="33"/>
      <c r="Y182" s="33"/>
      <c r="Z182" s="70"/>
      <c r="AA182" s="44">
        <v>4</v>
      </c>
      <c r="AB182" s="33">
        <v>12.5</v>
      </c>
      <c r="AC182" s="33">
        <v>7.5</v>
      </c>
      <c r="AD182" s="70">
        <v>6.5</v>
      </c>
      <c r="AE182" s="33">
        <f t="shared" si="5"/>
        <v>0.35264756944444442</v>
      </c>
      <c r="AF182" s="37" t="s">
        <v>511</v>
      </c>
      <c r="AG182" s="37" t="s">
        <v>512</v>
      </c>
      <c r="AH182" s="37" t="s">
        <v>513</v>
      </c>
      <c r="AI182" s="37" t="s">
        <v>514</v>
      </c>
      <c r="AJ182" s="40" t="s">
        <v>398</v>
      </c>
      <c r="AK182" s="37" t="s">
        <v>407</v>
      </c>
      <c r="AM182" s="13"/>
      <c r="AN182" s="94" t="s">
        <v>520</v>
      </c>
    </row>
    <row r="183" spans="1:42" s="18" customFormat="1" x14ac:dyDescent="0.2">
      <c r="A183" s="18" t="s">
        <v>510</v>
      </c>
      <c r="B183" s="33" t="s">
        <v>586</v>
      </c>
      <c r="C183" s="33" t="s">
        <v>2661</v>
      </c>
      <c r="D183" s="34" t="s">
        <v>2411</v>
      </c>
      <c r="E183" s="18" t="s">
        <v>245</v>
      </c>
      <c r="G183" s="77">
        <v>7331423002184</v>
      </c>
      <c r="H183" s="77"/>
      <c r="I183" s="77"/>
      <c r="J183" s="36" t="s">
        <v>568</v>
      </c>
      <c r="K183" s="36" t="s">
        <v>977</v>
      </c>
      <c r="L183" s="5">
        <v>3.49</v>
      </c>
      <c r="M183" s="35">
        <v>10</v>
      </c>
      <c r="N183" s="35">
        <v>240</v>
      </c>
      <c r="O183" s="345"/>
      <c r="P183" s="35"/>
      <c r="Q183" s="35"/>
      <c r="R183" s="187"/>
      <c r="S183" s="100">
        <v>0.05</v>
      </c>
      <c r="T183" s="100">
        <v>8</v>
      </c>
      <c r="U183" s="100">
        <v>2.5</v>
      </c>
      <c r="V183" s="101">
        <v>0.75</v>
      </c>
      <c r="W183" s="99">
        <v>0.5</v>
      </c>
      <c r="X183" s="100">
        <v>8</v>
      </c>
      <c r="Y183" s="100">
        <v>5.75</v>
      </c>
      <c r="Z183" s="101">
        <v>2.5</v>
      </c>
      <c r="AA183" s="44">
        <v>13.4</v>
      </c>
      <c r="AB183" s="33">
        <v>15.75</v>
      </c>
      <c r="AC183" s="33">
        <v>11.75</v>
      </c>
      <c r="AD183" s="70">
        <v>17</v>
      </c>
      <c r="AE183" s="33">
        <f t="shared" si="5"/>
        <v>1.8206380208333333</v>
      </c>
      <c r="AF183" s="37" t="s">
        <v>359</v>
      </c>
      <c r="AG183" s="37" t="s">
        <v>874</v>
      </c>
      <c r="AH183" s="37" t="s">
        <v>478</v>
      </c>
      <c r="AI183" s="37" t="s">
        <v>107</v>
      </c>
      <c r="AJ183" s="37" t="s">
        <v>480</v>
      </c>
      <c r="AK183" s="37" t="s">
        <v>481</v>
      </c>
      <c r="AN183" s="94" t="s">
        <v>520</v>
      </c>
    </row>
    <row r="184" spans="1:42" s="18" customFormat="1" x14ac:dyDescent="0.2">
      <c r="A184" s="18" t="s">
        <v>510</v>
      </c>
      <c r="B184" s="33" t="s">
        <v>586</v>
      </c>
      <c r="C184" s="33" t="s">
        <v>371</v>
      </c>
      <c r="D184" s="34" t="s">
        <v>2412</v>
      </c>
      <c r="E184" s="33" t="s">
        <v>218</v>
      </c>
      <c r="F184" s="33"/>
      <c r="G184" s="77">
        <v>7331423002214</v>
      </c>
      <c r="H184" s="77"/>
      <c r="I184" s="77"/>
      <c r="J184" s="36" t="s">
        <v>568</v>
      </c>
      <c r="K184" s="36" t="s">
        <v>977</v>
      </c>
      <c r="L184" s="5">
        <v>2.99</v>
      </c>
      <c r="M184" s="35">
        <v>24</v>
      </c>
      <c r="N184" s="35">
        <v>144</v>
      </c>
      <c r="O184" s="345"/>
      <c r="P184" s="35"/>
      <c r="Q184" s="35"/>
      <c r="R184" s="187"/>
      <c r="S184" s="100">
        <v>0.05</v>
      </c>
      <c r="T184" s="100">
        <v>8</v>
      </c>
      <c r="U184" s="100">
        <v>2.5</v>
      </c>
      <c r="V184" s="101">
        <v>0.75</v>
      </c>
      <c r="W184" s="99">
        <v>1.1499999999999999</v>
      </c>
      <c r="X184" s="100">
        <v>8</v>
      </c>
      <c r="Y184" s="100">
        <v>4.25</v>
      </c>
      <c r="Z184" s="101">
        <v>7.5</v>
      </c>
      <c r="AA184" s="44">
        <v>8.5</v>
      </c>
      <c r="AB184" s="33">
        <v>16</v>
      </c>
      <c r="AC184" s="33">
        <v>14</v>
      </c>
      <c r="AD184" s="70">
        <v>9</v>
      </c>
      <c r="AE184" s="33">
        <f t="shared" si="5"/>
        <v>1.1666666666666667</v>
      </c>
      <c r="AF184" s="37" t="s">
        <v>359</v>
      </c>
      <c r="AG184" s="37" t="s">
        <v>874</v>
      </c>
      <c r="AH184" s="37" t="s">
        <v>478</v>
      </c>
      <c r="AI184" s="37" t="s">
        <v>107</v>
      </c>
      <c r="AJ184" s="37" t="s">
        <v>480</v>
      </c>
      <c r="AK184" s="37" t="s">
        <v>481</v>
      </c>
      <c r="AN184" s="94" t="s">
        <v>520</v>
      </c>
    </row>
    <row r="185" spans="1:42" s="18" customFormat="1" x14ac:dyDescent="0.2">
      <c r="A185" s="18" t="s">
        <v>510</v>
      </c>
      <c r="B185" s="33" t="s">
        <v>586</v>
      </c>
      <c r="C185" s="33" t="s">
        <v>369</v>
      </c>
      <c r="D185" s="34" t="s">
        <v>2412</v>
      </c>
      <c r="E185" s="33" t="s">
        <v>222</v>
      </c>
      <c r="F185" s="33"/>
      <c r="G185" s="77">
        <v>7331423002184</v>
      </c>
      <c r="H185" s="77"/>
      <c r="I185" s="77"/>
      <c r="J185" s="36" t="s">
        <v>568</v>
      </c>
      <c r="K185" s="36" t="s">
        <v>977</v>
      </c>
      <c r="L185" s="5">
        <v>2.99</v>
      </c>
      <c r="M185" s="35">
        <v>24</v>
      </c>
      <c r="N185" s="35">
        <v>144</v>
      </c>
      <c r="O185" s="345"/>
      <c r="P185" s="35"/>
      <c r="Q185" s="35"/>
      <c r="R185" s="187"/>
      <c r="S185" s="100">
        <v>0.05</v>
      </c>
      <c r="T185" s="100">
        <v>8</v>
      </c>
      <c r="U185" s="100">
        <v>2.5</v>
      </c>
      <c r="V185" s="101">
        <v>0.75</v>
      </c>
      <c r="W185" s="99">
        <v>1.1499999999999999</v>
      </c>
      <c r="X185" s="100">
        <v>8</v>
      </c>
      <c r="Y185" s="100">
        <v>4.25</v>
      </c>
      <c r="Z185" s="101">
        <v>7.5</v>
      </c>
      <c r="AA185" s="44">
        <v>8.5</v>
      </c>
      <c r="AB185" s="33">
        <v>16</v>
      </c>
      <c r="AC185" s="33">
        <v>14</v>
      </c>
      <c r="AD185" s="70">
        <v>9</v>
      </c>
      <c r="AE185" s="33">
        <f t="shared" si="5"/>
        <v>1.1666666666666667</v>
      </c>
      <c r="AF185" s="37" t="s">
        <v>359</v>
      </c>
      <c r="AG185" s="37" t="s">
        <v>874</v>
      </c>
      <c r="AH185" s="37" t="s">
        <v>478</v>
      </c>
      <c r="AI185" s="37" t="s">
        <v>107</v>
      </c>
      <c r="AJ185" s="37" t="s">
        <v>480</v>
      </c>
      <c r="AK185" s="37" t="s">
        <v>481</v>
      </c>
      <c r="AN185" s="94" t="s">
        <v>520</v>
      </c>
    </row>
    <row r="186" spans="1:42" s="18" customFormat="1" x14ac:dyDescent="0.2">
      <c r="A186" s="18" t="s">
        <v>510</v>
      </c>
      <c r="B186" s="33" t="s">
        <v>586</v>
      </c>
      <c r="C186" s="33" t="s">
        <v>372</v>
      </c>
      <c r="D186" s="34" t="s">
        <v>2412</v>
      </c>
      <c r="E186" s="33" t="s">
        <v>483</v>
      </c>
      <c r="F186" s="33"/>
      <c r="G186" s="77">
        <v>7331423002207</v>
      </c>
      <c r="H186" s="77"/>
      <c r="I186" s="77"/>
      <c r="J186" s="36" t="s">
        <v>568</v>
      </c>
      <c r="K186" s="36" t="s">
        <v>977</v>
      </c>
      <c r="L186" s="5">
        <v>2.99</v>
      </c>
      <c r="M186" s="35">
        <v>24</v>
      </c>
      <c r="N186" s="35">
        <v>144</v>
      </c>
      <c r="O186" s="345"/>
      <c r="P186" s="35"/>
      <c r="Q186" s="35"/>
      <c r="R186" s="187"/>
      <c r="S186" s="100">
        <v>0.05</v>
      </c>
      <c r="T186" s="100">
        <v>8</v>
      </c>
      <c r="U186" s="100">
        <v>2.5</v>
      </c>
      <c r="V186" s="101">
        <v>0.75</v>
      </c>
      <c r="W186" s="99">
        <v>1.1499999999999999</v>
      </c>
      <c r="X186" s="100">
        <v>8</v>
      </c>
      <c r="Y186" s="100">
        <v>4.25</v>
      </c>
      <c r="Z186" s="101">
        <v>7.5</v>
      </c>
      <c r="AA186" s="44">
        <v>8.5</v>
      </c>
      <c r="AB186" s="33">
        <v>16</v>
      </c>
      <c r="AC186" s="33">
        <v>14</v>
      </c>
      <c r="AD186" s="70">
        <v>9</v>
      </c>
      <c r="AE186" s="33">
        <f t="shared" si="5"/>
        <v>1.1666666666666667</v>
      </c>
      <c r="AF186" s="37" t="s">
        <v>359</v>
      </c>
      <c r="AG186" s="37" t="s">
        <v>874</v>
      </c>
      <c r="AH186" s="37" t="s">
        <v>478</v>
      </c>
      <c r="AI186" s="37" t="s">
        <v>107</v>
      </c>
      <c r="AJ186" s="37" t="s">
        <v>480</v>
      </c>
      <c r="AK186" s="37" t="s">
        <v>481</v>
      </c>
      <c r="AN186" s="94" t="s">
        <v>520</v>
      </c>
    </row>
    <row r="187" spans="1:42" s="18" customFormat="1" x14ac:dyDescent="0.2">
      <c r="A187" s="18" t="s">
        <v>510</v>
      </c>
      <c r="B187" s="33" t="s">
        <v>586</v>
      </c>
      <c r="C187" s="33" t="s">
        <v>343</v>
      </c>
      <c r="D187" s="34" t="s">
        <v>2412</v>
      </c>
      <c r="E187" s="33" t="s">
        <v>485</v>
      </c>
      <c r="F187" s="33"/>
      <c r="G187" s="77">
        <v>7331423002221</v>
      </c>
      <c r="H187" s="77"/>
      <c r="I187" s="77"/>
      <c r="J187" s="36" t="s">
        <v>568</v>
      </c>
      <c r="K187" s="36" t="s">
        <v>977</v>
      </c>
      <c r="L187" s="5">
        <v>2.99</v>
      </c>
      <c r="M187" s="35">
        <v>24</v>
      </c>
      <c r="N187" s="35">
        <v>144</v>
      </c>
      <c r="O187" s="345"/>
      <c r="P187" s="35"/>
      <c r="Q187" s="35"/>
      <c r="R187" s="187"/>
      <c r="S187" s="100">
        <v>0.05</v>
      </c>
      <c r="T187" s="100">
        <v>8</v>
      </c>
      <c r="U187" s="100">
        <v>2.5</v>
      </c>
      <c r="V187" s="101">
        <v>0.75</v>
      </c>
      <c r="W187" s="99">
        <v>1.1499999999999999</v>
      </c>
      <c r="X187" s="100">
        <v>8</v>
      </c>
      <c r="Y187" s="100">
        <v>4.25</v>
      </c>
      <c r="Z187" s="101">
        <v>7.5</v>
      </c>
      <c r="AA187" s="44">
        <v>8.5</v>
      </c>
      <c r="AB187" s="33">
        <v>16</v>
      </c>
      <c r="AC187" s="33">
        <v>14</v>
      </c>
      <c r="AD187" s="70">
        <v>9</v>
      </c>
      <c r="AE187" s="33">
        <f t="shared" si="5"/>
        <v>1.1666666666666667</v>
      </c>
      <c r="AF187" s="37" t="s">
        <v>359</v>
      </c>
      <c r="AG187" s="37" t="s">
        <v>874</v>
      </c>
      <c r="AH187" s="37" t="s">
        <v>478</v>
      </c>
      <c r="AI187" s="37" t="s">
        <v>107</v>
      </c>
      <c r="AJ187" s="37" t="s">
        <v>480</v>
      </c>
      <c r="AK187" s="37" t="s">
        <v>481</v>
      </c>
      <c r="AN187" s="94" t="s">
        <v>520</v>
      </c>
    </row>
    <row r="188" spans="1:42" s="18" customFormat="1" x14ac:dyDescent="0.2">
      <c r="A188" s="18" t="s">
        <v>510</v>
      </c>
      <c r="B188" s="33" t="s">
        <v>586</v>
      </c>
      <c r="C188" s="33" t="s">
        <v>373</v>
      </c>
      <c r="D188" s="34" t="s">
        <v>2412</v>
      </c>
      <c r="E188" s="33" t="s">
        <v>220</v>
      </c>
      <c r="F188" s="33"/>
      <c r="G188" s="77">
        <v>7331423002252</v>
      </c>
      <c r="H188" s="77"/>
      <c r="I188" s="77"/>
      <c r="J188" s="36" t="s">
        <v>568</v>
      </c>
      <c r="K188" s="36" t="s">
        <v>977</v>
      </c>
      <c r="L188" s="5">
        <v>2.99</v>
      </c>
      <c r="M188" s="35">
        <v>24</v>
      </c>
      <c r="N188" s="35">
        <v>144</v>
      </c>
      <c r="O188" s="345"/>
      <c r="P188" s="35"/>
      <c r="Q188" s="35"/>
      <c r="R188" s="187"/>
      <c r="S188" s="100">
        <v>0.05</v>
      </c>
      <c r="T188" s="100">
        <v>8</v>
      </c>
      <c r="U188" s="100">
        <v>2.5</v>
      </c>
      <c r="V188" s="101">
        <v>0.75</v>
      </c>
      <c r="W188" s="99">
        <v>1.1499999999999999</v>
      </c>
      <c r="X188" s="100">
        <v>8</v>
      </c>
      <c r="Y188" s="100">
        <v>4.25</v>
      </c>
      <c r="Z188" s="101">
        <v>7.5</v>
      </c>
      <c r="AA188" s="44">
        <v>8.5</v>
      </c>
      <c r="AB188" s="33">
        <v>16</v>
      </c>
      <c r="AC188" s="33">
        <v>14</v>
      </c>
      <c r="AD188" s="70">
        <v>9</v>
      </c>
      <c r="AE188" s="33">
        <f t="shared" si="5"/>
        <v>1.1666666666666667</v>
      </c>
      <c r="AF188" s="37" t="s">
        <v>359</v>
      </c>
      <c r="AG188" s="37" t="s">
        <v>874</v>
      </c>
      <c r="AH188" s="37" t="s">
        <v>478</v>
      </c>
      <c r="AI188" s="37" t="s">
        <v>107</v>
      </c>
      <c r="AJ188" s="37" t="s">
        <v>480</v>
      </c>
      <c r="AK188" s="37" t="s">
        <v>481</v>
      </c>
      <c r="AN188" s="94" t="s">
        <v>520</v>
      </c>
    </row>
    <row r="189" spans="1:42" s="18" customFormat="1" x14ac:dyDescent="0.2">
      <c r="A189" s="18" t="s">
        <v>510</v>
      </c>
      <c r="B189" s="33" t="s">
        <v>586</v>
      </c>
      <c r="C189" s="33" t="s">
        <v>374</v>
      </c>
      <c r="D189" s="34" t="s">
        <v>2412</v>
      </c>
      <c r="E189" s="33" t="s">
        <v>219</v>
      </c>
      <c r="F189" s="33"/>
      <c r="G189" s="77">
        <v>7331423002269</v>
      </c>
      <c r="H189" s="77"/>
      <c r="I189" s="77"/>
      <c r="J189" s="36" t="s">
        <v>568</v>
      </c>
      <c r="K189" s="36" t="s">
        <v>977</v>
      </c>
      <c r="L189" s="5">
        <v>2.99</v>
      </c>
      <c r="M189" s="35">
        <v>24</v>
      </c>
      <c r="N189" s="35">
        <v>144</v>
      </c>
      <c r="O189" s="345"/>
      <c r="P189" s="35"/>
      <c r="Q189" s="35"/>
      <c r="R189" s="187"/>
      <c r="S189" s="100">
        <v>0.05</v>
      </c>
      <c r="T189" s="100">
        <v>8</v>
      </c>
      <c r="U189" s="100">
        <v>2.5</v>
      </c>
      <c r="V189" s="101">
        <v>0.75</v>
      </c>
      <c r="W189" s="99">
        <v>1.1499999999999999</v>
      </c>
      <c r="X189" s="100">
        <v>8</v>
      </c>
      <c r="Y189" s="100">
        <v>4.25</v>
      </c>
      <c r="Z189" s="101">
        <v>7.5</v>
      </c>
      <c r="AA189" s="44">
        <v>8.5</v>
      </c>
      <c r="AB189" s="33">
        <v>16</v>
      </c>
      <c r="AC189" s="33">
        <v>14</v>
      </c>
      <c r="AD189" s="70">
        <v>9</v>
      </c>
      <c r="AE189" s="33">
        <f t="shared" si="5"/>
        <v>1.1666666666666667</v>
      </c>
      <c r="AF189" s="37" t="s">
        <v>359</v>
      </c>
      <c r="AG189" s="37" t="s">
        <v>874</v>
      </c>
      <c r="AH189" s="37" t="s">
        <v>478</v>
      </c>
      <c r="AI189" s="37" t="s">
        <v>107</v>
      </c>
      <c r="AJ189" s="37" t="s">
        <v>480</v>
      </c>
      <c r="AK189" s="37" t="s">
        <v>481</v>
      </c>
      <c r="AN189" s="94" t="s">
        <v>520</v>
      </c>
    </row>
    <row r="190" spans="1:42" s="18" customFormat="1" x14ac:dyDescent="0.2">
      <c r="A190" s="18" t="s">
        <v>510</v>
      </c>
      <c r="B190" s="33" t="s">
        <v>586</v>
      </c>
      <c r="C190" s="33" t="s">
        <v>2660</v>
      </c>
      <c r="D190" s="34" t="s">
        <v>2412</v>
      </c>
      <c r="E190" s="33" t="s">
        <v>653</v>
      </c>
      <c r="F190" s="33"/>
      <c r="G190" s="77">
        <v>7331423004607</v>
      </c>
      <c r="H190" s="77"/>
      <c r="I190" s="77"/>
      <c r="J190" s="36" t="s">
        <v>568</v>
      </c>
      <c r="K190" s="36" t="s">
        <v>977</v>
      </c>
      <c r="L190" s="5">
        <v>2.99</v>
      </c>
      <c r="M190" s="35">
        <v>24</v>
      </c>
      <c r="N190" s="35">
        <v>144</v>
      </c>
      <c r="O190" s="345"/>
      <c r="P190" s="35"/>
      <c r="Q190" s="35"/>
      <c r="R190" s="187"/>
      <c r="S190" s="100">
        <v>0.05</v>
      </c>
      <c r="T190" s="100">
        <v>8</v>
      </c>
      <c r="U190" s="100">
        <v>2.5</v>
      </c>
      <c r="V190" s="101">
        <v>0.75</v>
      </c>
      <c r="W190" s="99">
        <v>1.1499999999999999</v>
      </c>
      <c r="X190" s="100">
        <v>8</v>
      </c>
      <c r="Y190" s="100">
        <v>4.25</v>
      </c>
      <c r="Z190" s="101">
        <v>7.5</v>
      </c>
      <c r="AA190" s="44">
        <v>8.5</v>
      </c>
      <c r="AB190" s="33">
        <v>16</v>
      </c>
      <c r="AC190" s="33">
        <v>14</v>
      </c>
      <c r="AD190" s="70">
        <v>9</v>
      </c>
      <c r="AE190" s="33">
        <f t="shared" si="5"/>
        <v>1.1666666666666667</v>
      </c>
      <c r="AF190" s="37" t="s">
        <v>359</v>
      </c>
      <c r="AG190" s="37" t="s">
        <v>874</v>
      </c>
      <c r="AH190" s="37" t="s">
        <v>478</v>
      </c>
      <c r="AI190" s="37" t="s">
        <v>107</v>
      </c>
      <c r="AJ190" s="37" t="s">
        <v>480</v>
      </c>
      <c r="AK190" s="37" t="s">
        <v>481</v>
      </c>
      <c r="AN190" s="94" t="s">
        <v>520</v>
      </c>
    </row>
    <row r="191" spans="1:42" s="18" customFormat="1" x14ac:dyDescent="0.2">
      <c r="A191" s="18" t="s">
        <v>510</v>
      </c>
      <c r="B191" s="33" t="s">
        <v>586</v>
      </c>
      <c r="C191" s="33" t="s">
        <v>1017</v>
      </c>
      <c r="D191" s="34" t="s">
        <v>2412</v>
      </c>
      <c r="E191" s="33" t="s">
        <v>1018</v>
      </c>
      <c r="F191" s="33"/>
      <c r="G191" s="77">
        <v>7331423005970</v>
      </c>
      <c r="H191" s="77"/>
      <c r="I191" s="77"/>
      <c r="J191" s="36" t="s">
        <v>568</v>
      </c>
      <c r="K191" s="36" t="s">
        <v>977</v>
      </c>
      <c r="L191" s="5">
        <v>2.99</v>
      </c>
      <c r="M191" s="35">
        <v>24</v>
      </c>
      <c r="N191" s="35">
        <v>144</v>
      </c>
      <c r="O191" s="345"/>
      <c r="P191" s="35"/>
      <c r="Q191" s="35"/>
      <c r="R191" s="187"/>
      <c r="S191" s="100">
        <v>0.05</v>
      </c>
      <c r="T191" s="100">
        <v>8</v>
      </c>
      <c r="U191" s="100">
        <v>2.5</v>
      </c>
      <c r="V191" s="101">
        <v>0.75</v>
      </c>
      <c r="W191" s="99">
        <v>1.1499999999999999</v>
      </c>
      <c r="X191" s="100">
        <v>8</v>
      </c>
      <c r="Y191" s="100">
        <v>4.25</v>
      </c>
      <c r="Z191" s="101">
        <v>7.5</v>
      </c>
      <c r="AA191" s="44">
        <v>8.5</v>
      </c>
      <c r="AB191" s="33">
        <v>16</v>
      </c>
      <c r="AC191" s="33">
        <v>14</v>
      </c>
      <c r="AD191" s="70">
        <v>9</v>
      </c>
      <c r="AE191" s="33">
        <f t="shared" si="5"/>
        <v>1.1666666666666667</v>
      </c>
      <c r="AF191" s="37" t="s">
        <v>359</v>
      </c>
      <c r="AG191" s="37" t="s">
        <v>874</v>
      </c>
      <c r="AH191" s="37" t="s">
        <v>478</v>
      </c>
      <c r="AI191" s="37" t="s">
        <v>107</v>
      </c>
      <c r="AJ191" s="37" t="s">
        <v>480</v>
      </c>
      <c r="AK191" s="37" t="s">
        <v>481</v>
      </c>
      <c r="AN191" s="94" t="s">
        <v>520</v>
      </c>
    </row>
    <row r="192" spans="1:42" s="18" customFormat="1" x14ac:dyDescent="0.2">
      <c r="A192" s="18" t="s">
        <v>510</v>
      </c>
      <c r="B192" s="33" t="s">
        <v>153</v>
      </c>
      <c r="C192" s="33" t="s">
        <v>245</v>
      </c>
      <c r="D192" s="34" t="s">
        <v>2416</v>
      </c>
      <c r="E192" s="33" t="s">
        <v>245</v>
      </c>
      <c r="F192" s="33"/>
      <c r="G192" s="77">
        <v>7331423002443</v>
      </c>
      <c r="H192" s="77"/>
      <c r="I192" s="77"/>
      <c r="J192" s="36" t="s">
        <v>568</v>
      </c>
      <c r="K192" s="36" t="s">
        <v>977</v>
      </c>
      <c r="L192" s="5">
        <v>3.99</v>
      </c>
      <c r="M192" s="35">
        <v>24</v>
      </c>
      <c r="N192" s="35">
        <v>144</v>
      </c>
      <c r="O192" s="345"/>
      <c r="P192" s="35"/>
      <c r="Q192" s="35"/>
      <c r="R192" s="187"/>
      <c r="S192" s="33">
        <v>0.1</v>
      </c>
      <c r="T192" s="33">
        <v>8.8699999999999992</v>
      </c>
      <c r="U192" s="33">
        <v>2.75</v>
      </c>
      <c r="V192" s="70">
        <v>1</v>
      </c>
      <c r="W192" s="44">
        <v>1.5</v>
      </c>
      <c r="X192" s="33">
        <v>8.75</v>
      </c>
      <c r="Y192" s="33">
        <v>5</v>
      </c>
      <c r="Z192" s="70">
        <v>9.5</v>
      </c>
      <c r="AA192" s="91">
        <v>13.25</v>
      </c>
      <c r="AB192" s="87">
        <v>9.5</v>
      </c>
      <c r="AC192" s="87">
        <v>15.25</v>
      </c>
      <c r="AD192" s="70">
        <v>17</v>
      </c>
      <c r="AE192" s="33">
        <f t="shared" si="5"/>
        <v>1.4252748842592593</v>
      </c>
      <c r="AF192" s="37" t="s">
        <v>1851</v>
      </c>
      <c r="AG192" s="37" t="s">
        <v>1852</v>
      </c>
      <c r="AH192" s="37" t="s">
        <v>426</v>
      </c>
      <c r="AI192" s="37" t="s">
        <v>1850</v>
      </c>
      <c r="AJ192" s="37" t="s">
        <v>430</v>
      </c>
      <c r="AK192" s="37" t="s">
        <v>431</v>
      </c>
      <c r="AN192" s="94" t="s">
        <v>520</v>
      </c>
    </row>
    <row r="193" spans="1:40" s="18" customFormat="1" x14ac:dyDescent="0.2">
      <c r="A193" s="18" t="s">
        <v>510</v>
      </c>
      <c r="B193" s="33" t="s">
        <v>153</v>
      </c>
      <c r="C193" s="33" t="s">
        <v>371</v>
      </c>
      <c r="D193" s="34" t="s">
        <v>2416</v>
      </c>
      <c r="E193" s="33" t="s">
        <v>218</v>
      </c>
      <c r="F193" s="33"/>
      <c r="G193" s="77">
        <v>7331423002450</v>
      </c>
      <c r="H193" s="77"/>
      <c r="I193" s="77"/>
      <c r="J193" s="36" t="s">
        <v>568</v>
      </c>
      <c r="K193" s="36" t="s">
        <v>977</v>
      </c>
      <c r="L193" s="5">
        <v>3.99</v>
      </c>
      <c r="M193" s="35">
        <v>24</v>
      </c>
      <c r="N193" s="35">
        <v>144</v>
      </c>
      <c r="O193" s="345"/>
      <c r="P193" s="35"/>
      <c r="Q193" s="35"/>
      <c r="R193" s="187"/>
      <c r="S193" s="33">
        <v>0.1</v>
      </c>
      <c r="T193" s="33">
        <v>8.8699999999999992</v>
      </c>
      <c r="U193" s="33">
        <v>2.75</v>
      </c>
      <c r="V193" s="70">
        <v>1</v>
      </c>
      <c r="W193" s="44">
        <v>1.5</v>
      </c>
      <c r="X193" s="33">
        <v>8.75</v>
      </c>
      <c r="Y193" s="33">
        <v>5</v>
      </c>
      <c r="Z193" s="70">
        <v>9.5</v>
      </c>
      <c r="AA193" s="91">
        <v>13.25</v>
      </c>
      <c r="AB193" s="87">
        <v>9.5</v>
      </c>
      <c r="AC193" s="87">
        <v>15.25</v>
      </c>
      <c r="AD193" s="70">
        <v>17</v>
      </c>
      <c r="AE193" s="33">
        <f t="shared" si="5"/>
        <v>1.4252748842592593</v>
      </c>
      <c r="AF193" s="37" t="s">
        <v>1851</v>
      </c>
      <c r="AG193" s="37" t="s">
        <v>1852</v>
      </c>
      <c r="AH193" s="37" t="s">
        <v>426</v>
      </c>
      <c r="AI193" s="37" t="s">
        <v>1850</v>
      </c>
      <c r="AJ193" s="37" t="s">
        <v>430</v>
      </c>
      <c r="AK193" s="37" t="s">
        <v>431</v>
      </c>
      <c r="AN193" s="94" t="s">
        <v>520</v>
      </c>
    </row>
    <row r="194" spans="1:40" s="18" customFormat="1" x14ac:dyDescent="0.2">
      <c r="A194" s="18" t="s">
        <v>510</v>
      </c>
      <c r="B194" s="33" t="s">
        <v>153</v>
      </c>
      <c r="C194" s="33" t="s">
        <v>286</v>
      </c>
      <c r="D194" s="34" t="s">
        <v>2416</v>
      </c>
      <c r="E194" s="33" t="s">
        <v>648</v>
      </c>
      <c r="F194" s="33"/>
      <c r="G194" s="77">
        <v>7331423002795</v>
      </c>
      <c r="H194" s="77"/>
      <c r="I194" s="77"/>
      <c r="J194" s="36" t="s">
        <v>568</v>
      </c>
      <c r="K194" s="36" t="s">
        <v>977</v>
      </c>
      <c r="L194" s="5">
        <v>3.99</v>
      </c>
      <c r="M194" s="35">
        <v>24</v>
      </c>
      <c r="N194" s="35">
        <v>144</v>
      </c>
      <c r="O194" s="345"/>
      <c r="P194" s="35"/>
      <c r="Q194" s="35"/>
      <c r="R194" s="187"/>
      <c r="S194" s="33">
        <v>0.1</v>
      </c>
      <c r="T194" s="33">
        <v>8.8699999999999992</v>
      </c>
      <c r="U194" s="33">
        <v>2.75</v>
      </c>
      <c r="V194" s="70">
        <v>1</v>
      </c>
      <c r="W194" s="44">
        <v>1.5</v>
      </c>
      <c r="X194" s="33">
        <v>8.75</v>
      </c>
      <c r="Y194" s="33">
        <v>5</v>
      </c>
      <c r="Z194" s="70">
        <v>9.5</v>
      </c>
      <c r="AA194" s="91">
        <v>13.25</v>
      </c>
      <c r="AB194" s="87">
        <v>9.5</v>
      </c>
      <c r="AC194" s="87">
        <v>15.25</v>
      </c>
      <c r="AD194" s="70">
        <v>17</v>
      </c>
      <c r="AE194" s="33">
        <f t="shared" si="5"/>
        <v>1.4252748842592593</v>
      </c>
      <c r="AF194" s="37" t="s">
        <v>1851</v>
      </c>
      <c r="AG194" s="37" t="s">
        <v>1852</v>
      </c>
      <c r="AH194" s="37" t="s">
        <v>426</v>
      </c>
      <c r="AI194" s="37" t="s">
        <v>1850</v>
      </c>
      <c r="AJ194" s="37" t="s">
        <v>430</v>
      </c>
      <c r="AK194" s="37" t="s">
        <v>431</v>
      </c>
      <c r="AN194" s="94" t="s">
        <v>520</v>
      </c>
    </row>
    <row r="195" spans="1:40" s="18" customFormat="1" x14ac:dyDescent="0.2">
      <c r="A195" s="18" t="s">
        <v>510</v>
      </c>
      <c r="B195" s="19" t="s">
        <v>351</v>
      </c>
      <c r="C195" s="33" t="s">
        <v>352</v>
      </c>
      <c r="D195" s="19" t="s">
        <v>2420</v>
      </c>
      <c r="E195" s="18" t="s">
        <v>61</v>
      </c>
      <c r="G195" s="77">
        <v>7331423003419</v>
      </c>
      <c r="H195" s="77"/>
      <c r="I195" s="77"/>
      <c r="J195" s="36" t="s">
        <v>568</v>
      </c>
      <c r="K195" s="36" t="s">
        <v>977</v>
      </c>
      <c r="L195" s="5">
        <v>6.99</v>
      </c>
      <c r="M195" s="35">
        <v>24</v>
      </c>
      <c r="N195" s="35">
        <v>144</v>
      </c>
      <c r="O195" s="345"/>
      <c r="P195" s="35"/>
      <c r="Q195" s="35"/>
      <c r="R195" s="187"/>
      <c r="S195" s="33">
        <v>1.1000000000000001</v>
      </c>
      <c r="T195" s="33">
        <v>0.75</v>
      </c>
      <c r="U195" s="33">
        <v>1.5</v>
      </c>
      <c r="V195" s="70">
        <v>6.5</v>
      </c>
      <c r="W195" s="44">
        <v>1.7</v>
      </c>
      <c r="X195" s="33">
        <v>5</v>
      </c>
      <c r="Y195" s="33">
        <v>7.5</v>
      </c>
      <c r="Z195" s="70">
        <v>6.5</v>
      </c>
      <c r="AA195" s="44">
        <v>11</v>
      </c>
      <c r="AB195" s="33">
        <v>15.5</v>
      </c>
      <c r="AC195" s="33">
        <v>15.5</v>
      </c>
      <c r="AD195" s="70">
        <v>7.25</v>
      </c>
      <c r="AE195" s="33">
        <f t="shared" si="5"/>
        <v>1.0079933449074074</v>
      </c>
      <c r="AF195" s="37" t="s">
        <v>240</v>
      </c>
      <c r="AG195" s="18" t="s">
        <v>241</v>
      </c>
      <c r="AH195" s="40" t="s">
        <v>423</v>
      </c>
      <c r="AI195" s="37" t="s">
        <v>875</v>
      </c>
      <c r="AJ195" s="37" t="s">
        <v>478</v>
      </c>
      <c r="AK195" s="12" t="s">
        <v>408</v>
      </c>
      <c r="AM195" s="13"/>
      <c r="AN195" s="94" t="s">
        <v>520</v>
      </c>
    </row>
    <row r="196" spans="1:40" s="18" customFormat="1" x14ac:dyDescent="0.2">
      <c r="A196" s="18" t="s">
        <v>510</v>
      </c>
      <c r="B196" s="19" t="s">
        <v>351</v>
      </c>
      <c r="C196" s="33" t="s">
        <v>370</v>
      </c>
      <c r="D196" s="19" t="s">
        <v>2420</v>
      </c>
      <c r="E196" s="18" t="s">
        <v>349</v>
      </c>
      <c r="G196" s="77">
        <v>7331423003426</v>
      </c>
      <c r="H196" s="77"/>
      <c r="I196" s="77"/>
      <c r="J196" s="36" t="s">
        <v>568</v>
      </c>
      <c r="K196" s="36" t="s">
        <v>977</v>
      </c>
      <c r="L196" s="5">
        <v>7.99</v>
      </c>
      <c r="M196" s="35">
        <v>24</v>
      </c>
      <c r="N196" s="35">
        <v>144</v>
      </c>
      <c r="O196" s="345"/>
      <c r="P196" s="35"/>
      <c r="Q196" s="35"/>
      <c r="R196" s="187"/>
      <c r="S196" s="33">
        <v>1.1000000000000001</v>
      </c>
      <c r="T196" s="33">
        <v>0.75</v>
      </c>
      <c r="U196" s="33">
        <v>1.5</v>
      </c>
      <c r="V196" s="70">
        <v>6.5</v>
      </c>
      <c r="W196" s="44">
        <v>1.7</v>
      </c>
      <c r="X196" s="33">
        <v>5</v>
      </c>
      <c r="Y196" s="33">
        <v>7.5</v>
      </c>
      <c r="Z196" s="70">
        <v>6.5</v>
      </c>
      <c r="AA196" s="44">
        <v>11</v>
      </c>
      <c r="AB196" s="33">
        <v>15.5</v>
      </c>
      <c r="AC196" s="33">
        <v>15.5</v>
      </c>
      <c r="AD196" s="70">
        <v>7.25</v>
      </c>
      <c r="AE196" s="33">
        <f t="shared" si="5"/>
        <v>1.0079933449074074</v>
      </c>
      <c r="AF196" s="37" t="s">
        <v>240</v>
      </c>
      <c r="AG196" s="18" t="s">
        <v>241</v>
      </c>
      <c r="AH196" s="40" t="s">
        <v>423</v>
      </c>
      <c r="AI196" s="37" t="s">
        <v>875</v>
      </c>
      <c r="AJ196" s="37" t="s">
        <v>478</v>
      </c>
      <c r="AK196" s="12" t="s">
        <v>408</v>
      </c>
      <c r="AM196" s="13"/>
      <c r="AN196" s="94" t="s">
        <v>520</v>
      </c>
    </row>
    <row r="197" spans="1:40" s="18" customFormat="1" x14ac:dyDescent="0.2">
      <c r="A197" s="18" t="s">
        <v>510</v>
      </c>
      <c r="B197" s="19" t="s">
        <v>351</v>
      </c>
      <c r="C197" s="33" t="s">
        <v>373</v>
      </c>
      <c r="D197" s="19" t="s">
        <v>2420</v>
      </c>
      <c r="E197" s="18" t="s">
        <v>350</v>
      </c>
      <c r="G197" s="77">
        <v>7331423003433</v>
      </c>
      <c r="H197" s="77"/>
      <c r="I197" s="77"/>
      <c r="J197" s="36" t="s">
        <v>568</v>
      </c>
      <c r="K197" s="36" t="s">
        <v>977</v>
      </c>
      <c r="L197" s="5">
        <v>7.99</v>
      </c>
      <c r="M197" s="35">
        <v>24</v>
      </c>
      <c r="N197" s="35">
        <v>144</v>
      </c>
      <c r="O197" s="345"/>
      <c r="P197" s="35"/>
      <c r="Q197" s="35"/>
      <c r="R197" s="187"/>
      <c r="S197" s="33">
        <v>1.1000000000000001</v>
      </c>
      <c r="T197" s="33">
        <v>0.75</v>
      </c>
      <c r="U197" s="33">
        <v>1.5</v>
      </c>
      <c r="V197" s="70">
        <v>6.5</v>
      </c>
      <c r="W197" s="44">
        <v>1.7</v>
      </c>
      <c r="X197" s="33">
        <v>5</v>
      </c>
      <c r="Y197" s="33">
        <v>7.5</v>
      </c>
      <c r="Z197" s="70">
        <v>6.5</v>
      </c>
      <c r="AA197" s="44">
        <v>13.7</v>
      </c>
      <c r="AB197" s="33">
        <v>11.75</v>
      </c>
      <c r="AC197" s="33">
        <v>11.25</v>
      </c>
      <c r="AD197" s="70">
        <v>6.25</v>
      </c>
      <c r="AE197" s="33">
        <f t="shared" si="5"/>
        <v>0.47810872395833331</v>
      </c>
      <c r="AF197" s="37" t="s">
        <v>240</v>
      </c>
      <c r="AG197" s="18" t="s">
        <v>241</v>
      </c>
      <c r="AH197" s="40" t="s">
        <v>423</v>
      </c>
      <c r="AI197" s="37" t="s">
        <v>875</v>
      </c>
      <c r="AJ197" s="37" t="s">
        <v>478</v>
      </c>
      <c r="AK197" s="12" t="s">
        <v>408</v>
      </c>
      <c r="AM197" s="13"/>
      <c r="AN197" s="94" t="s">
        <v>520</v>
      </c>
    </row>
    <row r="198" spans="1:40" s="18" customFormat="1" x14ac:dyDescent="0.2">
      <c r="A198" s="18" t="s">
        <v>510</v>
      </c>
      <c r="B198" s="19" t="s">
        <v>353</v>
      </c>
      <c r="C198" s="33" t="s">
        <v>245</v>
      </c>
      <c r="D198" s="19" t="s">
        <v>2421</v>
      </c>
      <c r="E198" s="18" t="s">
        <v>486</v>
      </c>
      <c r="G198" s="77">
        <v>7331423003464</v>
      </c>
      <c r="H198" s="77"/>
      <c r="I198" s="77"/>
      <c r="J198" s="36" t="s">
        <v>568</v>
      </c>
      <c r="K198" s="36" t="s">
        <v>977</v>
      </c>
      <c r="L198" s="5">
        <v>7.99</v>
      </c>
      <c r="M198" s="35">
        <v>12</v>
      </c>
      <c r="N198" s="35">
        <v>240</v>
      </c>
      <c r="O198" s="345"/>
      <c r="P198" s="35"/>
      <c r="Q198" s="35"/>
      <c r="R198" s="187"/>
      <c r="S198" s="33">
        <v>0.05</v>
      </c>
      <c r="T198" s="33">
        <v>0.75</v>
      </c>
      <c r="U198" s="33">
        <v>1.25</v>
      </c>
      <c r="V198" s="70">
        <v>5.5</v>
      </c>
      <c r="W198" s="44">
        <v>0.65</v>
      </c>
      <c r="X198" s="33">
        <v>2.5</v>
      </c>
      <c r="Y198" s="33">
        <v>2.75</v>
      </c>
      <c r="Z198" s="70">
        <v>5.5</v>
      </c>
      <c r="AA198" s="44">
        <v>13.7</v>
      </c>
      <c r="AB198" s="33">
        <v>11.75</v>
      </c>
      <c r="AC198" s="33">
        <v>11.25</v>
      </c>
      <c r="AD198" s="70">
        <v>6.25</v>
      </c>
      <c r="AE198" s="33">
        <f t="shared" si="5"/>
        <v>0.47810872395833331</v>
      </c>
      <c r="AF198" s="37" t="s">
        <v>240</v>
      </c>
      <c r="AG198" s="18" t="s">
        <v>241</v>
      </c>
      <c r="AH198" s="40" t="s">
        <v>423</v>
      </c>
      <c r="AI198" s="37" t="s">
        <v>875</v>
      </c>
      <c r="AJ198" s="37" t="s">
        <v>478</v>
      </c>
      <c r="AK198" s="12" t="s">
        <v>408</v>
      </c>
      <c r="AM198" s="13"/>
      <c r="AN198" s="94" t="s">
        <v>520</v>
      </c>
    </row>
    <row r="199" spans="1:40" s="18" customFormat="1" x14ac:dyDescent="0.2">
      <c r="A199" s="18" t="s">
        <v>510</v>
      </c>
      <c r="B199" s="19" t="s">
        <v>353</v>
      </c>
      <c r="C199" s="33" t="s">
        <v>352</v>
      </c>
      <c r="D199" s="19" t="s">
        <v>2421</v>
      </c>
      <c r="E199" s="18" t="s">
        <v>61</v>
      </c>
      <c r="G199" s="77">
        <v>7331423003440</v>
      </c>
      <c r="H199" s="77"/>
      <c r="I199" s="77"/>
      <c r="J199" s="36" t="s">
        <v>568</v>
      </c>
      <c r="K199" s="36" t="s">
        <v>977</v>
      </c>
      <c r="L199" s="5">
        <v>7.99</v>
      </c>
      <c r="M199" s="35">
        <v>12</v>
      </c>
      <c r="N199" s="35">
        <v>240</v>
      </c>
      <c r="O199" s="345"/>
      <c r="P199" s="35"/>
      <c r="Q199" s="35"/>
      <c r="R199" s="187"/>
      <c r="S199" s="33">
        <v>0.05</v>
      </c>
      <c r="T199" s="33">
        <v>0.75</v>
      </c>
      <c r="U199" s="33">
        <v>1.25</v>
      </c>
      <c r="V199" s="70">
        <v>5.5</v>
      </c>
      <c r="W199" s="44">
        <v>0.65</v>
      </c>
      <c r="X199" s="33">
        <v>2.5</v>
      </c>
      <c r="Y199" s="33">
        <v>2.75</v>
      </c>
      <c r="Z199" s="70">
        <v>5.5</v>
      </c>
      <c r="AA199" s="44">
        <v>13.7</v>
      </c>
      <c r="AB199" s="33">
        <v>11.75</v>
      </c>
      <c r="AC199" s="33">
        <v>11.25</v>
      </c>
      <c r="AD199" s="70">
        <v>6.25</v>
      </c>
      <c r="AE199" s="33">
        <f t="shared" si="5"/>
        <v>0.47810872395833331</v>
      </c>
      <c r="AF199" s="37" t="s">
        <v>240</v>
      </c>
      <c r="AG199" s="18" t="s">
        <v>241</v>
      </c>
      <c r="AH199" s="40" t="s">
        <v>423</v>
      </c>
      <c r="AI199" s="37" t="s">
        <v>875</v>
      </c>
      <c r="AJ199" s="37" t="s">
        <v>478</v>
      </c>
      <c r="AK199" s="12" t="s">
        <v>408</v>
      </c>
      <c r="AM199" s="13"/>
      <c r="AN199" s="94" t="s">
        <v>520</v>
      </c>
    </row>
    <row r="200" spans="1:40" s="18" customFormat="1" x14ac:dyDescent="0.2">
      <c r="A200" s="18" t="s">
        <v>510</v>
      </c>
      <c r="B200" s="19" t="s">
        <v>353</v>
      </c>
      <c r="C200" s="33" t="s">
        <v>370</v>
      </c>
      <c r="D200" s="19" t="s">
        <v>2421</v>
      </c>
      <c r="E200" s="18" t="s">
        <v>349</v>
      </c>
      <c r="G200" s="77">
        <v>7331423003457</v>
      </c>
      <c r="H200" s="77"/>
      <c r="I200" s="77"/>
      <c r="J200" s="36" t="s">
        <v>568</v>
      </c>
      <c r="K200" s="36" t="s">
        <v>977</v>
      </c>
      <c r="L200" s="5">
        <v>7.99</v>
      </c>
      <c r="M200" s="35">
        <v>12</v>
      </c>
      <c r="N200" s="35">
        <v>240</v>
      </c>
      <c r="O200" s="345"/>
      <c r="P200" s="35"/>
      <c r="Q200" s="35"/>
      <c r="R200" s="187"/>
      <c r="S200" s="33">
        <v>0.05</v>
      </c>
      <c r="T200" s="33">
        <v>0.75</v>
      </c>
      <c r="U200" s="33">
        <v>1.25</v>
      </c>
      <c r="V200" s="70">
        <v>5.5</v>
      </c>
      <c r="W200" s="44">
        <v>0.65</v>
      </c>
      <c r="X200" s="33">
        <v>2.5</v>
      </c>
      <c r="Y200" s="33">
        <v>2.75</v>
      </c>
      <c r="Z200" s="70">
        <v>5.5</v>
      </c>
      <c r="AA200" s="44">
        <v>5.2</v>
      </c>
      <c r="AB200" s="33">
        <v>8</v>
      </c>
      <c r="AC200" s="33">
        <v>8.5</v>
      </c>
      <c r="AD200" s="70">
        <v>8</v>
      </c>
      <c r="AE200" s="33">
        <f t="shared" si="5"/>
        <v>0.31481481481481483</v>
      </c>
      <c r="AF200" s="37" t="s">
        <v>240</v>
      </c>
      <c r="AG200" s="18" t="s">
        <v>241</v>
      </c>
      <c r="AH200" s="40" t="s">
        <v>423</v>
      </c>
      <c r="AI200" s="37" t="s">
        <v>875</v>
      </c>
      <c r="AJ200" s="37" t="s">
        <v>478</v>
      </c>
      <c r="AK200" s="12" t="s">
        <v>408</v>
      </c>
      <c r="AM200" s="13"/>
      <c r="AN200" s="94" t="s">
        <v>520</v>
      </c>
    </row>
    <row r="201" spans="1:40" s="18" customFormat="1" x14ac:dyDescent="0.2">
      <c r="A201" s="18" t="s">
        <v>510</v>
      </c>
      <c r="B201" s="19" t="s">
        <v>353</v>
      </c>
      <c r="C201" s="33" t="s">
        <v>373</v>
      </c>
      <c r="D201" s="19" t="s">
        <v>2421</v>
      </c>
      <c r="E201" s="18" t="s">
        <v>350</v>
      </c>
      <c r="G201" s="77">
        <v>7331423003501</v>
      </c>
      <c r="H201" s="77"/>
      <c r="I201" s="77"/>
      <c r="J201" s="36" t="s">
        <v>568</v>
      </c>
      <c r="K201" s="36" t="s">
        <v>977</v>
      </c>
      <c r="L201" s="5">
        <v>7.99</v>
      </c>
      <c r="M201" s="35">
        <v>12</v>
      </c>
      <c r="N201" s="35">
        <v>240</v>
      </c>
      <c r="O201" s="345"/>
      <c r="P201" s="35"/>
      <c r="Q201" s="35"/>
      <c r="R201" s="187"/>
      <c r="S201" s="33">
        <v>0.05</v>
      </c>
      <c r="T201" s="33">
        <v>0.75</v>
      </c>
      <c r="U201" s="33">
        <v>1.25</v>
      </c>
      <c r="V201" s="70">
        <v>5.5</v>
      </c>
      <c r="W201" s="44">
        <v>0.65</v>
      </c>
      <c r="X201" s="33">
        <v>2.5</v>
      </c>
      <c r="Y201" s="33">
        <v>2.75</v>
      </c>
      <c r="Z201" s="70">
        <v>5.5</v>
      </c>
      <c r="AA201" s="44">
        <v>11.6</v>
      </c>
      <c r="AB201" s="33">
        <v>16</v>
      </c>
      <c r="AC201" s="33">
        <v>14</v>
      </c>
      <c r="AD201" s="70">
        <v>9</v>
      </c>
      <c r="AE201" s="33">
        <f t="shared" si="5"/>
        <v>1.1666666666666667</v>
      </c>
      <c r="AF201" s="37" t="s">
        <v>240</v>
      </c>
      <c r="AG201" s="18" t="s">
        <v>241</v>
      </c>
      <c r="AH201" s="40" t="s">
        <v>423</v>
      </c>
      <c r="AI201" s="37" t="s">
        <v>875</v>
      </c>
      <c r="AJ201" s="37" t="s">
        <v>478</v>
      </c>
      <c r="AK201" s="12" t="s">
        <v>408</v>
      </c>
      <c r="AM201" s="13"/>
      <c r="AN201" s="94" t="s">
        <v>520</v>
      </c>
    </row>
    <row r="202" spans="1:40" s="18" customFormat="1" x14ac:dyDescent="0.2">
      <c r="A202" s="18" t="s">
        <v>510</v>
      </c>
      <c r="B202" s="19" t="s">
        <v>354</v>
      </c>
      <c r="C202" s="33" t="s">
        <v>1873</v>
      </c>
      <c r="D202" s="19" t="s">
        <v>2422</v>
      </c>
      <c r="E202" s="18" t="s">
        <v>1874</v>
      </c>
      <c r="G202" s="77">
        <v>7331423003488</v>
      </c>
      <c r="H202" s="77"/>
      <c r="I202" s="77"/>
      <c r="J202" s="36" t="s">
        <v>568</v>
      </c>
      <c r="K202" s="36" t="s">
        <v>977</v>
      </c>
      <c r="L202" s="5">
        <v>7.99</v>
      </c>
      <c r="M202" s="35">
        <v>1</v>
      </c>
      <c r="N202" s="35">
        <v>1</v>
      </c>
      <c r="O202" s="345"/>
      <c r="P202" s="35"/>
      <c r="Q202" s="35"/>
      <c r="R202" s="187"/>
      <c r="S202" s="33">
        <v>0.05</v>
      </c>
      <c r="T202" s="33">
        <v>0.75</v>
      </c>
      <c r="U202" s="33">
        <v>1.25</v>
      </c>
      <c r="V202" s="70">
        <v>5.5</v>
      </c>
      <c r="W202" s="44"/>
      <c r="X202" s="33"/>
      <c r="Y202" s="33"/>
      <c r="Z202" s="70"/>
      <c r="AA202" s="44">
        <v>12.3</v>
      </c>
      <c r="AB202" s="33">
        <v>9.5</v>
      </c>
      <c r="AC202" s="33">
        <v>15</v>
      </c>
      <c r="AD202" s="70">
        <v>18</v>
      </c>
      <c r="AE202" s="33">
        <f t="shared" si="5"/>
        <v>1.484375</v>
      </c>
      <c r="AF202" s="37" t="s">
        <v>240</v>
      </c>
      <c r="AG202" s="18" t="s">
        <v>241</v>
      </c>
      <c r="AH202" s="40" t="s">
        <v>423</v>
      </c>
      <c r="AI202" s="37" t="s">
        <v>875</v>
      </c>
      <c r="AJ202" s="37" t="s">
        <v>478</v>
      </c>
      <c r="AK202" s="12" t="s">
        <v>408</v>
      </c>
      <c r="AM202" s="13"/>
      <c r="AN202" s="94" t="s">
        <v>520</v>
      </c>
    </row>
    <row r="203" spans="1:40" s="18" customFormat="1" x14ac:dyDescent="0.2">
      <c r="A203" s="18" t="s">
        <v>510</v>
      </c>
      <c r="B203" s="19" t="s">
        <v>1872</v>
      </c>
      <c r="C203" s="33" t="s">
        <v>529</v>
      </c>
      <c r="D203" s="19" t="s">
        <v>2423</v>
      </c>
      <c r="E203" s="19"/>
      <c r="F203" s="19"/>
      <c r="G203" s="66">
        <v>7331423007646</v>
      </c>
      <c r="H203" s="66"/>
      <c r="I203" s="66"/>
      <c r="J203" s="36" t="s">
        <v>568</v>
      </c>
      <c r="K203" s="36" t="s">
        <v>977</v>
      </c>
      <c r="L203" s="5">
        <v>7.99</v>
      </c>
      <c r="M203" s="35">
        <v>1</v>
      </c>
      <c r="N203" s="35">
        <v>36</v>
      </c>
      <c r="O203" s="345"/>
      <c r="P203" s="35"/>
      <c r="Q203" s="35"/>
      <c r="R203" s="187"/>
      <c r="S203" s="33">
        <v>0.1</v>
      </c>
      <c r="T203" s="33">
        <v>1</v>
      </c>
      <c r="U203" s="33">
        <v>2.5</v>
      </c>
      <c r="V203" s="70">
        <v>8.25</v>
      </c>
      <c r="W203" s="44">
        <v>3.55</v>
      </c>
      <c r="X203" s="33">
        <v>9.5</v>
      </c>
      <c r="Y203" s="33">
        <v>9.5</v>
      </c>
      <c r="Z203" s="70">
        <v>5</v>
      </c>
      <c r="AA203" s="44">
        <v>30</v>
      </c>
      <c r="AB203" s="33">
        <v>19</v>
      </c>
      <c r="AC203" s="33">
        <v>19</v>
      </c>
      <c r="AD203" s="70">
        <v>10</v>
      </c>
      <c r="AE203" s="33">
        <f t="shared" si="5"/>
        <v>2.0891203703703702</v>
      </c>
      <c r="AF203" s="18" t="s">
        <v>1810</v>
      </c>
      <c r="AG203" s="37" t="s">
        <v>715</v>
      </c>
      <c r="AH203" s="18" t="s">
        <v>716</v>
      </c>
      <c r="AI203" s="37" t="s">
        <v>717</v>
      </c>
      <c r="AJ203" s="18" t="s">
        <v>731</v>
      </c>
      <c r="AK203" s="12" t="s">
        <v>732</v>
      </c>
      <c r="AM203" s="13"/>
      <c r="AN203" s="94" t="s">
        <v>520</v>
      </c>
    </row>
    <row r="204" spans="1:40" s="18" customFormat="1" x14ac:dyDescent="0.2">
      <c r="A204" s="18" t="s">
        <v>510</v>
      </c>
      <c r="B204" s="33" t="s">
        <v>18</v>
      </c>
      <c r="C204" s="33" t="s">
        <v>369</v>
      </c>
      <c r="D204" s="34" t="s">
        <v>2424</v>
      </c>
      <c r="E204" s="18" t="s">
        <v>222</v>
      </c>
      <c r="G204" s="36" t="s">
        <v>1839</v>
      </c>
      <c r="H204" s="36"/>
      <c r="I204" s="36"/>
      <c r="J204" s="36" t="s">
        <v>568</v>
      </c>
      <c r="K204" s="36" t="s">
        <v>977</v>
      </c>
      <c r="L204" s="5">
        <v>4.99</v>
      </c>
      <c r="M204" s="35">
        <v>36</v>
      </c>
      <c r="N204" s="35">
        <v>216</v>
      </c>
      <c r="O204" s="345"/>
      <c r="P204" s="35"/>
      <c r="Q204" s="35"/>
      <c r="R204" s="187"/>
      <c r="S204" s="33">
        <v>0.03</v>
      </c>
      <c r="T204" s="33">
        <v>4</v>
      </c>
      <c r="U204" s="33">
        <v>2</v>
      </c>
      <c r="V204" s="70">
        <v>1</v>
      </c>
      <c r="W204" s="44">
        <v>1.45</v>
      </c>
      <c r="X204" s="33">
        <v>3</v>
      </c>
      <c r="Y204" s="33">
        <v>12</v>
      </c>
      <c r="Z204" s="70">
        <v>4</v>
      </c>
      <c r="AA204" s="44">
        <v>9.6999999999999993</v>
      </c>
      <c r="AB204" s="33">
        <v>10.5</v>
      </c>
      <c r="AC204" s="33">
        <v>12</v>
      </c>
      <c r="AD204" s="70">
        <v>8.5</v>
      </c>
      <c r="AE204" s="33">
        <f t="shared" si="5"/>
        <v>0.61979166666666663</v>
      </c>
      <c r="AF204" s="37" t="s">
        <v>1854</v>
      </c>
      <c r="AG204" s="37" t="s">
        <v>1753</v>
      </c>
      <c r="AH204" s="37" t="s">
        <v>1855</v>
      </c>
      <c r="AI204" s="37" t="s">
        <v>1856</v>
      </c>
      <c r="AJ204" s="37" t="s">
        <v>1857</v>
      </c>
      <c r="AK204" s="37" t="s">
        <v>360</v>
      </c>
      <c r="AN204" s="94" t="s">
        <v>520</v>
      </c>
    </row>
    <row r="205" spans="1:40" s="18" customFormat="1" x14ac:dyDescent="0.2">
      <c r="A205" s="18" t="s">
        <v>510</v>
      </c>
      <c r="B205" s="33" t="s">
        <v>18</v>
      </c>
      <c r="C205" s="33" t="s">
        <v>371</v>
      </c>
      <c r="D205" s="34" t="s">
        <v>2425</v>
      </c>
      <c r="E205" s="18" t="s">
        <v>218</v>
      </c>
      <c r="G205" s="36" t="s">
        <v>1840</v>
      </c>
      <c r="H205" s="36"/>
      <c r="I205" s="36"/>
      <c r="J205" s="36" t="s">
        <v>568</v>
      </c>
      <c r="K205" s="36" t="s">
        <v>977</v>
      </c>
      <c r="L205" s="5">
        <v>4.99</v>
      </c>
      <c r="M205" s="35">
        <v>36</v>
      </c>
      <c r="N205" s="35">
        <v>216</v>
      </c>
      <c r="O205" s="345"/>
      <c r="P205" s="35"/>
      <c r="Q205" s="35"/>
      <c r="R205" s="187"/>
      <c r="S205" s="33">
        <v>0.03</v>
      </c>
      <c r="T205" s="33">
        <v>4</v>
      </c>
      <c r="U205" s="33">
        <v>2</v>
      </c>
      <c r="V205" s="70">
        <v>1</v>
      </c>
      <c r="W205" s="44">
        <v>1.45</v>
      </c>
      <c r="X205" s="33">
        <v>3</v>
      </c>
      <c r="Y205" s="33">
        <v>12</v>
      </c>
      <c r="Z205" s="70">
        <v>4</v>
      </c>
      <c r="AA205" s="44">
        <v>9.6999999999999993</v>
      </c>
      <c r="AB205" s="33">
        <v>10.5</v>
      </c>
      <c r="AC205" s="33">
        <v>12</v>
      </c>
      <c r="AD205" s="70">
        <v>8.5</v>
      </c>
      <c r="AE205" s="33">
        <f t="shared" si="5"/>
        <v>0.61979166666666663</v>
      </c>
      <c r="AF205" s="37" t="s">
        <v>1854</v>
      </c>
      <c r="AG205" s="37" t="s">
        <v>1753</v>
      </c>
      <c r="AH205" s="37" t="s">
        <v>1855</v>
      </c>
      <c r="AI205" s="37" t="s">
        <v>1856</v>
      </c>
      <c r="AJ205" s="37" t="s">
        <v>1857</v>
      </c>
      <c r="AK205" s="37" t="s">
        <v>360</v>
      </c>
      <c r="AN205" s="94" t="s">
        <v>520</v>
      </c>
    </row>
    <row r="206" spans="1:40" s="18" customFormat="1" x14ac:dyDescent="0.2">
      <c r="A206" s="18" t="s">
        <v>510</v>
      </c>
      <c r="B206" s="33" t="s">
        <v>388</v>
      </c>
      <c r="C206" s="33" t="s">
        <v>245</v>
      </c>
      <c r="D206" s="34" t="s">
        <v>2426</v>
      </c>
      <c r="E206" s="18" t="s">
        <v>486</v>
      </c>
      <c r="G206" s="48">
        <v>7331423001088</v>
      </c>
      <c r="H206" s="48"/>
      <c r="I206" s="48"/>
      <c r="J206" s="36" t="s">
        <v>568</v>
      </c>
      <c r="K206" s="36" t="s">
        <v>977</v>
      </c>
      <c r="L206" s="5">
        <v>14.99</v>
      </c>
      <c r="M206" s="35">
        <v>12</v>
      </c>
      <c r="N206" s="35">
        <v>72</v>
      </c>
      <c r="O206" s="345"/>
      <c r="P206" s="35"/>
      <c r="Q206" s="35"/>
      <c r="R206" s="187"/>
      <c r="S206" s="33">
        <v>0.3</v>
      </c>
      <c r="T206" s="33">
        <v>1.75</v>
      </c>
      <c r="U206" s="33">
        <v>3</v>
      </c>
      <c r="V206" s="70">
        <v>7.5</v>
      </c>
      <c r="W206" s="44">
        <v>2.15</v>
      </c>
      <c r="X206" s="100">
        <v>8</v>
      </c>
      <c r="Y206" s="100">
        <v>4.25</v>
      </c>
      <c r="Z206" s="101">
        <v>7.5</v>
      </c>
      <c r="AA206" s="44">
        <v>14.4</v>
      </c>
      <c r="AB206" s="33">
        <v>14</v>
      </c>
      <c r="AC206" s="33">
        <v>14</v>
      </c>
      <c r="AD206" s="70">
        <v>9</v>
      </c>
      <c r="AE206" s="33">
        <f t="shared" si="5"/>
        <v>1.0208333333333333</v>
      </c>
      <c r="AF206" s="37" t="s">
        <v>1854</v>
      </c>
      <c r="AG206" s="37" t="s">
        <v>1753</v>
      </c>
      <c r="AH206" s="37" t="s">
        <v>1855</v>
      </c>
      <c r="AI206" s="37" t="s">
        <v>1856</v>
      </c>
      <c r="AJ206" s="37" t="s">
        <v>1857</v>
      </c>
      <c r="AK206" s="37" t="s">
        <v>360</v>
      </c>
      <c r="AN206" s="94" t="s">
        <v>520</v>
      </c>
    </row>
    <row r="207" spans="1:40" s="37" customFormat="1" x14ac:dyDescent="0.2">
      <c r="A207" s="18" t="s">
        <v>510</v>
      </c>
      <c r="B207" s="216" t="s">
        <v>1921</v>
      </c>
      <c r="C207" s="33" t="s">
        <v>529</v>
      </c>
      <c r="D207" s="558" t="s">
        <v>1929</v>
      </c>
      <c r="E207" s="37" t="s">
        <v>1928</v>
      </c>
      <c r="G207" s="109">
        <v>7331423009909</v>
      </c>
      <c r="H207" s="109"/>
      <c r="I207" s="109"/>
      <c r="J207" s="36" t="s">
        <v>568</v>
      </c>
      <c r="K207" s="37" t="s">
        <v>977</v>
      </c>
      <c r="M207" s="35">
        <v>1</v>
      </c>
      <c r="N207" s="40">
        <v>4</v>
      </c>
      <c r="O207" s="346"/>
      <c r="P207" s="40"/>
      <c r="Q207" s="40"/>
      <c r="R207" s="237"/>
      <c r="S207" s="33">
        <v>4.25</v>
      </c>
      <c r="T207" s="33">
        <v>9.875</v>
      </c>
      <c r="U207" s="33">
        <v>5.3125</v>
      </c>
      <c r="V207" s="70">
        <v>10.25</v>
      </c>
      <c r="W207" s="44" t="s">
        <v>259</v>
      </c>
      <c r="X207" s="33" t="s">
        <v>259</v>
      </c>
      <c r="Y207" s="33" t="s">
        <v>259</v>
      </c>
      <c r="Z207" s="70" t="s">
        <v>259</v>
      </c>
      <c r="AA207" s="44">
        <v>17.899999999999999</v>
      </c>
      <c r="AB207" s="33">
        <v>11.25</v>
      </c>
      <c r="AC207" s="33">
        <v>10.5</v>
      </c>
      <c r="AD207" s="70">
        <v>21.5</v>
      </c>
    </row>
    <row r="208" spans="1:40" s="37" customFormat="1" x14ac:dyDescent="0.2">
      <c r="A208" s="18" t="s">
        <v>510</v>
      </c>
      <c r="B208" s="216" t="s">
        <v>1923</v>
      </c>
      <c r="C208" s="33" t="s">
        <v>529</v>
      </c>
      <c r="D208" s="558" t="s">
        <v>1930</v>
      </c>
      <c r="E208" s="37" t="s">
        <v>1928</v>
      </c>
      <c r="G208" s="109">
        <v>7331423009879</v>
      </c>
      <c r="H208" s="109"/>
      <c r="I208" s="109"/>
      <c r="J208" s="36" t="s">
        <v>568</v>
      </c>
      <c r="K208" s="37" t="s">
        <v>977</v>
      </c>
      <c r="L208" s="218"/>
      <c r="N208" s="40"/>
      <c r="O208" s="346"/>
      <c r="P208" s="40"/>
      <c r="Q208" s="40"/>
      <c r="R208" s="237"/>
      <c r="S208" s="33"/>
      <c r="T208" s="33"/>
      <c r="U208" s="33"/>
      <c r="V208" s="70"/>
      <c r="W208" s="44"/>
      <c r="X208" s="33"/>
      <c r="Y208" s="33"/>
      <c r="Z208" s="70"/>
      <c r="AA208" s="44"/>
      <c r="AB208" s="33"/>
      <c r="AC208" s="33"/>
      <c r="AD208" s="70"/>
    </row>
    <row r="209" spans="1:42" s="37" customFormat="1" x14ac:dyDescent="0.2">
      <c r="A209" s="18" t="s">
        <v>510</v>
      </c>
      <c r="B209" s="216" t="s">
        <v>1924</v>
      </c>
      <c r="C209" s="33" t="s">
        <v>529</v>
      </c>
      <c r="D209" s="558" t="s">
        <v>1931</v>
      </c>
      <c r="E209" s="37" t="s">
        <v>1928</v>
      </c>
      <c r="G209" s="109">
        <v>7331423009886</v>
      </c>
      <c r="H209" s="109"/>
      <c r="I209" s="109"/>
      <c r="J209" s="36" t="s">
        <v>568</v>
      </c>
      <c r="K209" s="37" t="s">
        <v>977</v>
      </c>
      <c r="L209" s="218"/>
      <c r="N209" s="40"/>
      <c r="O209" s="346"/>
      <c r="P209" s="40"/>
      <c r="Q209" s="40"/>
      <c r="R209" s="237"/>
      <c r="S209" s="33"/>
      <c r="T209" s="33"/>
      <c r="U209" s="33"/>
      <c r="V209" s="70"/>
      <c r="W209" s="44"/>
      <c r="X209" s="33"/>
      <c r="Y209" s="33"/>
      <c r="Z209" s="70"/>
      <c r="AA209" s="44"/>
      <c r="AB209" s="33"/>
      <c r="AC209" s="33"/>
      <c r="AD209" s="70"/>
    </row>
    <row r="210" spans="1:42" s="18" customFormat="1" x14ac:dyDescent="0.2">
      <c r="A210" s="18" t="s">
        <v>510</v>
      </c>
      <c r="B210" s="33" t="s">
        <v>1514</v>
      </c>
      <c r="C210" s="33" t="s">
        <v>1054</v>
      </c>
      <c r="D210" s="34" t="s">
        <v>1538</v>
      </c>
      <c r="E210" s="18" t="s">
        <v>1019</v>
      </c>
      <c r="G210" s="36" t="s">
        <v>1580</v>
      </c>
      <c r="H210" s="36"/>
      <c r="I210" s="36"/>
      <c r="J210" s="36" t="s">
        <v>568</v>
      </c>
      <c r="K210" s="219" t="s">
        <v>977</v>
      </c>
      <c r="L210" s="5">
        <v>766.9</v>
      </c>
      <c r="M210" s="35">
        <v>1</v>
      </c>
      <c r="N210" s="35">
        <v>1</v>
      </c>
      <c r="O210" s="345"/>
      <c r="P210" s="35"/>
      <c r="Q210" s="35"/>
      <c r="R210" s="187"/>
      <c r="S210" s="33">
        <v>1.55</v>
      </c>
      <c r="T210" s="33">
        <v>16.5</v>
      </c>
      <c r="U210" s="33">
        <v>11</v>
      </c>
      <c r="V210" s="70">
        <v>2.25</v>
      </c>
      <c r="W210" s="44">
        <v>11.9</v>
      </c>
      <c r="X210" s="33">
        <v>15.25</v>
      </c>
      <c r="Y210" s="33">
        <v>15.25</v>
      </c>
      <c r="Z210" s="70">
        <v>8</v>
      </c>
      <c r="AA210" s="44" t="s">
        <v>856</v>
      </c>
      <c r="AB210" s="33" t="s">
        <v>856</v>
      </c>
      <c r="AC210" s="33" t="s">
        <v>856</v>
      </c>
      <c r="AD210" s="70" t="s">
        <v>856</v>
      </c>
      <c r="AE210" s="33"/>
      <c r="AF210" s="18" t="s">
        <v>1531</v>
      </c>
      <c r="AG210" s="18" t="s">
        <v>1523</v>
      </c>
      <c r="AH210" s="18" t="s">
        <v>1530</v>
      </c>
    </row>
    <row r="211" spans="1:42" s="18" customFormat="1" x14ac:dyDescent="0.2">
      <c r="A211" s="18" t="s">
        <v>510</v>
      </c>
      <c r="B211" s="33" t="s">
        <v>1514</v>
      </c>
      <c r="C211" s="33" t="s">
        <v>2663</v>
      </c>
      <c r="D211" s="34" t="s">
        <v>1538</v>
      </c>
      <c r="E211" s="18" t="s">
        <v>1123</v>
      </c>
      <c r="G211" s="36" t="s">
        <v>1580</v>
      </c>
      <c r="H211" s="36"/>
      <c r="I211" s="36"/>
      <c r="J211" s="36" t="s">
        <v>568</v>
      </c>
      <c r="K211" s="219" t="s">
        <v>977</v>
      </c>
      <c r="L211" s="5">
        <v>766.9</v>
      </c>
      <c r="M211" s="35">
        <v>1</v>
      </c>
      <c r="N211" s="35">
        <v>1</v>
      </c>
      <c r="O211" s="345"/>
      <c r="P211" s="35"/>
      <c r="Q211" s="35"/>
      <c r="R211" s="187"/>
      <c r="S211" s="33">
        <v>1.55</v>
      </c>
      <c r="T211" s="33">
        <v>16.5</v>
      </c>
      <c r="U211" s="33">
        <v>11</v>
      </c>
      <c r="V211" s="70">
        <v>2.25</v>
      </c>
      <c r="W211" s="44">
        <v>11.9</v>
      </c>
      <c r="X211" s="33">
        <v>15.25</v>
      </c>
      <c r="Y211" s="33">
        <v>15.25</v>
      </c>
      <c r="Z211" s="70">
        <v>8</v>
      </c>
      <c r="AA211" s="44" t="s">
        <v>856</v>
      </c>
      <c r="AB211" s="33" t="s">
        <v>856</v>
      </c>
      <c r="AC211" s="33" t="s">
        <v>856</v>
      </c>
      <c r="AD211" s="70" t="s">
        <v>856</v>
      </c>
      <c r="AE211" s="33"/>
      <c r="AF211" s="18" t="s">
        <v>1531</v>
      </c>
      <c r="AG211" s="18" t="s">
        <v>1523</v>
      </c>
      <c r="AH211" s="18" t="s">
        <v>1530</v>
      </c>
    </row>
    <row r="212" spans="1:42" s="18" customFormat="1" x14ac:dyDescent="0.2">
      <c r="A212" s="18" t="s">
        <v>510</v>
      </c>
      <c r="B212" s="33" t="s">
        <v>1515</v>
      </c>
      <c r="C212" s="33" t="s">
        <v>1054</v>
      </c>
      <c r="D212" s="34" t="s">
        <v>1518</v>
      </c>
      <c r="E212" s="18" t="s">
        <v>1019</v>
      </c>
      <c r="G212" s="36" t="s">
        <v>1580</v>
      </c>
      <c r="H212" s="36"/>
      <c r="I212" s="36"/>
      <c r="J212" s="36" t="s">
        <v>568</v>
      </c>
      <c r="K212" s="219" t="s">
        <v>977</v>
      </c>
      <c r="L212" s="5">
        <v>2311.2800000000002</v>
      </c>
      <c r="M212" s="35">
        <v>1</v>
      </c>
      <c r="N212" s="35">
        <v>1</v>
      </c>
      <c r="O212" s="345"/>
      <c r="P212" s="35"/>
      <c r="Q212" s="35"/>
      <c r="R212" s="187"/>
      <c r="S212" s="33">
        <v>4.9000000000000004</v>
      </c>
      <c r="T212" s="33">
        <v>16</v>
      </c>
      <c r="U212" s="33">
        <v>14</v>
      </c>
      <c r="V212" s="70">
        <v>9</v>
      </c>
      <c r="W212" s="44">
        <v>43.5</v>
      </c>
      <c r="X212" s="33">
        <v>23.5</v>
      </c>
      <c r="Y212" s="33">
        <v>16</v>
      </c>
      <c r="Z212" s="70">
        <v>25</v>
      </c>
      <c r="AA212" s="44">
        <v>7.2</v>
      </c>
      <c r="AB212" s="33">
        <v>44.5</v>
      </c>
      <c r="AC212" s="33">
        <v>18.25</v>
      </c>
      <c r="AD212" s="70">
        <v>2</v>
      </c>
      <c r="AE212" s="33">
        <f>AB212*AC212*AD212/(12^3)</f>
        <v>0.9399594907407407</v>
      </c>
      <c r="AF212" s="18" t="s">
        <v>1540</v>
      </c>
      <c r="AG212" s="18" t="s">
        <v>1528</v>
      </c>
      <c r="AH212" s="18" t="s">
        <v>1529</v>
      </c>
    </row>
    <row r="213" spans="1:42" s="18" customFormat="1" x14ac:dyDescent="0.2">
      <c r="A213" s="18" t="s">
        <v>510</v>
      </c>
      <c r="B213" s="33" t="s">
        <v>1539</v>
      </c>
      <c r="C213" s="33" t="s">
        <v>1054</v>
      </c>
      <c r="D213" s="34" t="s">
        <v>1537</v>
      </c>
      <c r="E213" s="18" t="s">
        <v>1019</v>
      </c>
      <c r="G213" s="36" t="s">
        <v>1580</v>
      </c>
      <c r="H213" s="36"/>
      <c r="I213" s="36"/>
      <c r="J213" s="36" t="s">
        <v>568</v>
      </c>
      <c r="K213" s="219" t="s">
        <v>977</v>
      </c>
      <c r="L213" s="5">
        <v>2311.2800000000002</v>
      </c>
      <c r="M213" s="35">
        <v>1</v>
      </c>
      <c r="N213" s="35">
        <v>1</v>
      </c>
      <c r="O213" s="345"/>
      <c r="P213" s="35"/>
      <c r="Q213" s="35"/>
      <c r="R213" s="187"/>
      <c r="S213" s="33">
        <v>4.9000000000000004</v>
      </c>
      <c r="T213" s="33">
        <v>16</v>
      </c>
      <c r="U213" s="33">
        <v>14</v>
      </c>
      <c r="V213" s="70">
        <v>9</v>
      </c>
      <c r="W213" s="44">
        <v>43.5</v>
      </c>
      <c r="X213" s="33">
        <v>23.5</v>
      </c>
      <c r="Y213" s="33">
        <v>16</v>
      </c>
      <c r="Z213" s="70">
        <v>25</v>
      </c>
      <c r="AA213" s="44" t="s">
        <v>856</v>
      </c>
      <c r="AB213" s="33" t="s">
        <v>856</v>
      </c>
      <c r="AC213" s="33" t="s">
        <v>856</v>
      </c>
      <c r="AD213" s="70" t="s">
        <v>856</v>
      </c>
      <c r="AE213" s="33"/>
      <c r="AF213" s="18" t="s">
        <v>1527</v>
      </c>
      <c r="AG213" s="18" t="s">
        <v>1528</v>
      </c>
      <c r="AH213" s="18" t="s">
        <v>1529</v>
      </c>
    </row>
    <row r="214" spans="1:42" s="18" customFormat="1" x14ac:dyDescent="0.2">
      <c r="A214" s="18" t="s">
        <v>510</v>
      </c>
      <c r="B214" s="33" t="s">
        <v>2656</v>
      </c>
      <c r="C214" s="33" t="s">
        <v>1054</v>
      </c>
      <c r="D214" s="34" t="s">
        <v>1517</v>
      </c>
      <c r="E214" s="18" t="s">
        <v>1019</v>
      </c>
      <c r="G214" s="36" t="s">
        <v>1580</v>
      </c>
      <c r="H214" s="36"/>
      <c r="I214" s="36"/>
      <c r="J214" s="36" t="s">
        <v>568</v>
      </c>
      <c r="K214" s="219" t="s">
        <v>977</v>
      </c>
      <c r="L214" s="5">
        <v>2311.2800000000002</v>
      </c>
      <c r="M214" s="35">
        <v>1</v>
      </c>
      <c r="N214" s="35">
        <v>1</v>
      </c>
      <c r="O214" s="345"/>
      <c r="P214" s="35"/>
      <c r="Q214" s="35"/>
      <c r="R214" s="187"/>
      <c r="S214" s="33"/>
      <c r="T214" s="33"/>
      <c r="U214" s="33"/>
      <c r="V214" s="70"/>
      <c r="W214" s="44">
        <v>75</v>
      </c>
      <c r="X214" s="33">
        <v>23.5</v>
      </c>
      <c r="Y214" s="33">
        <v>16</v>
      </c>
      <c r="Z214" s="70">
        <v>25</v>
      </c>
      <c r="AA214" s="33">
        <v>20</v>
      </c>
      <c r="AB214" s="33">
        <v>53</v>
      </c>
      <c r="AC214" s="33">
        <v>31</v>
      </c>
      <c r="AD214" s="70">
        <v>2.75</v>
      </c>
      <c r="AE214" s="33">
        <f>AB214*AC214*AD214/(12^3)</f>
        <v>2.6147280092592591</v>
      </c>
      <c r="AF214" s="18" t="s">
        <v>1527</v>
      </c>
      <c r="AG214" s="18" t="s">
        <v>1528</v>
      </c>
      <c r="AH214" s="18" t="s">
        <v>1529</v>
      </c>
    </row>
    <row r="215" spans="1:42" s="18" customFormat="1" x14ac:dyDescent="0.2">
      <c r="A215" s="18" t="s">
        <v>510</v>
      </c>
      <c r="B215" s="33" t="s">
        <v>1516</v>
      </c>
      <c r="C215" s="33" t="s">
        <v>1054</v>
      </c>
      <c r="D215" s="34" t="s">
        <v>1519</v>
      </c>
      <c r="E215" s="18" t="s">
        <v>1019</v>
      </c>
      <c r="G215" s="36" t="s">
        <v>1580</v>
      </c>
      <c r="H215" s="36"/>
      <c r="I215" s="36"/>
      <c r="J215" s="36" t="s">
        <v>568</v>
      </c>
      <c r="K215" s="219" t="s">
        <v>977</v>
      </c>
      <c r="L215" s="5">
        <v>3424.16</v>
      </c>
      <c r="M215" s="35">
        <v>1</v>
      </c>
      <c r="N215" s="35">
        <v>1</v>
      </c>
      <c r="O215" s="345"/>
      <c r="P215" s="35"/>
      <c r="Q215" s="35"/>
      <c r="R215" s="187"/>
      <c r="S215" s="33">
        <v>59</v>
      </c>
      <c r="T215" s="33">
        <v>34.5</v>
      </c>
      <c r="U215" s="33">
        <v>23.5</v>
      </c>
      <c r="V215" s="70">
        <v>15.5</v>
      </c>
      <c r="W215" s="44">
        <v>7.3</v>
      </c>
      <c r="X215" s="33">
        <v>16</v>
      </c>
      <c r="Y215" s="33">
        <v>14</v>
      </c>
      <c r="Z215" s="70">
        <v>9</v>
      </c>
      <c r="AA215" s="44">
        <v>3.55</v>
      </c>
      <c r="AB215" s="33">
        <v>36</v>
      </c>
      <c r="AC215" s="33">
        <v>14.5</v>
      </c>
      <c r="AD215" s="70">
        <v>1.5</v>
      </c>
      <c r="AE215" s="33">
        <f>AB215*AC215*AD215/(12^3)</f>
        <v>0.453125</v>
      </c>
      <c r="AF215" s="18" t="s">
        <v>1525</v>
      </c>
      <c r="AG215" s="18" t="s">
        <v>1526</v>
      </c>
      <c r="AH215" s="18" t="s">
        <v>1524</v>
      </c>
    </row>
    <row r="216" spans="1:42" s="18" customFormat="1" x14ac:dyDescent="0.2">
      <c r="A216" s="18" t="s">
        <v>510</v>
      </c>
      <c r="B216" s="33" t="s">
        <v>1535</v>
      </c>
      <c r="C216" s="33" t="s">
        <v>1054</v>
      </c>
      <c r="D216" s="34" t="s">
        <v>1536</v>
      </c>
      <c r="E216" s="18" t="s">
        <v>1019</v>
      </c>
      <c r="G216" s="36" t="s">
        <v>1580</v>
      </c>
      <c r="H216" s="36"/>
      <c r="I216" s="36"/>
      <c r="J216" s="36" t="s">
        <v>568</v>
      </c>
      <c r="K216" s="219" t="s">
        <v>977</v>
      </c>
      <c r="L216" s="5">
        <v>3424.16</v>
      </c>
      <c r="M216" s="35">
        <v>1</v>
      </c>
      <c r="N216" s="35">
        <v>1</v>
      </c>
      <c r="O216" s="345"/>
      <c r="P216" s="35"/>
      <c r="Q216" s="35"/>
      <c r="R216" s="187"/>
      <c r="S216" s="33">
        <v>59</v>
      </c>
      <c r="T216" s="33">
        <v>34.5</v>
      </c>
      <c r="U216" s="33">
        <v>23.5</v>
      </c>
      <c r="V216" s="70">
        <v>15.5</v>
      </c>
      <c r="W216" s="44">
        <v>7.3</v>
      </c>
      <c r="X216" s="33">
        <v>16</v>
      </c>
      <c r="Y216" s="33">
        <v>14</v>
      </c>
      <c r="Z216" s="70">
        <v>9</v>
      </c>
      <c r="AA216" s="44">
        <v>14</v>
      </c>
      <c r="AB216" s="33">
        <v>44</v>
      </c>
      <c r="AC216" s="33">
        <v>36</v>
      </c>
      <c r="AD216" s="70">
        <v>2.25</v>
      </c>
      <c r="AE216" s="33">
        <f>AB216*AC216*AD216/(12^3)</f>
        <v>2.0625</v>
      </c>
      <c r="AF216" s="18" t="s">
        <v>1525</v>
      </c>
      <c r="AG216" s="18" t="s">
        <v>1526</v>
      </c>
      <c r="AH216" s="18" t="s">
        <v>1524</v>
      </c>
    </row>
    <row r="217" spans="1:42" s="18" customFormat="1" x14ac:dyDescent="0.2">
      <c r="A217" s="18" t="s">
        <v>510</v>
      </c>
      <c r="B217" s="33" t="s">
        <v>2668</v>
      </c>
      <c r="C217" s="33" t="s">
        <v>1741</v>
      </c>
      <c r="D217" s="34" t="s">
        <v>2669</v>
      </c>
      <c r="E217" s="18" t="s">
        <v>1747</v>
      </c>
      <c r="G217" s="36" t="s">
        <v>1580</v>
      </c>
      <c r="H217" s="36"/>
      <c r="I217" s="36"/>
      <c r="J217" s="36" t="s">
        <v>568</v>
      </c>
      <c r="K217" s="219" t="s">
        <v>977</v>
      </c>
      <c r="L217" s="5"/>
      <c r="M217" s="35">
        <v>1</v>
      </c>
      <c r="N217" s="35">
        <v>1</v>
      </c>
      <c r="O217" s="345"/>
      <c r="P217" s="35"/>
      <c r="Q217" s="35"/>
      <c r="R217" s="187"/>
      <c r="S217" s="33"/>
      <c r="T217" s="33">
        <v>39</v>
      </c>
      <c r="U217" s="33">
        <v>13</v>
      </c>
      <c r="V217" s="70">
        <v>87</v>
      </c>
      <c r="W217" s="33"/>
      <c r="X217" s="33"/>
      <c r="Y217" s="33"/>
      <c r="Z217" s="70"/>
      <c r="AA217" s="33"/>
      <c r="AB217" s="33"/>
      <c r="AC217" s="33"/>
      <c r="AD217" s="70"/>
      <c r="AE217" s="33"/>
    </row>
    <row r="218" spans="1:42" s="37" customFormat="1" x14ac:dyDescent="0.2">
      <c r="A218" s="18" t="s">
        <v>510</v>
      </c>
      <c r="B218" s="37" t="s">
        <v>1952</v>
      </c>
      <c r="C218" s="33" t="s">
        <v>529</v>
      </c>
      <c r="D218" s="37" t="s">
        <v>1954</v>
      </c>
      <c r="G218" s="36" t="s">
        <v>1580</v>
      </c>
      <c r="H218" s="36"/>
      <c r="I218" s="36"/>
      <c r="J218" s="36" t="s">
        <v>568</v>
      </c>
      <c r="K218" s="219" t="s">
        <v>977</v>
      </c>
      <c r="L218" s="218">
        <v>3002.67</v>
      </c>
      <c r="M218" s="35">
        <v>1</v>
      </c>
      <c r="N218" s="35">
        <v>1</v>
      </c>
      <c r="O218" s="345"/>
      <c r="P218" s="35"/>
      <c r="Q218" s="35"/>
      <c r="R218" s="187"/>
      <c r="S218" s="87"/>
      <c r="T218" s="139"/>
      <c r="U218" s="139"/>
      <c r="V218" s="186"/>
      <c r="W218" s="139"/>
      <c r="X218" s="139"/>
      <c r="Y218" s="139"/>
      <c r="Z218" s="186"/>
      <c r="AA218" s="139"/>
      <c r="AB218" s="139"/>
      <c r="AC218" s="139"/>
      <c r="AD218" s="186"/>
    </row>
    <row r="219" spans="1:42" s="18" customFormat="1" x14ac:dyDescent="0.2">
      <c r="A219" s="18" t="s">
        <v>510</v>
      </c>
      <c r="B219" s="33" t="s">
        <v>1049</v>
      </c>
      <c r="C219" s="33" t="s">
        <v>373</v>
      </c>
      <c r="D219" s="19" t="s">
        <v>2408</v>
      </c>
      <c r="E219" s="33" t="s">
        <v>220</v>
      </c>
      <c r="F219" s="33" t="s">
        <v>2514</v>
      </c>
      <c r="G219" s="77">
        <v>7331423006885</v>
      </c>
      <c r="H219" s="77"/>
      <c r="I219" s="77"/>
      <c r="J219" s="36" t="s">
        <v>261</v>
      </c>
      <c r="K219" s="36" t="s">
        <v>977</v>
      </c>
      <c r="L219" s="5">
        <v>29.99</v>
      </c>
      <c r="M219" s="35">
        <v>1</v>
      </c>
      <c r="N219" s="187">
        <v>12</v>
      </c>
      <c r="O219" s="33"/>
      <c r="P219" s="33"/>
      <c r="Q219" s="33"/>
      <c r="R219" s="33"/>
      <c r="S219" s="44">
        <v>0.91</v>
      </c>
      <c r="T219" s="33">
        <v>7.875</v>
      </c>
      <c r="U219" s="33">
        <v>2.5</v>
      </c>
      <c r="V219" s="70">
        <v>8.5</v>
      </c>
      <c r="W219" s="44" t="s">
        <v>259</v>
      </c>
      <c r="X219" s="33" t="s">
        <v>259</v>
      </c>
      <c r="Y219" s="33" t="s">
        <v>259</v>
      </c>
      <c r="Z219" s="33" t="s">
        <v>259</v>
      </c>
      <c r="AA219" s="44">
        <v>12.1</v>
      </c>
      <c r="AB219" s="33">
        <v>23.625</v>
      </c>
      <c r="AC219" s="33">
        <v>15.25</v>
      </c>
      <c r="AD219" s="70">
        <v>6.25</v>
      </c>
      <c r="AE219" s="33">
        <f t="shared" ref="AE219:AE241" si="6">AB219*AC219*AD219/(12^3)</f>
        <v>1.3031005859375</v>
      </c>
      <c r="AF219" s="37" t="s">
        <v>2754</v>
      </c>
      <c r="AG219" s="37" t="s">
        <v>2753</v>
      </c>
      <c r="AH219" s="37" t="s">
        <v>2748</v>
      </c>
      <c r="AI219" s="18" t="s">
        <v>1143</v>
      </c>
      <c r="AN219" s="37" t="s">
        <v>2755</v>
      </c>
      <c r="AO219" s="94" t="s">
        <v>2750</v>
      </c>
    </row>
    <row r="220" spans="1:42" s="18" customFormat="1" x14ac:dyDescent="0.2">
      <c r="A220" s="18" t="s">
        <v>510</v>
      </c>
      <c r="B220" s="33" t="s">
        <v>1048</v>
      </c>
      <c r="C220" s="33" t="s">
        <v>1054</v>
      </c>
      <c r="D220" s="19" t="s">
        <v>2407</v>
      </c>
      <c r="E220" s="33" t="s">
        <v>1054</v>
      </c>
      <c r="F220" s="33" t="s">
        <v>2514</v>
      </c>
      <c r="G220" s="77">
        <v>7331423006991</v>
      </c>
      <c r="H220" s="77"/>
      <c r="I220" s="77"/>
      <c r="J220" s="36" t="s">
        <v>261</v>
      </c>
      <c r="K220" s="36" t="s">
        <v>977</v>
      </c>
      <c r="L220" s="5">
        <v>19.989999999999998</v>
      </c>
      <c r="M220" s="35">
        <v>1</v>
      </c>
      <c r="N220" s="187">
        <v>12</v>
      </c>
      <c r="O220" s="33"/>
      <c r="P220" s="33"/>
      <c r="Q220" s="33"/>
      <c r="R220" s="33"/>
      <c r="S220" s="44">
        <v>0.72</v>
      </c>
      <c r="T220" s="33">
        <v>7.875</v>
      </c>
      <c r="U220" s="33">
        <v>2.5</v>
      </c>
      <c r="V220" s="70">
        <v>8.5</v>
      </c>
      <c r="W220" s="44" t="s">
        <v>259</v>
      </c>
      <c r="X220" s="33" t="s">
        <v>259</v>
      </c>
      <c r="Y220" s="33" t="s">
        <v>259</v>
      </c>
      <c r="Z220" s="33" t="s">
        <v>259</v>
      </c>
      <c r="AA220" s="44">
        <v>9.8000000000000007</v>
      </c>
      <c r="AB220" s="33">
        <v>23.625</v>
      </c>
      <c r="AC220" s="33">
        <v>15.25</v>
      </c>
      <c r="AD220" s="70">
        <v>6.25</v>
      </c>
      <c r="AE220" s="33">
        <f t="shared" si="6"/>
        <v>1.3031005859375</v>
      </c>
      <c r="AF220" s="37" t="s">
        <v>2752</v>
      </c>
      <c r="AG220" s="37" t="s">
        <v>2753</v>
      </c>
      <c r="AH220" s="37" t="s">
        <v>2748</v>
      </c>
      <c r="AI220" s="18" t="s">
        <v>1143</v>
      </c>
      <c r="AN220" s="196" t="s">
        <v>2751</v>
      </c>
      <c r="AO220" s="94" t="s">
        <v>2750</v>
      </c>
    </row>
    <row r="221" spans="1:42" s="18" customFormat="1" x14ac:dyDescent="0.2">
      <c r="A221" s="18" t="s">
        <v>510</v>
      </c>
      <c r="B221" s="37" t="s">
        <v>688</v>
      </c>
      <c r="C221" s="33" t="s">
        <v>373</v>
      </c>
      <c r="D221" s="57" t="s">
        <v>2397</v>
      </c>
      <c r="E221" s="57" t="s">
        <v>373</v>
      </c>
      <c r="F221" s="18" t="s">
        <v>2514</v>
      </c>
      <c r="G221" s="66" t="s">
        <v>690</v>
      </c>
      <c r="H221" s="66"/>
      <c r="I221" s="66"/>
      <c r="J221" s="28" t="s">
        <v>1044</v>
      </c>
      <c r="K221" s="36" t="s">
        <v>977</v>
      </c>
      <c r="L221" s="5">
        <v>14.99</v>
      </c>
      <c r="M221" s="35">
        <v>6</v>
      </c>
      <c r="N221" s="187">
        <v>72</v>
      </c>
      <c r="O221" s="33">
        <f>CONVERT(0.95,"ozm","lbm")</f>
        <v>5.9374999999999997E-2</v>
      </c>
      <c r="P221" s="33"/>
      <c r="Q221" s="33"/>
      <c r="R221" s="33"/>
      <c r="S221" s="44">
        <v>0.1</v>
      </c>
      <c r="T221" s="33">
        <v>4</v>
      </c>
      <c r="U221" s="33">
        <v>0.75</v>
      </c>
      <c r="V221" s="70">
        <v>7.875</v>
      </c>
      <c r="W221" s="44">
        <v>0.8</v>
      </c>
      <c r="X221" s="33">
        <v>4.25</v>
      </c>
      <c r="Y221" s="33">
        <v>4.75</v>
      </c>
      <c r="Z221" s="33">
        <v>8.5</v>
      </c>
      <c r="AA221" s="44">
        <v>10</v>
      </c>
      <c r="AB221" s="33">
        <v>14.25</v>
      </c>
      <c r="AC221" s="33">
        <v>9</v>
      </c>
      <c r="AD221" s="70">
        <v>17.25</v>
      </c>
      <c r="AE221" s="33">
        <f t="shared" si="6"/>
        <v>1.2802734375</v>
      </c>
      <c r="AF221" s="37" t="s">
        <v>700</v>
      </c>
      <c r="AG221" s="37" t="s">
        <v>699</v>
      </c>
      <c r="AH221" s="37" t="s">
        <v>514</v>
      </c>
      <c r="AI221" s="18" t="s">
        <v>701</v>
      </c>
      <c r="AJ221" s="40" t="s">
        <v>702</v>
      </c>
      <c r="AK221" s="40"/>
      <c r="AL221" s="40"/>
      <c r="AM221" s="40"/>
      <c r="AN221" s="37" t="s">
        <v>720</v>
      </c>
      <c r="AO221" s="94" t="s">
        <v>520</v>
      </c>
      <c r="AP221" s="13"/>
    </row>
    <row r="222" spans="1:42" s="18" customFormat="1" x14ac:dyDescent="0.2">
      <c r="A222" s="18" t="s">
        <v>510</v>
      </c>
      <c r="B222" s="37" t="s">
        <v>688</v>
      </c>
      <c r="C222" s="33" t="s">
        <v>1054</v>
      </c>
      <c r="D222" s="57" t="s">
        <v>2397</v>
      </c>
      <c r="E222" s="57" t="s">
        <v>1054</v>
      </c>
      <c r="F222" s="18" t="s">
        <v>2514</v>
      </c>
      <c r="G222" s="66">
        <v>7331423005826</v>
      </c>
      <c r="H222" s="66"/>
      <c r="I222" s="66"/>
      <c r="J222" s="28" t="s">
        <v>1044</v>
      </c>
      <c r="K222" s="36" t="s">
        <v>977</v>
      </c>
      <c r="L222" s="5">
        <v>14.99</v>
      </c>
      <c r="M222" s="35">
        <v>6</v>
      </c>
      <c r="N222" s="187">
        <v>72</v>
      </c>
      <c r="O222" s="33"/>
      <c r="P222" s="33"/>
      <c r="Q222" s="33"/>
      <c r="R222" s="33"/>
      <c r="S222" s="44">
        <v>0.1</v>
      </c>
      <c r="T222" s="33">
        <v>4</v>
      </c>
      <c r="U222" s="33">
        <v>0.75</v>
      </c>
      <c r="V222" s="70">
        <v>7.875</v>
      </c>
      <c r="W222" s="44">
        <v>0.8</v>
      </c>
      <c r="X222" s="33">
        <v>4.25</v>
      </c>
      <c r="Y222" s="33">
        <v>4.75</v>
      </c>
      <c r="Z222" s="33">
        <v>8.5</v>
      </c>
      <c r="AA222" s="44">
        <v>10</v>
      </c>
      <c r="AB222" s="33">
        <v>14.25</v>
      </c>
      <c r="AC222" s="33">
        <v>9</v>
      </c>
      <c r="AD222" s="70">
        <v>17.25</v>
      </c>
      <c r="AE222" s="33">
        <f t="shared" si="6"/>
        <v>1.2802734375</v>
      </c>
      <c r="AF222" s="37" t="s">
        <v>700</v>
      </c>
      <c r="AG222" s="37" t="s">
        <v>699</v>
      </c>
      <c r="AH222" s="37" t="s">
        <v>514</v>
      </c>
      <c r="AI222" s="18" t="s">
        <v>701</v>
      </c>
      <c r="AJ222" s="40" t="s">
        <v>702</v>
      </c>
      <c r="AK222" s="40"/>
      <c r="AL222" s="40"/>
      <c r="AM222" s="40"/>
      <c r="AN222" s="37" t="s">
        <v>720</v>
      </c>
      <c r="AO222" s="94" t="s">
        <v>520</v>
      </c>
      <c r="AP222" s="13"/>
    </row>
    <row r="223" spans="1:42" s="18" customFormat="1" x14ac:dyDescent="0.2">
      <c r="A223" s="18" t="s">
        <v>510</v>
      </c>
      <c r="B223" s="19" t="s">
        <v>1570</v>
      </c>
      <c r="C223" s="33" t="s">
        <v>1054</v>
      </c>
      <c r="D223" s="19" t="s">
        <v>2403</v>
      </c>
      <c r="E223" s="19" t="s">
        <v>1054</v>
      </c>
      <c r="F223" s="19" t="s">
        <v>2520</v>
      </c>
      <c r="G223" s="47">
        <v>7331423006397</v>
      </c>
      <c r="H223" s="47"/>
      <c r="I223" s="47"/>
      <c r="J223" s="357" t="s">
        <v>1299</v>
      </c>
      <c r="K223" s="36" t="s">
        <v>977</v>
      </c>
      <c r="L223" s="5">
        <v>37.99</v>
      </c>
      <c r="M223" s="35">
        <v>1</v>
      </c>
      <c r="N223" s="187">
        <v>15</v>
      </c>
      <c r="O223" s="44">
        <v>0.25</v>
      </c>
      <c r="P223" s="33">
        <v>9</v>
      </c>
      <c r="Q223" s="33">
        <v>1.25</v>
      </c>
      <c r="R223" s="70">
        <v>1.25</v>
      </c>
      <c r="S223" s="44">
        <v>0.25</v>
      </c>
      <c r="T223" s="33">
        <v>1.25</v>
      </c>
      <c r="U223" s="33">
        <v>1.25</v>
      </c>
      <c r="V223" s="70">
        <v>5.875</v>
      </c>
      <c r="W223" s="44" t="s">
        <v>259</v>
      </c>
      <c r="X223" s="33" t="s">
        <v>259</v>
      </c>
      <c r="Y223" s="33" t="s">
        <v>259</v>
      </c>
      <c r="Z223" s="33" t="s">
        <v>259</v>
      </c>
      <c r="AA223" s="44">
        <v>4.3</v>
      </c>
      <c r="AB223" s="33">
        <v>9.875</v>
      </c>
      <c r="AC223" s="33">
        <v>5.25</v>
      </c>
      <c r="AD223" s="70">
        <v>10.25</v>
      </c>
      <c r="AE223" s="33">
        <f t="shared" si="6"/>
        <v>0.3075222439236111</v>
      </c>
      <c r="AF223" s="37" t="s">
        <v>4</v>
      </c>
      <c r="AG223" s="37" t="s">
        <v>865</v>
      </c>
      <c r="AH223" s="37" t="s">
        <v>866</v>
      </c>
      <c r="AI223" s="40" t="s">
        <v>867</v>
      </c>
      <c r="AJ223" s="40" t="s">
        <v>868</v>
      </c>
      <c r="AK223" s="40"/>
      <c r="AL223" s="40"/>
      <c r="AM223" s="40"/>
      <c r="AN223" s="40" t="s">
        <v>2742</v>
      </c>
      <c r="AO223" s="94" t="s">
        <v>520</v>
      </c>
    </row>
    <row r="224" spans="1:42" s="18" customFormat="1" x14ac:dyDescent="0.2">
      <c r="A224" s="18" t="s">
        <v>510</v>
      </c>
      <c r="B224" s="19" t="s">
        <v>1570</v>
      </c>
      <c r="C224" s="33" t="s">
        <v>1449</v>
      </c>
      <c r="D224" s="19" t="s">
        <v>2403</v>
      </c>
      <c r="E224" s="33" t="s">
        <v>845</v>
      </c>
      <c r="F224" s="19" t="s">
        <v>2520</v>
      </c>
      <c r="G224" s="47">
        <v>7331423006403</v>
      </c>
      <c r="H224" s="47"/>
      <c r="I224" s="47"/>
      <c r="J224" s="357" t="s">
        <v>1299</v>
      </c>
      <c r="K224" s="36" t="s">
        <v>977</v>
      </c>
      <c r="L224" s="5">
        <v>37.99</v>
      </c>
      <c r="M224" s="35">
        <v>1</v>
      </c>
      <c r="N224" s="187">
        <v>15</v>
      </c>
      <c r="O224" s="44">
        <f>CONVERT(94,"g","lbm")</f>
        <v>0.20723452645378493</v>
      </c>
      <c r="P224" s="33">
        <v>9</v>
      </c>
      <c r="Q224" s="33">
        <v>1.25</v>
      </c>
      <c r="R224" s="70">
        <v>1.25</v>
      </c>
      <c r="S224" s="44">
        <v>0.25</v>
      </c>
      <c r="T224" s="33">
        <v>1.25</v>
      </c>
      <c r="U224" s="33">
        <v>1.25</v>
      </c>
      <c r="V224" s="70">
        <v>5.875</v>
      </c>
      <c r="W224" s="44" t="s">
        <v>259</v>
      </c>
      <c r="X224" s="33" t="s">
        <v>259</v>
      </c>
      <c r="Y224" s="33" t="s">
        <v>259</v>
      </c>
      <c r="Z224" s="33" t="s">
        <v>259</v>
      </c>
      <c r="AA224" s="44">
        <v>4.3</v>
      </c>
      <c r="AB224" s="33">
        <v>9.875</v>
      </c>
      <c r="AC224" s="33">
        <v>5.25</v>
      </c>
      <c r="AD224" s="70">
        <v>10.25</v>
      </c>
      <c r="AE224" s="33">
        <f t="shared" si="6"/>
        <v>0.3075222439236111</v>
      </c>
      <c r="AF224" s="37" t="s">
        <v>4</v>
      </c>
      <c r="AG224" s="37" t="s">
        <v>865</v>
      </c>
      <c r="AH224" s="37" t="s">
        <v>866</v>
      </c>
      <c r="AI224" s="40" t="s">
        <v>867</v>
      </c>
      <c r="AJ224" s="40" t="s">
        <v>868</v>
      </c>
      <c r="AK224" s="40"/>
      <c r="AL224" s="40"/>
      <c r="AM224" s="40"/>
      <c r="AN224" s="40" t="s">
        <v>2742</v>
      </c>
      <c r="AO224" s="94" t="s">
        <v>520</v>
      </c>
    </row>
    <row r="225" spans="1:42" s="18" customFormat="1" x14ac:dyDescent="0.2">
      <c r="A225" s="18" t="s">
        <v>510</v>
      </c>
      <c r="B225" s="33" t="s">
        <v>344</v>
      </c>
      <c r="C225" s="33" t="s">
        <v>245</v>
      </c>
      <c r="D225" s="34" t="s">
        <v>2414</v>
      </c>
      <c r="E225" s="33" t="s">
        <v>486</v>
      </c>
      <c r="F225" s="33" t="s">
        <v>2520</v>
      </c>
      <c r="G225" s="77">
        <v>7331423002658</v>
      </c>
      <c r="H225" s="77"/>
      <c r="I225" s="77"/>
      <c r="J225" s="36" t="s">
        <v>568</v>
      </c>
      <c r="K225" s="36" t="s">
        <v>977</v>
      </c>
      <c r="L225" s="5">
        <v>2.99</v>
      </c>
      <c r="M225" s="35">
        <v>25</v>
      </c>
      <c r="N225" s="187">
        <v>500</v>
      </c>
      <c r="O225" s="99">
        <f t="shared" ref="O225" si="7">CONVERT(9,"g","lbm")</f>
        <v>1.9841603596638981E-2</v>
      </c>
      <c r="P225" s="100">
        <v>6.5</v>
      </c>
      <c r="Q225" s="100">
        <v>1.375</v>
      </c>
      <c r="R225" s="101">
        <v>0.75</v>
      </c>
      <c r="S225" s="99">
        <f>CONVERT(10,"g","lbm")</f>
        <v>2.2046226218487758E-2</v>
      </c>
      <c r="T225" s="100">
        <v>6.5</v>
      </c>
      <c r="U225" s="100">
        <v>1.375</v>
      </c>
      <c r="V225" s="101">
        <v>0.75</v>
      </c>
      <c r="W225" s="99">
        <v>0.55000000000000004</v>
      </c>
      <c r="X225" s="100">
        <v>3.5</v>
      </c>
      <c r="Y225" s="100">
        <v>1.375</v>
      </c>
      <c r="Z225" s="100">
        <v>6.625</v>
      </c>
      <c r="AA225" s="44">
        <v>11.75</v>
      </c>
      <c r="AB225" s="33">
        <v>12.25</v>
      </c>
      <c r="AC225" s="33">
        <v>7.125</v>
      </c>
      <c r="AD225" s="70">
        <v>8</v>
      </c>
      <c r="AE225" s="33">
        <f t="shared" si="6"/>
        <v>0.4040798611111111</v>
      </c>
      <c r="AF225" s="37" t="s">
        <v>2756</v>
      </c>
      <c r="AG225" s="37" t="s">
        <v>874</v>
      </c>
      <c r="AH225" s="37" t="s">
        <v>478</v>
      </c>
      <c r="AI225" s="37" t="s">
        <v>107</v>
      </c>
      <c r="AJ225" s="37" t="s">
        <v>480</v>
      </c>
      <c r="AK225" s="37"/>
      <c r="AL225" s="37"/>
      <c r="AM225" s="37"/>
      <c r="AN225" s="37" t="s">
        <v>481</v>
      </c>
      <c r="AO225" s="94" t="s">
        <v>520</v>
      </c>
    </row>
    <row r="226" spans="1:42" s="18" customFormat="1" x14ac:dyDescent="0.2">
      <c r="A226" s="18" t="s">
        <v>510</v>
      </c>
      <c r="B226" s="33" t="s">
        <v>588</v>
      </c>
      <c r="C226" s="33" t="s">
        <v>2662</v>
      </c>
      <c r="D226" s="34" t="s">
        <v>2816</v>
      </c>
      <c r="E226" s="33" t="s">
        <v>67</v>
      </c>
      <c r="F226" s="33" t="s">
        <v>2521</v>
      </c>
      <c r="G226" s="77">
        <v>7331423002580</v>
      </c>
      <c r="H226" s="77"/>
      <c r="I226" s="77"/>
      <c r="J226" s="36" t="s">
        <v>568</v>
      </c>
      <c r="K226" s="36" t="s">
        <v>977</v>
      </c>
      <c r="L226" s="5">
        <v>2.99</v>
      </c>
      <c r="M226" s="35">
        <v>1</v>
      </c>
      <c r="N226" s="187">
        <v>1</v>
      </c>
      <c r="O226" s="99">
        <f>CONVERT(9,"g","lbm")</f>
        <v>1.9841603596638981E-2</v>
      </c>
      <c r="P226" s="100">
        <v>6.5</v>
      </c>
      <c r="Q226" s="100">
        <v>1.375</v>
      </c>
      <c r="R226" s="101">
        <v>0.75</v>
      </c>
      <c r="S226" s="99">
        <f>CONVERT(2650,"g","lbm")</f>
        <v>5.8422499478992558</v>
      </c>
      <c r="T226" s="100">
        <v>5.875</v>
      </c>
      <c r="U226" s="100">
        <v>5.875</v>
      </c>
      <c r="V226" s="101">
        <v>12.875</v>
      </c>
      <c r="W226" s="44" t="s">
        <v>259</v>
      </c>
      <c r="X226" s="33" t="s">
        <v>259</v>
      </c>
      <c r="Y226" s="33" t="s">
        <v>259</v>
      </c>
      <c r="Z226" s="33" t="s">
        <v>259</v>
      </c>
      <c r="AA226" s="44">
        <f>CONVERT(3.2,"kg","lbm")</f>
        <v>7.0547923899160825</v>
      </c>
      <c r="AB226" s="33">
        <f>CONVERT(160,"mm","in")</f>
        <v>6.2992125984251972</v>
      </c>
      <c r="AC226" s="33">
        <f>CONVERT(160,"mm","in")</f>
        <v>6.2992125984251972</v>
      </c>
      <c r="AD226" s="70">
        <f>CONVERT(360,"mm","in")</f>
        <v>14.173228346456694</v>
      </c>
      <c r="AE226" s="33">
        <f t="shared" si="6"/>
        <v>0.32545996850523884</v>
      </c>
      <c r="AF226" s="37" t="s">
        <v>163</v>
      </c>
      <c r="AG226" s="37" t="s">
        <v>876</v>
      </c>
      <c r="AH226" s="37" t="s">
        <v>86</v>
      </c>
      <c r="AI226" s="40" t="s">
        <v>87</v>
      </c>
      <c r="AJ226" s="40" t="s">
        <v>51</v>
      </c>
      <c r="AK226" s="40"/>
      <c r="AL226" s="40"/>
      <c r="AM226" s="40"/>
      <c r="AN226" s="18" t="s">
        <v>110</v>
      </c>
      <c r="AO226" s="94" t="s">
        <v>520</v>
      </c>
    </row>
    <row r="227" spans="1:42" s="18" customFormat="1" x14ac:dyDescent="0.2">
      <c r="A227" s="18" t="s">
        <v>510</v>
      </c>
      <c r="B227" s="33" t="s">
        <v>588</v>
      </c>
      <c r="C227" s="33" t="s">
        <v>2663</v>
      </c>
      <c r="D227" s="34" t="s">
        <v>2817</v>
      </c>
      <c r="E227" s="33" t="s">
        <v>1123</v>
      </c>
      <c r="F227" s="33" t="s">
        <v>2521</v>
      </c>
      <c r="G227" s="77">
        <v>7331423007271</v>
      </c>
      <c r="H227" s="77"/>
      <c r="I227" s="77"/>
      <c r="J227" s="36" t="s">
        <v>568</v>
      </c>
      <c r="K227" s="36" t="s">
        <v>977</v>
      </c>
      <c r="L227" s="5">
        <v>2.99</v>
      </c>
      <c r="M227" s="35">
        <v>1</v>
      </c>
      <c r="N227" s="187">
        <v>1</v>
      </c>
      <c r="O227" s="99">
        <f>CONVERT(9,"g","lbm")</f>
        <v>1.9841603596638981E-2</v>
      </c>
      <c r="P227" s="100">
        <v>6.5</v>
      </c>
      <c r="Q227" s="100">
        <v>1.375</v>
      </c>
      <c r="R227" s="101">
        <v>0.75</v>
      </c>
      <c r="S227" s="99">
        <f>CONVERT(2650,"g","lbm")</f>
        <v>5.8422499478992558</v>
      </c>
      <c r="T227" s="100">
        <v>5.875</v>
      </c>
      <c r="U227" s="100">
        <v>5.875</v>
      </c>
      <c r="V227" s="101">
        <v>12.875</v>
      </c>
      <c r="W227" s="44" t="s">
        <v>259</v>
      </c>
      <c r="X227" s="33" t="s">
        <v>259</v>
      </c>
      <c r="Y227" s="33" t="s">
        <v>259</v>
      </c>
      <c r="Z227" s="33" t="s">
        <v>259</v>
      </c>
      <c r="AA227" s="44">
        <f>CONVERT(3.2,"kg","lbm")</f>
        <v>7.0547923899160825</v>
      </c>
      <c r="AB227" s="33">
        <f>CONVERT(160,"mm","in")</f>
        <v>6.2992125984251972</v>
      </c>
      <c r="AC227" s="33">
        <f>CONVERT(160,"mm","in")</f>
        <v>6.2992125984251972</v>
      </c>
      <c r="AD227" s="70">
        <f>CONVERT(360,"mm","in")</f>
        <v>14.173228346456694</v>
      </c>
      <c r="AE227" s="33">
        <f t="shared" si="6"/>
        <v>0.32545996850523884</v>
      </c>
      <c r="AF227" s="37" t="s">
        <v>163</v>
      </c>
      <c r="AG227" s="37" t="s">
        <v>876</v>
      </c>
      <c r="AH227" s="37" t="s">
        <v>86</v>
      </c>
      <c r="AI227" s="40" t="s">
        <v>87</v>
      </c>
      <c r="AJ227" s="40" t="s">
        <v>51</v>
      </c>
      <c r="AK227" s="40"/>
      <c r="AL227" s="40"/>
      <c r="AM227" s="40"/>
      <c r="AN227" s="18" t="s">
        <v>110</v>
      </c>
      <c r="AO227" s="94" t="s">
        <v>520</v>
      </c>
    </row>
    <row r="228" spans="1:42" s="18" customFormat="1" x14ac:dyDescent="0.2">
      <c r="A228" s="18" t="s">
        <v>510</v>
      </c>
      <c r="B228" s="33" t="s">
        <v>590</v>
      </c>
      <c r="C228" s="33" t="s">
        <v>2664</v>
      </c>
      <c r="D228" s="34" t="s">
        <v>2818</v>
      </c>
      <c r="E228" s="33" t="s">
        <v>1123</v>
      </c>
      <c r="F228" s="33" t="s">
        <v>2521</v>
      </c>
      <c r="G228" s="77">
        <v>7331423007288</v>
      </c>
      <c r="H228" s="77"/>
      <c r="I228" s="77"/>
      <c r="J228" s="36" t="s">
        <v>568</v>
      </c>
      <c r="K228" s="36" t="s">
        <v>977</v>
      </c>
      <c r="L228" s="5">
        <v>2.99</v>
      </c>
      <c r="M228" s="35">
        <v>1</v>
      </c>
      <c r="N228" s="187">
        <v>9</v>
      </c>
      <c r="O228" s="99">
        <f>CONVERT(9,"g","lbm")</f>
        <v>1.9841603596638981E-2</v>
      </c>
      <c r="P228" s="100">
        <v>6.5</v>
      </c>
      <c r="Q228" s="100">
        <v>1.375</v>
      </c>
      <c r="R228" s="101">
        <v>0.75</v>
      </c>
      <c r="S228" s="99">
        <f>CONVERT(675,"g","lbm")</f>
        <v>1.4881202697479237</v>
      </c>
      <c r="T228" s="100">
        <v>4.75</v>
      </c>
      <c r="U228" s="100">
        <v>4.75</v>
      </c>
      <c r="V228" s="101">
        <v>7.125</v>
      </c>
      <c r="W228" s="44" t="s">
        <v>259</v>
      </c>
      <c r="X228" s="33" t="s">
        <v>259</v>
      </c>
      <c r="Y228" s="33" t="s">
        <v>259</v>
      </c>
      <c r="Z228" s="33" t="s">
        <v>259</v>
      </c>
      <c r="AA228" s="44">
        <v>13.95</v>
      </c>
      <c r="AB228" s="33">
        <v>12.375</v>
      </c>
      <c r="AC228" s="33">
        <v>12.5</v>
      </c>
      <c r="AD228" s="70">
        <v>7.75</v>
      </c>
      <c r="AE228" s="33">
        <f t="shared" si="6"/>
        <v>0.69376627604166663</v>
      </c>
      <c r="AF228" s="37" t="s">
        <v>95</v>
      </c>
      <c r="AG228" s="37" t="s">
        <v>876</v>
      </c>
      <c r="AH228" s="37" t="s">
        <v>86</v>
      </c>
      <c r="AI228" s="40" t="s">
        <v>87</v>
      </c>
      <c r="AJ228" s="40"/>
      <c r="AK228" s="40"/>
      <c r="AL228" s="40"/>
      <c r="AM228" s="40"/>
      <c r="AN228" s="18" t="s">
        <v>96</v>
      </c>
      <c r="AO228" s="94" t="s">
        <v>520</v>
      </c>
    </row>
    <row r="229" spans="1:42" s="18" customFormat="1" x14ac:dyDescent="0.2">
      <c r="A229" s="18" t="s">
        <v>510</v>
      </c>
      <c r="B229" s="33" t="s">
        <v>590</v>
      </c>
      <c r="C229" s="33" t="s">
        <v>2665</v>
      </c>
      <c r="D229" s="34" t="s">
        <v>2818</v>
      </c>
      <c r="E229" s="33" t="s">
        <v>1947</v>
      </c>
      <c r="F229" s="33" t="s">
        <v>2521</v>
      </c>
      <c r="G229" s="77">
        <v>7331423008421</v>
      </c>
      <c r="H229" s="77"/>
      <c r="I229" s="77"/>
      <c r="J229" s="36" t="s">
        <v>568</v>
      </c>
      <c r="K229" s="36" t="s">
        <v>977</v>
      </c>
      <c r="L229" s="5">
        <v>2.99</v>
      </c>
      <c r="M229" s="35">
        <v>1</v>
      </c>
      <c r="N229" s="187">
        <v>9</v>
      </c>
      <c r="O229" s="99">
        <f>CONVERT(9,"g","lbm")</f>
        <v>1.9841603596638981E-2</v>
      </c>
      <c r="P229" s="100">
        <v>6.5</v>
      </c>
      <c r="Q229" s="100">
        <v>1.375</v>
      </c>
      <c r="R229" s="101">
        <v>0.75</v>
      </c>
      <c r="S229" s="99">
        <f>CONVERT(675,"g","lbm")</f>
        <v>1.4881202697479237</v>
      </c>
      <c r="T229" s="100">
        <v>4.75</v>
      </c>
      <c r="U229" s="100">
        <v>4.75</v>
      </c>
      <c r="V229" s="101">
        <v>7.125</v>
      </c>
      <c r="W229" s="44" t="s">
        <v>259</v>
      </c>
      <c r="X229" s="33" t="s">
        <v>259</v>
      </c>
      <c r="Y229" s="33" t="s">
        <v>259</v>
      </c>
      <c r="Z229" s="33" t="s">
        <v>259</v>
      </c>
      <c r="AA229" s="44">
        <v>13.95</v>
      </c>
      <c r="AB229" s="33">
        <v>12.375</v>
      </c>
      <c r="AC229" s="33">
        <v>12.5</v>
      </c>
      <c r="AD229" s="70">
        <v>7.75</v>
      </c>
      <c r="AE229" s="33">
        <f t="shared" si="6"/>
        <v>0.69376627604166663</v>
      </c>
      <c r="AF229" s="37" t="s">
        <v>95</v>
      </c>
      <c r="AG229" s="37" t="s">
        <v>876</v>
      </c>
      <c r="AH229" s="37" t="s">
        <v>86</v>
      </c>
      <c r="AI229" s="40" t="s">
        <v>87</v>
      </c>
      <c r="AJ229" s="40"/>
      <c r="AK229" s="40"/>
      <c r="AL229" s="40"/>
      <c r="AM229" s="40"/>
      <c r="AN229" s="18" t="s">
        <v>96</v>
      </c>
      <c r="AO229" s="94" t="s">
        <v>520</v>
      </c>
    </row>
    <row r="230" spans="1:42" s="18" customFormat="1" x14ac:dyDescent="0.2">
      <c r="A230" s="18" t="s">
        <v>510</v>
      </c>
      <c r="B230" s="19" t="s">
        <v>351</v>
      </c>
      <c r="C230" s="33" t="s">
        <v>245</v>
      </c>
      <c r="D230" s="19" t="s">
        <v>2836</v>
      </c>
      <c r="E230" s="18" t="s">
        <v>486</v>
      </c>
      <c r="F230" s="18" t="s">
        <v>2514</v>
      </c>
      <c r="G230" s="77">
        <v>7331423003433</v>
      </c>
      <c r="H230" s="77"/>
      <c r="I230" s="77"/>
      <c r="J230" s="36" t="s">
        <v>568</v>
      </c>
      <c r="K230" s="36" t="s">
        <v>977</v>
      </c>
      <c r="L230" s="5">
        <v>7.99</v>
      </c>
      <c r="M230" s="35">
        <v>12</v>
      </c>
      <c r="N230" s="187">
        <v>72</v>
      </c>
      <c r="O230" s="99">
        <f>CONVERT(8,"g","lbm")</f>
        <v>1.7636980974790207E-2</v>
      </c>
      <c r="P230" s="33">
        <v>5.5</v>
      </c>
      <c r="Q230" s="33"/>
      <c r="R230" s="33"/>
      <c r="S230" s="44">
        <v>0.1</v>
      </c>
      <c r="T230" s="33">
        <v>2.5625</v>
      </c>
      <c r="U230" s="33">
        <v>1.25</v>
      </c>
      <c r="V230" s="70">
        <v>8.3125</v>
      </c>
      <c r="W230" s="44">
        <v>1.05</v>
      </c>
      <c r="X230" s="33">
        <v>5.625</v>
      </c>
      <c r="Y230" s="33">
        <v>5</v>
      </c>
      <c r="Z230" s="33">
        <v>9</v>
      </c>
      <c r="AA230" s="44">
        <v>7.6</v>
      </c>
      <c r="AB230" s="33">
        <v>15.625</v>
      </c>
      <c r="AC230" s="33">
        <v>14.5</v>
      </c>
      <c r="AD230" s="70">
        <v>11.375</v>
      </c>
      <c r="AE230" s="33">
        <f t="shared" si="6"/>
        <v>1.491405345775463</v>
      </c>
      <c r="AF230" s="37" t="s">
        <v>240</v>
      </c>
      <c r="AG230" s="18" t="s">
        <v>241</v>
      </c>
      <c r="AH230" s="40" t="s">
        <v>423</v>
      </c>
      <c r="AI230" s="37" t="s">
        <v>875</v>
      </c>
      <c r="AJ230" s="37" t="s">
        <v>478</v>
      </c>
      <c r="AK230" s="37"/>
      <c r="AL230" s="37"/>
      <c r="AM230" s="37"/>
      <c r="AN230" s="12" t="s">
        <v>408</v>
      </c>
      <c r="AO230" s="94" t="s">
        <v>520</v>
      </c>
      <c r="AP230" s="13"/>
    </row>
    <row r="231" spans="1:42" s="18" customFormat="1" x14ac:dyDescent="0.2">
      <c r="A231" s="18" t="s">
        <v>510</v>
      </c>
      <c r="B231" s="33" t="s">
        <v>1086</v>
      </c>
      <c r="C231" s="33" t="s">
        <v>1054</v>
      </c>
      <c r="D231" s="34" t="s">
        <v>2841</v>
      </c>
      <c r="E231" s="33" t="s">
        <v>2791</v>
      </c>
      <c r="F231" s="33" t="s">
        <v>2558</v>
      </c>
      <c r="G231" s="36" t="s">
        <v>1095</v>
      </c>
      <c r="H231" s="36"/>
      <c r="I231" s="36"/>
      <c r="J231" s="36" t="s">
        <v>568</v>
      </c>
      <c r="K231" s="36" t="s">
        <v>977</v>
      </c>
      <c r="L231" s="5">
        <v>29.99</v>
      </c>
      <c r="M231" s="35">
        <v>12</v>
      </c>
      <c r="N231" s="187">
        <v>72</v>
      </c>
      <c r="O231" s="33">
        <f>CONVERT(40,"g","lbm")</f>
        <v>8.8184904873951031E-2</v>
      </c>
      <c r="P231" s="33">
        <v>2.75</v>
      </c>
      <c r="Q231" s="33">
        <v>2.8125</v>
      </c>
      <c r="R231" s="33">
        <v>4.25</v>
      </c>
      <c r="S231" s="44">
        <f>CONVERT(195,"g","lbm")</f>
        <v>0.42990141126051129</v>
      </c>
      <c r="T231" s="33">
        <v>2.75</v>
      </c>
      <c r="U231" s="33">
        <v>3.5</v>
      </c>
      <c r="V231" s="70">
        <v>10.25</v>
      </c>
      <c r="W231" s="44">
        <v>5.0199999999999996</v>
      </c>
      <c r="X231" s="33">
        <v>12.6</v>
      </c>
      <c r="Y231" s="33">
        <v>11.81</v>
      </c>
      <c r="Z231" s="33">
        <v>10.63</v>
      </c>
      <c r="AA231" s="44">
        <v>31.43</v>
      </c>
      <c r="AB231" s="33">
        <v>12.6</v>
      </c>
      <c r="AC231" s="33">
        <v>23.65</v>
      </c>
      <c r="AD231" s="70">
        <v>31.9</v>
      </c>
      <c r="AE231" s="33">
        <f t="shared" si="6"/>
        <v>5.5010885416666655</v>
      </c>
      <c r="AF231" s="37" t="s">
        <v>1081</v>
      </c>
      <c r="AG231" s="37" t="s">
        <v>1084</v>
      </c>
      <c r="AH231" s="37" t="s">
        <v>1082</v>
      </c>
      <c r="AI231" s="37" t="s">
        <v>1083</v>
      </c>
      <c r="AN231" s="37" t="s">
        <v>1080</v>
      </c>
      <c r="AO231" s="63" t="s">
        <v>520</v>
      </c>
    </row>
    <row r="232" spans="1:42" s="18" customFormat="1" x14ac:dyDescent="0.2">
      <c r="A232" s="18" t="s">
        <v>510</v>
      </c>
      <c r="B232" s="18" t="s">
        <v>1053</v>
      </c>
      <c r="C232" s="33" t="s">
        <v>1052</v>
      </c>
      <c r="D232" s="18" t="s">
        <v>2406</v>
      </c>
      <c r="E232" s="18" t="s">
        <v>1052</v>
      </c>
      <c r="F232" s="33" t="s">
        <v>2547</v>
      </c>
      <c r="G232" s="355">
        <v>7331423007172</v>
      </c>
      <c r="H232" s="355"/>
      <c r="I232" s="355"/>
      <c r="J232" s="194" t="s">
        <v>261</v>
      </c>
      <c r="K232" s="194" t="s">
        <v>977</v>
      </c>
      <c r="L232" s="5">
        <v>9.99</v>
      </c>
      <c r="M232" s="18">
        <v>12</v>
      </c>
      <c r="N232" s="187">
        <v>72</v>
      </c>
      <c r="O232" s="33">
        <f>CONVERT(57,"g","lbm")</f>
        <v>0.12566348944538022</v>
      </c>
      <c r="P232" s="33">
        <v>6.6</v>
      </c>
      <c r="Q232" s="33">
        <v>2.8</v>
      </c>
      <c r="R232" s="33">
        <v>2</v>
      </c>
      <c r="S232" s="44">
        <f>CONVERT(120,"g","lbm")</f>
        <v>0.26455471462185309</v>
      </c>
      <c r="T232" s="33">
        <v>6.75</v>
      </c>
      <c r="U232" s="33">
        <v>2.5</v>
      </c>
      <c r="V232" s="70">
        <v>3.75</v>
      </c>
      <c r="W232" s="33">
        <f>CONVERT(1590,"g","lbm")</f>
        <v>3.5053499687395533</v>
      </c>
      <c r="X232" s="33">
        <v>11.25</v>
      </c>
      <c r="Y232" s="33">
        <v>6.875</v>
      </c>
      <c r="Z232" s="33">
        <v>8.75</v>
      </c>
      <c r="AA232" s="44">
        <v>15.3</v>
      </c>
      <c r="AB232" s="33">
        <v>20.5625</v>
      </c>
      <c r="AC232" s="33">
        <v>11.5</v>
      </c>
      <c r="AD232" s="70">
        <v>17.375</v>
      </c>
      <c r="AE232" s="33">
        <f t="shared" si="6"/>
        <v>2.3776878074363426</v>
      </c>
      <c r="AF232" s="18" t="s">
        <v>1058</v>
      </c>
      <c r="AG232" s="18" t="s">
        <v>1061</v>
      </c>
      <c r="AH232" s="18" t="s">
        <v>1059</v>
      </c>
      <c r="AI232" s="18" t="s">
        <v>1060</v>
      </c>
      <c r="AN232" s="18" t="s">
        <v>1057</v>
      </c>
      <c r="AO232" s="18" t="s">
        <v>520</v>
      </c>
    </row>
    <row r="233" spans="1:42" s="18" customFormat="1" x14ac:dyDescent="0.2">
      <c r="A233" s="18" t="s">
        <v>510</v>
      </c>
      <c r="B233" s="33" t="s">
        <v>1016</v>
      </c>
      <c r="C233" s="33" t="s">
        <v>343</v>
      </c>
      <c r="D233" s="34" t="s">
        <v>1541</v>
      </c>
      <c r="E233" s="33" t="s">
        <v>654</v>
      </c>
      <c r="F233" s="33" t="s">
        <v>2547</v>
      </c>
      <c r="G233" s="77">
        <v>7331423001590</v>
      </c>
      <c r="H233" s="77"/>
      <c r="I233" s="77"/>
      <c r="J233" s="36" t="s">
        <v>261</v>
      </c>
      <c r="K233" s="36" t="s">
        <v>977</v>
      </c>
      <c r="L233" s="5">
        <v>9.99</v>
      </c>
      <c r="M233" s="35">
        <v>6</v>
      </c>
      <c r="N233" s="187">
        <v>72</v>
      </c>
      <c r="O233" s="33">
        <f>CONVERT(40,"g","lbm")</f>
        <v>8.8184904873951031E-2</v>
      </c>
      <c r="P233" s="33">
        <v>2.8</v>
      </c>
      <c r="Q233" s="33">
        <v>2.8</v>
      </c>
      <c r="R233" s="33">
        <v>1.2</v>
      </c>
      <c r="S233" s="44">
        <f>CONVERT(55,"g","lbm")</f>
        <v>0.12125424420168267</v>
      </c>
      <c r="T233" s="33">
        <v>4</v>
      </c>
      <c r="U233" s="33">
        <v>1</v>
      </c>
      <c r="V233" s="70">
        <v>7.8125</v>
      </c>
      <c r="W233" s="44">
        <f>CONVERT(395,"g","lbm")</f>
        <v>0.87082593563026645</v>
      </c>
      <c r="X233" s="33">
        <v>4.125</v>
      </c>
      <c r="Y233" s="33">
        <v>4.6875</v>
      </c>
      <c r="Z233" s="33">
        <v>8.5</v>
      </c>
      <c r="AA233" s="44">
        <v>18.2</v>
      </c>
      <c r="AB233" s="33">
        <v>14.25</v>
      </c>
      <c r="AC233" s="33">
        <v>8.875</v>
      </c>
      <c r="AD233" s="70">
        <v>17.5</v>
      </c>
      <c r="AE233" s="33">
        <f t="shared" si="6"/>
        <v>1.2807888454861112</v>
      </c>
      <c r="AF233" s="24" t="s">
        <v>2743</v>
      </c>
      <c r="AG233" s="18" t="s">
        <v>2744</v>
      </c>
      <c r="AH233" s="19" t="s">
        <v>2745</v>
      </c>
      <c r="AI233" s="19" t="s">
        <v>2746</v>
      </c>
      <c r="AJ233" s="37" t="s">
        <v>2747</v>
      </c>
      <c r="AK233" s="37" t="s">
        <v>2748</v>
      </c>
      <c r="AL233" s="24" t="s">
        <v>277</v>
      </c>
      <c r="AM233" s="19" t="s">
        <v>579</v>
      </c>
      <c r="AN233" s="38" t="s">
        <v>2749</v>
      </c>
      <c r="AO233" s="94" t="s">
        <v>2750</v>
      </c>
    </row>
    <row r="234" spans="1:42" s="18" customFormat="1" x14ac:dyDescent="0.2">
      <c r="A234" s="18" t="s">
        <v>510</v>
      </c>
      <c r="B234" s="33" t="s">
        <v>1016</v>
      </c>
      <c r="C234" s="33" t="s">
        <v>2660</v>
      </c>
      <c r="D234" s="34" t="s">
        <v>1541</v>
      </c>
      <c r="E234" s="33" t="s">
        <v>653</v>
      </c>
      <c r="F234" s="33" t="s">
        <v>2547</v>
      </c>
      <c r="G234" s="77">
        <v>7331423004522</v>
      </c>
      <c r="H234" s="77"/>
      <c r="I234" s="77"/>
      <c r="J234" s="36" t="s">
        <v>261</v>
      </c>
      <c r="K234" s="36" t="s">
        <v>977</v>
      </c>
      <c r="L234" s="5">
        <v>9.99</v>
      </c>
      <c r="M234" s="35">
        <v>6</v>
      </c>
      <c r="N234" s="187">
        <v>72</v>
      </c>
      <c r="O234" s="33">
        <f>CONVERT(40,"g","lbm")</f>
        <v>8.8184904873951031E-2</v>
      </c>
      <c r="P234" s="33">
        <v>2.8</v>
      </c>
      <c r="Q234" s="33">
        <v>2.8</v>
      </c>
      <c r="R234" s="33">
        <v>1.2</v>
      </c>
      <c r="S234" s="44">
        <f>CONVERT(55,"g","lbm")</f>
        <v>0.12125424420168267</v>
      </c>
      <c r="T234" s="33">
        <v>4</v>
      </c>
      <c r="U234" s="33">
        <v>1</v>
      </c>
      <c r="V234" s="70">
        <v>7.8125</v>
      </c>
      <c r="W234" s="44">
        <f>CONVERT(395,"g","lbm")</f>
        <v>0.87082593563026645</v>
      </c>
      <c r="X234" s="33">
        <v>4.125</v>
      </c>
      <c r="Y234" s="33">
        <v>4.6875</v>
      </c>
      <c r="Z234" s="33">
        <v>8.5</v>
      </c>
      <c r="AA234" s="44">
        <v>18.2</v>
      </c>
      <c r="AB234" s="33">
        <v>14.25</v>
      </c>
      <c r="AC234" s="33">
        <v>8.875</v>
      </c>
      <c r="AD234" s="70">
        <v>17.5</v>
      </c>
      <c r="AE234" s="33">
        <f t="shared" si="6"/>
        <v>1.2807888454861112</v>
      </c>
      <c r="AF234" s="24" t="s">
        <v>2743</v>
      </c>
      <c r="AG234" s="18" t="s">
        <v>2744</v>
      </c>
      <c r="AH234" s="19" t="s">
        <v>2745</v>
      </c>
      <c r="AI234" s="19" t="s">
        <v>2746</v>
      </c>
      <c r="AJ234" s="37" t="s">
        <v>2747</v>
      </c>
      <c r="AK234" s="37" t="s">
        <v>2748</v>
      </c>
      <c r="AL234" s="24" t="s">
        <v>277</v>
      </c>
      <c r="AM234" s="19" t="s">
        <v>579</v>
      </c>
      <c r="AN234" s="38" t="s">
        <v>2749</v>
      </c>
      <c r="AO234" s="94" t="s">
        <v>2750</v>
      </c>
    </row>
    <row r="235" spans="1:42" s="18" customFormat="1" x14ac:dyDescent="0.2">
      <c r="A235" s="18" t="s">
        <v>510</v>
      </c>
      <c r="B235" s="33" t="s">
        <v>1016</v>
      </c>
      <c r="C235" s="33" t="s">
        <v>1031</v>
      </c>
      <c r="D235" s="34" t="s">
        <v>1541</v>
      </c>
      <c r="E235" s="33" t="s">
        <v>486</v>
      </c>
      <c r="F235" s="33" t="s">
        <v>2547</v>
      </c>
      <c r="G235" s="77">
        <v>7331423001927</v>
      </c>
      <c r="H235" s="77"/>
      <c r="I235" s="77"/>
      <c r="J235" s="36" t="s">
        <v>261</v>
      </c>
      <c r="K235" s="36" t="s">
        <v>977</v>
      </c>
      <c r="L235" s="5">
        <v>9.99</v>
      </c>
      <c r="M235" s="35">
        <v>6</v>
      </c>
      <c r="N235" s="187">
        <v>72</v>
      </c>
      <c r="O235" s="33">
        <f>CONVERT(40,"g","lbm")</f>
        <v>8.8184904873951031E-2</v>
      </c>
      <c r="P235" s="33">
        <v>2.8</v>
      </c>
      <c r="Q235" s="33">
        <v>2.8</v>
      </c>
      <c r="R235" s="33">
        <v>1.2</v>
      </c>
      <c r="S235" s="44">
        <f>CONVERT(55,"g","lbm")</f>
        <v>0.12125424420168267</v>
      </c>
      <c r="T235" s="33">
        <v>4</v>
      </c>
      <c r="U235" s="33">
        <v>1</v>
      </c>
      <c r="V235" s="70">
        <v>7.8125</v>
      </c>
      <c r="W235" s="44">
        <f>CONVERT(395,"g","lbm")</f>
        <v>0.87082593563026645</v>
      </c>
      <c r="X235" s="33">
        <v>4.125</v>
      </c>
      <c r="Y235" s="33">
        <v>4.6875</v>
      </c>
      <c r="Z235" s="33">
        <v>8.5</v>
      </c>
      <c r="AA235" s="44">
        <v>18.2</v>
      </c>
      <c r="AB235" s="33">
        <v>14.25</v>
      </c>
      <c r="AC235" s="33">
        <v>8.875</v>
      </c>
      <c r="AD235" s="70">
        <v>17.5</v>
      </c>
      <c r="AE235" s="33">
        <f t="shared" si="6"/>
        <v>1.2807888454861112</v>
      </c>
      <c r="AF235" s="24" t="s">
        <v>2743</v>
      </c>
      <c r="AG235" s="18" t="s">
        <v>2744</v>
      </c>
      <c r="AH235" s="19" t="s">
        <v>2745</v>
      </c>
      <c r="AI235" s="19" t="s">
        <v>2746</v>
      </c>
      <c r="AJ235" s="37" t="s">
        <v>2747</v>
      </c>
      <c r="AK235" s="37" t="s">
        <v>2748</v>
      </c>
      <c r="AL235" s="24" t="s">
        <v>277</v>
      </c>
      <c r="AM235" s="19" t="s">
        <v>579</v>
      </c>
      <c r="AN235" s="38" t="s">
        <v>2749</v>
      </c>
      <c r="AO235" s="94" t="s">
        <v>2750</v>
      </c>
    </row>
    <row r="236" spans="1:42" s="18" customFormat="1" x14ac:dyDescent="0.2">
      <c r="A236" s="18" t="s">
        <v>510</v>
      </c>
      <c r="B236" s="19" t="s">
        <v>943</v>
      </c>
      <c r="C236" s="33" t="s">
        <v>1054</v>
      </c>
      <c r="D236" s="19" t="s">
        <v>2419</v>
      </c>
      <c r="E236" s="18" t="s">
        <v>2825</v>
      </c>
      <c r="F236" s="18" t="s">
        <v>2547</v>
      </c>
      <c r="G236" s="77">
        <v>7331423006175</v>
      </c>
      <c r="H236" s="77">
        <v>7331423006175</v>
      </c>
      <c r="I236" s="77">
        <v>7331423006175</v>
      </c>
      <c r="J236" s="36" t="s">
        <v>568</v>
      </c>
      <c r="K236" s="36" t="s">
        <v>977</v>
      </c>
      <c r="L236" s="5">
        <v>7.99</v>
      </c>
      <c r="M236" s="35">
        <v>24</v>
      </c>
      <c r="N236" s="187">
        <v>144</v>
      </c>
      <c r="O236" s="99">
        <f>CONVERT(10,"g","lbm")</f>
        <v>2.2046226218487758E-2</v>
      </c>
      <c r="P236" s="100">
        <v>6.5</v>
      </c>
      <c r="Q236" s="100">
        <v>1.375</v>
      </c>
      <c r="R236" s="101">
        <v>0.75</v>
      </c>
      <c r="S236" s="44">
        <f>CONVERT(0.034,"kg","lbm")</f>
        <v>7.4957169142858382E-2</v>
      </c>
      <c r="T236" s="33">
        <f>CONVERT(65,"mm","in")</f>
        <v>2.5590551181102366</v>
      </c>
      <c r="U236" s="33">
        <f>CONVERT(29,"mm","in")</f>
        <v>1.1417322834645671</v>
      </c>
      <c r="V236" s="70">
        <f>CONVERT(242,"mm","in")</f>
        <v>9.5275590551181111</v>
      </c>
      <c r="W236" s="44">
        <f>CONVERT(0.4762,"kg","lbm")</f>
        <v>1.049841292524387</v>
      </c>
      <c r="X236" s="33">
        <f>CONVERT(146,"mm","in")</f>
        <v>5.7480314960629926</v>
      </c>
      <c r="Y236" s="33">
        <f>CONVERT(117,"mm","in")</f>
        <v>4.6062992125984259</v>
      </c>
      <c r="Z236" s="70">
        <f>CONVERT(247,"mm","in")</f>
        <v>9.7244094488188981</v>
      </c>
      <c r="AA236" s="44">
        <f>CONVERT(3.179,"kg","lbm")</f>
        <v>7.0084953148572575</v>
      </c>
      <c r="AB236" s="33">
        <f>CONVERT(350,"mm","in")</f>
        <v>13.779527559055117</v>
      </c>
      <c r="AC236" s="33">
        <f>CONVERT(305,"mm","in")</f>
        <v>12.007874015748031</v>
      </c>
      <c r="AD236" s="70">
        <f>CONVERT(261,"mm","in")</f>
        <v>10.275590551181102</v>
      </c>
      <c r="AE236" s="44">
        <f t="shared" si="6"/>
        <v>0.98392841552743471</v>
      </c>
      <c r="AF236" s="37" t="s">
        <v>2759</v>
      </c>
      <c r="AG236" s="18" t="s">
        <v>2978</v>
      </c>
      <c r="AH236" s="37" t="s">
        <v>2959</v>
      </c>
      <c r="AI236" s="37" t="s">
        <v>1849</v>
      </c>
      <c r="AJ236" s="37" t="s">
        <v>2960</v>
      </c>
      <c r="AK236" s="37" t="s">
        <v>2961</v>
      </c>
      <c r="AL236" s="37" t="s">
        <v>2979</v>
      </c>
      <c r="AM236" s="37" t="s">
        <v>2963</v>
      </c>
      <c r="AN236" s="12" t="s">
        <v>2967</v>
      </c>
      <c r="AO236" s="18" t="s">
        <v>2909</v>
      </c>
      <c r="AP236" s="94" t="s">
        <v>2908</v>
      </c>
    </row>
    <row r="237" spans="1:42" s="18" customFormat="1" x14ac:dyDescent="0.2">
      <c r="A237" s="18" t="s">
        <v>510</v>
      </c>
      <c r="B237" s="33" t="s">
        <v>1135</v>
      </c>
      <c r="C237" s="33" t="s">
        <v>373</v>
      </c>
      <c r="D237" s="34" t="s">
        <v>2431</v>
      </c>
      <c r="E237" s="33" t="s">
        <v>220</v>
      </c>
      <c r="F237" s="33" t="s">
        <v>2520</v>
      </c>
      <c r="G237" s="36" t="s">
        <v>1140</v>
      </c>
      <c r="H237" s="36" t="s">
        <v>259</v>
      </c>
      <c r="I237" s="36" t="s">
        <v>1140</v>
      </c>
      <c r="J237" s="36" t="s">
        <v>568</v>
      </c>
      <c r="K237" s="36" t="s">
        <v>977</v>
      </c>
      <c r="L237" s="5">
        <v>19.989999999999998</v>
      </c>
      <c r="M237" s="35">
        <v>1</v>
      </c>
      <c r="N237" s="187">
        <v>12</v>
      </c>
      <c r="O237" s="44">
        <f>CONVERT(180,"g","lbm")</f>
        <v>0.39683207193277964</v>
      </c>
      <c r="P237" s="33">
        <v>3.25</v>
      </c>
      <c r="Q237" s="33">
        <v>3.375</v>
      </c>
      <c r="R237" s="70">
        <v>10</v>
      </c>
      <c r="S237" s="44">
        <f>CONVERT(180,"g","lbm")</f>
        <v>0.39683207193277964</v>
      </c>
      <c r="T237" s="33">
        <v>3.25</v>
      </c>
      <c r="U237" s="33">
        <v>3.375</v>
      </c>
      <c r="V237" s="70">
        <v>10</v>
      </c>
      <c r="W237" s="44" t="s">
        <v>259</v>
      </c>
      <c r="X237" s="33" t="s">
        <v>259</v>
      </c>
      <c r="Y237" s="33" t="s">
        <v>259</v>
      </c>
      <c r="Z237" s="70" t="s">
        <v>259</v>
      </c>
      <c r="AA237" s="44">
        <f>CONVERT(2570,"g","lbm")</f>
        <v>5.6658801381513539</v>
      </c>
      <c r="AB237" s="33">
        <v>19.25</v>
      </c>
      <c r="AC237" s="33">
        <v>10.5</v>
      </c>
      <c r="AD237" s="70">
        <v>7.75</v>
      </c>
      <c r="AE237" s="44">
        <f t="shared" si="6"/>
        <v>0.90652126736111116</v>
      </c>
      <c r="AF237" s="18" t="s">
        <v>2994</v>
      </c>
      <c r="AG237" s="18" t="s">
        <v>2995</v>
      </c>
      <c r="AH237" s="18" t="s">
        <v>2996</v>
      </c>
      <c r="AI237" s="18" t="s">
        <v>2997</v>
      </c>
      <c r="AJ237" s="18" t="s">
        <v>1142</v>
      </c>
      <c r="AK237" s="18" t="s">
        <v>2998</v>
      </c>
      <c r="AL237" s="18" t="s">
        <v>2999</v>
      </c>
      <c r="AM237" s="18" t="s">
        <v>2993</v>
      </c>
      <c r="AN237" s="204" t="s">
        <v>2992</v>
      </c>
      <c r="AO237" s="18" t="s">
        <v>2909</v>
      </c>
      <c r="AP237" s="94" t="s">
        <v>2908</v>
      </c>
    </row>
    <row r="238" spans="1:42" s="18" customFormat="1" x14ac:dyDescent="0.2">
      <c r="A238" s="18" t="s">
        <v>510</v>
      </c>
      <c r="B238" s="33" t="s">
        <v>1135</v>
      </c>
      <c r="C238" s="33" t="s">
        <v>1054</v>
      </c>
      <c r="D238" s="34" t="s">
        <v>2431</v>
      </c>
      <c r="E238" s="33" t="s">
        <v>2791</v>
      </c>
      <c r="F238" s="33" t="s">
        <v>2520</v>
      </c>
      <c r="G238" s="36" t="s">
        <v>1532</v>
      </c>
      <c r="H238" s="36" t="s">
        <v>259</v>
      </c>
      <c r="I238" s="36" t="s">
        <v>1532</v>
      </c>
      <c r="J238" s="36" t="s">
        <v>568</v>
      </c>
      <c r="K238" s="36" t="s">
        <v>977</v>
      </c>
      <c r="L238" s="5">
        <v>19.989999999999998</v>
      </c>
      <c r="M238" s="35">
        <v>1</v>
      </c>
      <c r="N238" s="187">
        <v>12</v>
      </c>
      <c r="O238" s="44">
        <f>CONVERT(180,"g","lbm")</f>
        <v>0.39683207193277964</v>
      </c>
      <c r="P238" s="33">
        <v>3.25</v>
      </c>
      <c r="Q238" s="33">
        <v>3.375</v>
      </c>
      <c r="R238" s="70">
        <v>10</v>
      </c>
      <c r="S238" s="44">
        <f>CONVERT(180,"g","lbm")</f>
        <v>0.39683207193277964</v>
      </c>
      <c r="T238" s="33">
        <v>3.25</v>
      </c>
      <c r="U238" s="33">
        <v>3.375</v>
      </c>
      <c r="V238" s="70">
        <v>10</v>
      </c>
      <c r="W238" s="44" t="s">
        <v>259</v>
      </c>
      <c r="X238" s="33" t="s">
        <v>259</v>
      </c>
      <c r="Y238" s="33" t="s">
        <v>259</v>
      </c>
      <c r="Z238" s="70" t="s">
        <v>259</v>
      </c>
      <c r="AA238" s="44">
        <f>CONVERT(2570,"g","lbm")</f>
        <v>5.6658801381513539</v>
      </c>
      <c r="AB238" s="33">
        <v>19.25</v>
      </c>
      <c r="AC238" s="33">
        <v>10.5</v>
      </c>
      <c r="AD238" s="70">
        <v>7.75</v>
      </c>
      <c r="AE238" s="44">
        <f t="shared" si="6"/>
        <v>0.90652126736111116</v>
      </c>
      <c r="AF238" s="18" t="s">
        <v>2994</v>
      </c>
      <c r="AG238" s="18" t="s">
        <v>2995</v>
      </c>
      <c r="AH238" s="18" t="s">
        <v>2996</v>
      </c>
      <c r="AI238" s="18" t="s">
        <v>2997</v>
      </c>
      <c r="AJ238" s="18" t="s">
        <v>1142</v>
      </c>
      <c r="AK238" s="18" t="s">
        <v>2998</v>
      </c>
      <c r="AL238" s="18" t="s">
        <v>2999</v>
      </c>
      <c r="AM238" s="18" t="s">
        <v>2993</v>
      </c>
      <c r="AN238" s="204" t="s">
        <v>2992</v>
      </c>
      <c r="AO238" s="18" t="s">
        <v>2909</v>
      </c>
      <c r="AP238" s="94" t="s">
        <v>2908</v>
      </c>
    </row>
    <row r="239" spans="1:42" s="18" customFormat="1" x14ac:dyDescent="0.2">
      <c r="A239" s="18" t="s">
        <v>510</v>
      </c>
      <c r="B239" s="33" t="s">
        <v>1048</v>
      </c>
      <c r="C239" s="33" t="s">
        <v>373</v>
      </c>
      <c r="D239" s="19" t="s">
        <v>2407</v>
      </c>
      <c r="E239" s="33" t="s">
        <v>220</v>
      </c>
      <c r="F239" s="33" t="s">
        <v>2558</v>
      </c>
      <c r="G239" s="77">
        <v>7331423006960</v>
      </c>
      <c r="H239" s="77" t="s">
        <v>259</v>
      </c>
      <c r="I239" s="77">
        <v>7331423006960</v>
      </c>
      <c r="J239" s="36" t="s">
        <v>568</v>
      </c>
      <c r="K239" s="36" t="s">
        <v>977</v>
      </c>
      <c r="L239" s="5">
        <v>19.989999999999998</v>
      </c>
      <c r="M239" s="35">
        <v>1</v>
      </c>
      <c r="N239" s="187">
        <v>12</v>
      </c>
      <c r="O239" s="33">
        <f>CONVERT(281,"g","lbm")</f>
        <v>0.61949895673950595</v>
      </c>
      <c r="P239" s="33">
        <v>7.6</v>
      </c>
      <c r="Q239" s="33">
        <v>7.6</v>
      </c>
      <c r="R239" s="70">
        <v>2.4</v>
      </c>
      <c r="S239" s="44">
        <v>0.72</v>
      </c>
      <c r="T239" s="33">
        <v>7.875</v>
      </c>
      <c r="U239" s="33">
        <v>2.5</v>
      </c>
      <c r="V239" s="70">
        <v>8.5</v>
      </c>
      <c r="W239" s="44" t="s">
        <v>259</v>
      </c>
      <c r="X239" s="33" t="s">
        <v>259</v>
      </c>
      <c r="Y239" s="33" t="s">
        <v>259</v>
      </c>
      <c r="Z239" s="70" t="s">
        <v>259</v>
      </c>
      <c r="AA239" s="44">
        <v>9.8000000000000007</v>
      </c>
      <c r="AB239" s="33">
        <v>23.625</v>
      </c>
      <c r="AC239" s="33">
        <v>15.25</v>
      </c>
      <c r="AD239" s="70">
        <v>6.25</v>
      </c>
      <c r="AE239" s="44">
        <f t="shared" si="6"/>
        <v>1.3031005859375</v>
      </c>
      <c r="AF239" s="37" t="s">
        <v>2752</v>
      </c>
      <c r="AG239" s="37" t="s">
        <v>2753</v>
      </c>
      <c r="AH239" s="37" t="s">
        <v>2748</v>
      </c>
      <c r="AI239" s="18" t="s">
        <v>1143</v>
      </c>
      <c r="AJ239" s="18" t="s">
        <v>3011</v>
      </c>
      <c r="AN239" s="196" t="s">
        <v>3010</v>
      </c>
      <c r="AO239" s="18" t="s">
        <v>2909</v>
      </c>
      <c r="AP239" s="94" t="s">
        <v>2908</v>
      </c>
    </row>
    <row r="240" spans="1:42" s="18" customFormat="1" x14ac:dyDescent="0.2">
      <c r="A240" s="18" t="s">
        <v>510</v>
      </c>
      <c r="B240" s="19" t="s">
        <v>1051</v>
      </c>
      <c r="C240" s="33" t="s">
        <v>2820</v>
      </c>
      <c r="D240" s="19" t="s">
        <v>2405</v>
      </c>
      <c r="E240" s="33" t="s">
        <v>2823</v>
      </c>
      <c r="F240" s="33" t="s">
        <v>2547</v>
      </c>
      <c r="G240" s="47">
        <v>7331423005772</v>
      </c>
      <c r="H240" s="47"/>
      <c r="I240" s="47"/>
      <c r="J240" s="36" t="s">
        <v>568</v>
      </c>
      <c r="K240" s="36" t="s">
        <v>977</v>
      </c>
      <c r="L240" s="5">
        <v>8.99</v>
      </c>
      <c r="M240" s="35">
        <v>12</v>
      </c>
      <c r="N240" s="187">
        <v>72</v>
      </c>
      <c r="O240" s="33">
        <f>CONVERT(38,"g","lbm")</f>
        <v>8.3775659630253477E-2</v>
      </c>
      <c r="P240" s="33">
        <v>4</v>
      </c>
      <c r="Q240" s="33">
        <v>4</v>
      </c>
      <c r="R240" s="70">
        <v>1.6</v>
      </c>
      <c r="S240" s="44">
        <f>CONVERT(80,"g","lbm")</f>
        <v>0.17636980974790206</v>
      </c>
      <c r="T240" s="33">
        <v>4.25</v>
      </c>
      <c r="U240" s="33">
        <v>2.5</v>
      </c>
      <c r="V240" s="70">
        <v>5.125</v>
      </c>
      <c r="W240" s="44">
        <f>CONVERT(1080,"g","lbm")</f>
        <v>2.3809924315966779</v>
      </c>
      <c r="X240" s="33">
        <v>11.0625</v>
      </c>
      <c r="Y240" s="33">
        <v>4.75</v>
      </c>
      <c r="Z240" s="70">
        <v>9.75</v>
      </c>
      <c r="AA240" s="44">
        <v>15.35</v>
      </c>
      <c r="AB240" s="33">
        <v>15</v>
      </c>
      <c r="AC240" s="33">
        <v>11.375</v>
      </c>
      <c r="AD240" s="70">
        <v>20</v>
      </c>
      <c r="AE240" s="44">
        <f t="shared" si="6"/>
        <v>1.9748263888888888</v>
      </c>
      <c r="AF240" s="18" t="s">
        <v>3031</v>
      </c>
      <c r="AG240" s="37" t="s">
        <v>1055</v>
      </c>
      <c r="AH240" s="37" t="s">
        <v>3019</v>
      </c>
      <c r="AI240" s="37" t="s">
        <v>3020</v>
      </c>
      <c r="AJ240" s="37" t="s">
        <v>3021</v>
      </c>
      <c r="AK240" s="37" t="s">
        <v>2748</v>
      </c>
      <c r="AL240" s="37" t="s">
        <v>3030</v>
      </c>
      <c r="AM240" s="40" t="s">
        <v>3022</v>
      </c>
      <c r="AN240" s="558" t="s">
        <v>1056</v>
      </c>
      <c r="AO240" s="18" t="s">
        <v>2909</v>
      </c>
      <c r="AP240" s="94" t="s">
        <v>2908</v>
      </c>
    </row>
    <row r="241" spans="1:43" s="18" customFormat="1" x14ac:dyDescent="0.2">
      <c r="A241" s="18" t="s">
        <v>510</v>
      </c>
      <c r="B241" s="19" t="s">
        <v>1051</v>
      </c>
      <c r="C241" s="33" t="s">
        <v>1054</v>
      </c>
      <c r="D241" s="19" t="s">
        <v>2405</v>
      </c>
      <c r="E241" s="33" t="s">
        <v>2862</v>
      </c>
      <c r="F241" s="33" t="s">
        <v>2547</v>
      </c>
      <c r="G241" s="47">
        <v>7331423005796</v>
      </c>
      <c r="H241" s="47"/>
      <c r="I241" s="47"/>
      <c r="J241" s="36" t="s">
        <v>568</v>
      </c>
      <c r="K241" s="36" t="s">
        <v>977</v>
      </c>
      <c r="L241" s="5">
        <v>8.99</v>
      </c>
      <c r="M241" s="35">
        <v>12</v>
      </c>
      <c r="N241" s="187">
        <v>72</v>
      </c>
      <c r="O241" s="33"/>
      <c r="P241" s="33"/>
      <c r="Q241" s="33"/>
      <c r="R241" s="70"/>
      <c r="S241" s="44">
        <f>CONVERT(80,"g","lbm")</f>
        <v>0.17636980974790206</v>
      </c>
      <c r="T241" s="33">
        <v>4.25</v>
      </c>
      <c r="U241" s="33">
        <v>2.5</v>
      </c>
      <c r="V241" s="70">
        <v>5.125</v>
      </c>
      <c r="W241" s="44">
        <f>CONVERT(1080,"g","lbm")</f>
        <v>2.3809924315966779</v>
      </c>
      <c r="X241" s="33">
        <v>11.0625</v>
      </c>
      <c r="Y241" s="33">
        <v>4.75</v>
      </c>
      <c r="Z241" s="70">
        <v>9.75</v>
      </c>
      <c r="AA241" s="44">
        <v>15.35</v>
      </c>
      <c r="AB241" s="33">
        <v>15</v>
      </c>
      <c r="AC241" s="33">
        <v>11.375</v>
      </c>
      <c r="AD241" s="70">
        <v>20</v>
      </c>
      <c r="AE241" s="44">
        <f t="shared" si="6"/>
        <v>1.9748263888888888</v>
      </c>
      <c r="AF241" s="18" t="s">
        <v>3031</v>
      </c>
      <c r="AG241" s="37" t="s">
        <v>1055</v>
      </c>
      <c r="AH241" s="37" t="s">
        <v>3019</v>
      </c>
      <c r="AI241" s="37" t="s">
        <v>3020</v>
      </c>
      <c r="AJ241" s="37" t="s">
        <v>3021</v>
      </c>
      <c r="AK241" s="37" t="s">
        <v>2748</v>
      </c>
      <c r="AL241" s="37" t="s">
        <v>3030</v>
      </c>
      <c r="AM241" s="40" t="s">
        <v>3022</v>
      </c>
      <c r="AN241" s="558" t="s">
        <v>1056</v>
      </c>
      <c r="AO241" s="18" t="s">
        <v>2909</v>
      </c>
      <c r="AP241" s="94" t="s">
        <v>2908</v>
      </c>
    </row>
    <row r="242" spans="1:43" s="18" customFormat="1" x14ac:dyDescent="0.2">
      <c r="A242" s="18" t="s">
        <v>510</v>
      </c>
      <c r="B242" s="33" t="s">
        <v>1016</v>
      </c>
      <c r="C242" s="33" t="s">
        <v>373</v>
      </c>
      <c r="D242" s="34" t="s">
        <v>1541</v>
      </c>
      <c r="E242" s="33" t="s">
        <v>220</v>
      </c>
      <c r="F242" s="33" t="s">
        <v>2547</v>
      </c>
      <c r="G242" s="77">
        <v>7331423001644</v>
      </c>
      <c r="H242" s="77">
        <v>7331423001644</v>
      </c>
      <c r="I242" s="77">
        <v>7331423001644</v>
      </c>
      <c r="J242" s="36" t="s">
        <v>568</v>
      </c>
      <c r="K242" s="36" t="s">
        <v>977</v>
      </c>
      <c r="L242" s="5">
        <v>9.99</v>
      </c>
      <c r="M242" s="35">
        <v>12</v>
      </c>
      <c r="N242" s="187">
        <v>96</v>
      </c>
      <c r="O242" s="33">
        <f>CONVERT(40,"g","lbm")</f>
        <v>8.8184904873951031E-2</v>
      </c>
      <c r="P242" s="33">
        <v>2.8</v>
      </c>
      <c r="Q242" s="33">
        <v>2.8</v>
      </c>
      <c r="R242" s="70">
        <v>1.2</v>
      </c>
      <c r="S242" s="44">
        <f>CONVERT(55,"g","lbm")</f>
        <v>0.12125424420168267</v>
      </c>
      <c r="T242" s="33">
        <v>4</v>
      </c>
      <c r="U242" s="33">
        <v>1</v>
      </c>
      <c r="V242" s="70">
        <v>7.8125</v>
      </c>
      <c r="W242" s="44">
        <f>CONVERT(395,"g","lbm")</f>
        <v>0.87082593563026645</v>
      </c>
      <c r="X242" s="33">
        <v>4.125</v>
      </c>
      <c r="Y242" s="33">
        <v>4.6875</v>
      </c>
      <c r="Z242" s="70">
        <v>8.5</v>
      </c>
      <c r="AA242" s="44">
        <v>18.2</v>
      </c>
      <c r="AB242" s="33">
        <v>14.25</v>
      </c>
      <c r="AC242" s="33">
        <v>8.875</v>
      </c>
      <c r="AD242" s="70">
        <v>17.5</v>
      </c>
      <c r="AE242" s="44">
        <f>AB242*AC242*AD242/(12^3)</f>
        <v>1.2807888454861112</v>
      </c>
      <c r="AF242" s="24" t="s">
        <v>2743</v>
      </c>
      <c r="AG242" s="18" t="s">
        <v>2744</v>
      </c>
      <c r="AH242" s="19" t="s">
        <v>2745</v>
      </c>
      <c r="AI242" s="19" t="s">
        <v>2746</v>
      </c>
      <c r="AJ242" s="37" t="s">
        <v>2747</v>
      </c>
      <c r="AK242" s="37" t="s">
        <v>2748</v>
      </c>
      <c r="AL242" s="24" t="s">
        <v>3034</v>
      </c>
      <c r="AM242" s="19" t="s">
        <v>3035</v>
      </c>
      <c r="AN242" s="38" t="s">
        <v>3036</v>
      </c>
      <c r="AO242" s="18" t="s">
        <v>2909</v>
      </c>
      <c r="AP242" s="94" t="s">
        <v>2908</v>
      </c>
    </row>
    <row r="243" spans="1:43" s="18" customFormat="1" x14ac:dyDescent="0.2">
      <c r="A243" s="18" t="s">
        <v>510</v>
      </c>
      <c r="B243" s="33" t="s">
        <v>1016</v>
      </c>
      <c r="C243" s="33" t="s">
        <v>372</v>
      </c>
      <c r="D243" s="34" t="s">
        <v>1541</v>
      </c>
      <c r="E243" s="33" t="s">
        <v>483</v>
      </c>
      <c r="F243" s="33" t="s">
        <v>2547</v>
      </c>
      <c r="G243" s="77">
        <v>7331423001620</v>
      </c>
      <c r="H243" s="77">
        <v>7331423001620</v>
      </c>
      <c r="I243" s="77">
        <v>7331423001620</v>
      </c>
      <c r="J243" s="36" t="s">
        <v>568</v>
      </c>
      <c r="K243" s="36" t="s">
        <v>977</v>
      </c>
      <c r="L243" s="5">
        <v>9.99</v>
      </c>
      <c r="M243" s="35">
        <v>12</v>
      </c>
      <c r="N243" s="187">
        <v>96</v>
      </c>
      <c r="O243" s="33">
        <f>CONVERT(40,"g","lbm")</f>
        <v>8.8184904873951031E-2</v>
      </c>
      <c r="P243" s="33">
        <v>2.8</v>
      </c>
      <c r="Q243" s="33">
        <v>2.8</v>
      </c>
      <c r="R243" s="70">
        <v>1.2</v>
      </c>
      <c r="S243" s="44">
        <f>CONVERT(55,"g","lbm")</f>
        <v>0.12125424420168267</v>
      </c>
      <c r="T243" s="33">
        <v>4</v>
      </c>
      <c r="U243" s="33">
        <v>1</v>
      </c>
      <c r="V243" s="70">
        <v>7.8125</v>
      </c>
      <c r="W243" s="44">
        <f>CONVERT(395,"g","lbm")</f>
        <v>0.87082593563026645</v>
      </c>
      <c r="X243" s="33">
        <v>4.125</v>
      </c>
      <c r="Y243" s="33">
        <v>4.6875</v>
      </c>
      <c r="Z243" s="70">
        <v>8.5</v>
      </c>
      <c r="AA243" s="44">
        <v>18.2</v>
      </c>
      <c r="AB243" s="33">
        <v>14.25</v>
      </c>
      <c r="AC243" s="33">
        <v>8.875</v>
      </c>
      <c r="AD243" s="70">
        <v>17.5</v>
      </c>
      <c r="AE243" s="44">
        <f>AB243*AC243*AD243/(12^3)</f>
        <v>1.2807888454861112</v>
      </c>
      <c r="AF243" s="24" t="s">
        <v>2743</v>
      </c>
      <c r="AG243" s="18" t="s">
        <v>2744</v>
      </c>
      <c r="AH243" s="19" t="s">
        <v>2745</v>
      </c>
      <c r="AI243" s="19" t="s">
        <v>2746</v>
      </c>
      <c r="AJ243" s="37" t="s">
        <v>2747</v>
      </c>
      <c r="AK243" s="37" t="s">
        <v>2748</v>
      </c>
      <c r="AL243" s="24" t="s">
        <v>3034</v>
      </c>
      <c r="AM243" s="19" t="s">
        <v>3035</v>
      </c>
      <c r="AN243" s="38" t="s">
        <v>3036</v>
      </c>
      <c r="AO243" s="18" t="s">
        <v>2909</v>
      </c>
      <c r="AP243" s="94" t="s">
        <v>2908</v>
      </c>
    </row>
    <row r="244" spans="1:43" s="18" customFormat="1" x14ac:dyDescent="0.2">
      <c r="A244" s="18" t="s">
        <v>510</v>
      </c>
      <c r="B244" s="33" t="s">
        <v>1049</v>
      </c>
      <c r="C244" s="33" t="s">
        <v>1054</v>
      </c>
      <c r="D244" s="19" t="s">
        <v>2408</v>
      </c>
      <c r="E244" s="33" t="s">
        <v>2791</v>
      </c>
      <c r="F244" s="33" t="s">
        <v>2558</v>
      </c>
      <c r="G244" s="77">
        <v>7331423006915</v>
      </c>
      <c r="H244" s="77" t="s">
        <v>259</v>
      </c>
      <c r="I244" s="77">
        <v>7331423206919</v>
      </c>
      <c r="J244" s="36" t="s">
        <v>568</v>
      </c>
      <c r="K244" s="36" t="s">
        <v>977</v>
      </c>
      <c r="L244" s="5">
        <v>29.99</v>
      </c>
      <c r="M244" s="35">
        <v>1</v>
      </c>
      <c r="N244" s="187">
        <v>12</v>
      </c>
      <c r="O244" s="33">
        <f t="shared" ref="O244" si="8">CONVERT(384,"g","lbm")</f>
        <v>0.84657508678992988</v>
      </c>
      <c r="P244" s="33">
        <v>7.6</v>
      </c>
      <c r="Q244" s="33">
        <v>7.6</v>
      </c>
      <c r="R244" s="70">
        <v>2.4</v>
      </c>
      <c r="S244" s="44">
        <v>0.91</v>
      </c>
      <c r="T244" s="33">
        <v>7.875</v>
      </c>
      <c r="U244" s="33">
        <v>2.5</v>
      </c>
      <c r="V244" s="70">
        <v>8.5</v>
      </c>
      <c r="W244" s="44" t="s">
        <v>259</v>
      </c>
      <c r="X244" s="33" t="s">
        <v>259</v>
      </c>
      <c r="Y244" s="33" t="s">
        <v>259</v>
      </c>
      <c r="Z244" s="70" t="s">
        <v>259</v>
      </c>
      <c r="AA244" s="44">
        <v>12.1</v>
      </c>
      <c r="AB244" s="33">
        <v>23.625</v>
      </c>
      <c r="AC244" s="33">
        <v>15.25</v>
      </c>
      <c r="AD244" s="70">
        <v>6.25</v>
      </c>
      <c r="AE244" s="44">
        <f t="shared" ref="AE244" si="9">AB244*AC244*AD244/(12^3)</f>
        <v>1.3031005859375</v>
      </c>
      <c r="AF244" s="37" t="s">
        <v>2754</v>
      </c>
      <c r="AG244" s="37" t="s">
        <v>2753</v>
      </c>
      <c r="AH244" s="37" t="s">
        <v>2748</v>
      </c>
      <c r="AI244" s="18" t="s">
        <v>1143</v>
      </c>
      <c r="AJ244" s="18" t="s">
        <v>3004</v>
      </c>
      <c r="AN244" s="37" t="s">
        <v>2755</v>
      </c>
      <c r="AO244" s="18" t="s">
        <v>2909</v>
      </c>
      <c r="AP244" s="94" t="s">
        <v>2908</v>
      </c>
    </row>
    <row r="245" spans="1:43" s="18" customFormat="1" x14ac:dyDescent="0.2">
      <c r="A245" s="18" t="s">
        <v>510</v>
      </c>
      <c r="B245" s="33" t="s">
        <v>153</v>
      </c>
      <c r="C245" s="33" t="s">
        <v>374</v>
      </c>
      <c r="D245" s="34" t="s">
        <v>2416</v>
      </c>
      <c r="E245" s="33" t="s">
        <v>219</v>
      </c>
      <c r="F245" s="33" t="s">
        <v>2558</v>
      </c>
      <c r="G245" s="77">
        <v>7331423002443</v>
      </c>
      <c r="H245" s="77"/>
      <c r="I245" s="77"/>
      <c r="J245" s="36" t="s">
        <v>568</v>
      </c>
      <c r="K245" s="36" t="s">
        <v>977</v>
      </c>
      <c r="L245" s="5">
        <v>3.99</v>
      </c>
      <c r="M245" s="35">
        <v>24</v>
      </c>
      <c r="N245" s="187">
        <v>144</v>
      </c>
      <c r="O245" s="44">
        <f>CONVERT(15,"g","lbm")</f>
        <v>3.3069339327731637E-2</v>
      </c>
      <c r="P245" s="33">
        <v>7.875</v>
      </c>
      <c r="Q245" s="33">
        <v>1.625</v>
      </c>
      <c r="R245" s="70">
        <v>1.25</v>
      </c>
      <c r="S245" s="44">
        <v>0.1</v>
      </c>
      <c r="T245" s="33">
        <v>2.75</v>
      </c>
      <c r="U245" s="33">
        <v>1</v>
      </c>
      <c r="V245" s="70">
        <v>8.875</v>
      </c>
      <c r="W245" s="44">
        <v>1.5</v>
      </c>
      <c r="X245" s="33">
        <v>8.75</v>
      </c>
      <c r="Y245" s="33">
        <v>5</v>
      </c>
      <c r="Z245" s="70">
        <v>9.5</v>
      </c>
      <c r="AA245" s="91">
        <v>13.25</v>
      </c>
      <c r="AB245" s="87">
        <v>9.5</v>
      </c>
      <c r="AC245" s="87">
        <v>15.25</v>
      </c>
      <c r="AD245" s="70">
        <v>17</v>
      </c>
      <c r="AE245" s="44">
        <f>AB245*AC245*AD245/(12^3)</f>
        <v>1.4252748842592593</v>
      </c>
      <c r="AF245" s="37" t="s">
        <v>2976</v>
      </c>
      <c r="AG245" s="37" t="s">
        <v>2977</v>
      </c>
      <c r="AH245" s="37" t="s">
        <v>2959</v>
      </c>
      <c r="AI245" s="37" t="s">
        <v>1849</v>
      </c>
      <c r="AJ245" s="37" t="s">
        <v>2980</v>
      </c>
      <c r="AK245" s="37" t="s">
        <v>2961</v>
      </c>
      <c r="AL245" s="37" t="s">
        <v>2979</v>
      </c>
      <c r="AM245" s="37" t="s">
        <v>2981</v>
      </c>
      <c r="AN245" s="37" t="s">
        <v>2974</v>
      </c>
      <c r="AO245" s="18" t="s">
        <v>2909</v>
      </c>
      <c r="AP245" s="94" t="s">
        <v>2908</v>
      </c>
    </row>
    <row r="246" spans="1:43" s="37" customFormat="1" x14ac:dyDescent="0.2">
      <c r="A246" s="18" t="s">
        <v>510</v>
      </c>
      <c r="B246" s="216" t="s">
        <v>2095</v>
      </c>
      <c r="C246" s="33" t="s">
        <v>529</v>
      </c>
      <c r="D246" s="558" t="s">
        <v>2878</v>
      </c>
      <c r="E246" s="37" t="s">
        <v>2870</v>
      </c>
      <c r="F246" s="37" t="s">
        <v>2522</v>
      </c>
      <c r="G246" s="109">
        <v>7331423009305</v>
      </c>
      <c r="H246" s="109">
        <v>7331423202188</v>
      </c>
      <c r="I246" s="109">
        <v>17331423202383</v>
      </c>
      <c r="J246" s="36" t="s">
        <v>568</v>
      </c>
      <c r="K246" s="253" t="s">
        <v>977</v>
      </c>
      <c r="L246" s="218">
        <v>12.99</v>
      </c>
      <c r="M246" s="37">
        <v>1</v>
      </c>
      <c r="N246" s="237">
        <v>36</v>
      </c>
      <c r="O246" s="139">
        <v>0.18</v>
      </c>
      <c r="P246" s="139" t="s">
        <v>259</v>
      </c>
      <c r="Q246" s="139" t="s">
        <v>259</v>
      </c>
      <c r="R246" s="186" t="s">
        <v>259</v>
      </c>
      <c r="S246" s="44">
        <v>8</v>
      </c>
      <c r="T246" s="33">
        <v>8.6999999999999993</v>
      </c>
      <c r="U246" s="33">
        <v>12</v>
      </c>
      <c r="V246" s="70">
        <v>13.8</v>
      </c>
      <c r="W246" s="44" t="s">
        <v>259</v>
      </c>
      <c r="X246" s="33" t="s">
        <v>259</v>
      </c>
      <c r="Y246" s="33" t="s">
        <v>259</v>
      </c>
      <c r="Z246" s="70" t="s">
        <v>259</v>
      </c>
      <c r="AA246" s="44">
        <v>8.75</v>
      </c>
      <c r="AB246" s="33">
        <v>12.5</v>
      </c>
      <c r="AC246" s="33">
        <v>9</v>
      </c>
      <c r="AD246" s="70">
        <v>14.5</v>
      </c>
      <c r="AE246" s="44">
        <f>AB246*AC246*AD246/(12^3)</f>
        <v>0.94401041666666663</v>
      </c>
      <c r="AF246" s="37" t="s">
        <v>3294</v>
      </c>
      <c r="AN246" s="18" t="s">
        <v>2909</v>
      </c>
      <c r="AO246" s="94" t="s">
        <v>2908</v>
      </c>
    </row>
    <row r="247" spans="1:43" s="18" customFormat="1" x14ac:dyDescent="0.2">
      <c r="A247" s="18" t="s">
        <v>510</v>
      </c>
      <c r="B247" s="33" t="s">
        <v>386</v>
      </c>
      <c r="C247" s="33" t="s">
        <v>374</v>
      </c>
      <c r="D247" s="34" t="s">
        <v>2401</v>
      </c>
      <c r="E247" s="18" t="s">
        <v>219</v>
      </c>
      <c r="F247" s="18" t="s">
        <v>2547</v>
      </c>
      <c r="G247" s="77">
        <v>7331423001057</v>
      </c>
      <c r="H247" s="77">
        <v>7331423100088</v>
      </c>
      <c r="I247" s="77">
        <v>7331423200245</v>
      </c>
      <c r="J247" s="28" t="s">
        <v>1044</v>
      </c>
      <c r="K247" s="36" t="s">
        <v>977</v>
      </c>
      <c r="L247" s="5">
        <v>9.99</v>
      </c>
      <c r="M247" s="35">
        <v>12</v>
      </c>
      <c r="N247" s="187">
        <v>72</v>
      </c>
      <c r="O247" s="33">
        <f>CONVERT(0.5,"ozm","lbm")</f>
        <v>3.125E-2</v>
      </c>
      <c r="P247" s="33">
        <v>0.75</v>
      </c>
      <c r="Q247" s="33">
        <f>5/16</f>
        <v>0.3125</v>
      </c>
      <c r="R247" s="70">
        <v>3</v>
      </c>
      <c r="S247" s="44">
        <v>0.05</v>
      </c>
      <c r="T247" s="33">
        <v>3</v>
      </c>
      <c r="U247" s="33">
        <v>0.625</v>
      </c>
      <c r="V247" s="70">
        <v>6.125</v>
      </c>
      <c r="W247" s="44">
        <v>0.75</v>
      </c>
      <c r="X247" s="33">
        <v>8</v>
      </c>
      <c r="Y247" s="33">
        <v>3.25</v>
      </c>
      <c r="Z247" s="70">
        <v>6</v>
      </c>
      <c r="AA247" s="44">
        <v>5</v>
      </c>
      <c r="AB247" s="33">
        <v>16.25</v>
      </c>
      <c r="AC247" s="33">
        <v>10.25</v>
      </c>
      <c r="AD247" s="70">
        <v>6.5</v>
      </c>
      <c r="AE247" s="44">
        <f>AB247*AC247*AD247/(12^3)</f>
        <v>0.62653718171296291</v>
      </c>
      <c r="AF247" s="37" t="s">
        <v>2906</v>
      </c>
      <c r="AG247" s="37" t="s">
        <v>2925</v>
      </c>
      <c r="AH247" s="37" t="s">
        <v>2917</v>
      </c>
      <c r="AI247" s="18" t="s">
        <v>2918</v>
      </c>
      <c r="AJ247" s="40" t="s">
        <v>2920</v>
      </c>
      <c r="AK247" s="40" t="s">
        <v>2926</v>
      </c>
      <c r="AM247" s="37"/>
      <c r="AN247" s="37" t="s">
        <v>2927</v>
      </c>
      <c r="AO247" s="18" t="s">
        <v>2909</v>
      </c>
      <c r="AP247" s="94" t="s">
        <v>2908</v>
      </c>
    </row>
    <row r="248" spans="1:43" s="18" customFormat="1" x14ac:dyDescent="0.2">
      <c r="A248" s="18" t="s">
        <v>510</v>
      </c>
      <c r="B248" s="37" t="s">
        <v>688</v>
      </c>
      <c r="C248" s="33" t="s">
        <v>286</v>
      </c>
      <c r="D248" s="57" t="s">
        <v>2397</v>
      </c>
      <c r="E248" s="57" t="s">
        <v>648</v>
      </c>
      <c r="F248" s="18" t="s">
        <v>2547</v>
      </c>
      <c r="G248" s="66">
        <v>7331423004379</v>
      </c>
      <c r="H248" s="66"/>
      <c r="I248" s="66"/>
      <c r="J248" s="66"/>
      <c r="K248" s="28" t="s">
        <v>1044</v>
      </c>
      <c r="L248" s="5">
        <v>7.99</v>
      </c>
      <c r="M248" s="5">
        <v>14.99</v>
      </c>
      <c r="N248" s="35">
        <v>6</v>
      </c>
      <c r="O248" s="187">
        <v>72</v>
      </c>
      <c r="P248" s="33">
        <f>CONVERT(27,"g","lbm")</f>
        <v>5.9524810789916942E-2</v>
      </c>
      <c r="Q248" s="33">
        <f>CONVERT(24,"mm","in")</f>
        <v>0.94488188976377963</v>
      </c>
      <c r="R248" s="33">
        <f>CONVERT(14,"mm","in")</f>
        <v>0.55118110236220474</v>
      </c>
      <c r="S248" s="70">
        <f>CONVERT(77,"mm","in")</f>
        <v>3.0314960629921264</v>
      </c>
      <c r="T248" s="44">
        <f>CONVERT(0.05,"kg","lbm")</f>
        <v>0.11023113109243879</v>
      </c>
      <c r="U248" s="33">
        <f>CONVERT(103,"mm","in")</f>
        <v>4.0551181102362204</v>
      </c>
      <c r="V248" s="33">
        <f>CONVERT(19,"mm","in")</f>
        <v>0.74803149606299213</v>
      </c>
      <c r="W248" s="70">
        <f>CONVERT(200,"mm","in")</f>
        <v>7.8740157480314963</v>
      </c>
      <c r="X248" s="44">
        <f>CONVERT(0.3483,"kg","lbm")</f>
        <v>0.76787005918992857</v>
      </c>
      <c r="Y248" s="33">
        <f>CONVERT(104,"mm","in")</f>
        <v>4.0944881889763778</v>
      </c>
      <c r="Z248" s="33">
        <f>CONVERT(116,"mm","in")</f>
        <v>4.5669291338582685</v>
      </c>
      <c r="AA248" s="70">
        <f>CONVERT(215,"mm","in")</f>
        <v>8.4645669291338574</v>
      </c>
      <c r="AB248" s="44">
        <f>CONVERT(4.544,"kg","lbm")</f>
        <v>10.017805193680836</v>
      </c>
      <c r="AC248" s="33">
        <f>CONVERT(364,"mm","in")</f>
        <v>14.330708661417322</v>
      </c>
      <c r="AD248" s="33">
        <f>CONVERT(222,"mm","in")</f>
        <v>8.7401574803149611</v>
      </c>
      <c r="AE248" s="70">
        <f>CONVERT(440,"mm","in")</f>
        <v>17.322834645669293</v>
      </c>
      <c r="AF248" s="44">
        <f t="shared" ref="AF248:AF271" si="10">AC248*AD248*AE248/(12^3)</f>
        <v>1.2556313389092222</v>
      </c>
      <c r="AG248" s="37" t="s">
        <v>2906</v>
      </c>
      <c r="AH248" s="37" t="s">
        <v>2916</v>
      </c>
      <c r="AI248" s="37" t="s">
        <v>2917</v>
      </c>
      <c r="AJ248" s="18" t="s">
        <v>2918</v>
      </c>
      <c r="AK248" s="40" t="s">
        <v>2919</v>
      </c>
      <c r="AL248" s="40" t="s">
        <v>2920</v>
      </c>
      <c r="AM248" s="40" t="s">
        <v>2921</v>
      </c>
      <c r="AN248" s="40"/>
      <c r="AO248" s="37" t="s">
        <v>2924</v>
      </c>
      <c r="AP248" s="18" t="s">
        <v>2909</v>
      </c>
      <c r="AQ248" s="94" t="s">
        <v>2908</v>
      </c>
    </row>
    <row r="249" spans="1:43" s="18" customFormat="1" x14ac:dyDescent="0.2">
      <c r="A249" s="18" t="s">
        <v>510</v>
      </c>
      <c r="B249" s="19" t="s">
        <v>381</v>
      </c>
      <c r="C249" s="33" t="s">
        <v>369</v>
      </c>
      <c r="D249" s="19" t="s">
        <v>2399</v>
      </c>
      <c r="E249" s="18" t="s">
        <v>222</v>
      </c>
      <c r="F249" s="18" t="s">
        <v>2547</v>
      </c>
      <c r="G249" s="47">
        <v>7331423003105</v>
      </c>
      <c r="H249" s="47">
        <v>7331423100040</v>
      </c>
      <c r="I249" s="47">
        <v>7331423200207</v>
      </c>
      <c r="J249" s="47">
        <v>17331423201904</v>
      </c>
      <c r="K249" s="28" t="s">
        <v>1044</v>
      </c>
      <c r="L249" s="5">
        <v>7.99</v>
      </c>
      <c r="M249" s="5">
        <v>14.99</v>
      </c>
      <c r="N249" s="35">
        <v>12</v>
      </c>
      <c r="O249" s="187">
        <v>72</v>
      </c>
      <c r="P249" s="33"/>
      <c r="Q249" s="33">
        <v>0.9375</v>
      </c>
      <c r="R249" s="33">
        <v>0.6875</v>
      </c>
      <c r="S249" s="70">
        <v>3</v>
      </c>
      <c r="T249" s="44">
        <v>0.1</v>
      </c>
      <c r="U249" s="33">
        <v>2.75</v>
      </c>
      <c r="V249" s="33">
        <v>0.625</v>
      </c>
      <c r="W249" s="70">
        <v>5.6875</v>
      </c>
      <c r="X249" s="44">
        <v>1.05</v>
      </c>
      <c r="Y249" s="33">
        <v>8</v>
      </c>
      <c r="Z249" s="33">
        <v>3.25</v>
      </c>
      <c r="AA249" s="70">
        <v>6</v>
      </c>
      <c r="AB249" s="44">
        <v>6.9</v>
      </c>
      <c r="AC249" s="33">
        <v>16.25</v>
      </c>
      <c r="AD249" s="33">
        <v>10.25</v>
      </c>
      <c r="AE249" s="70">
        <v>6.5</v>
      </c>
      <c r="AF249" s="44">
        <f t="shared" si="10"/>
        <v>0.62653718171296291</v>
      </c>
      <c r="AG249" s="37" t="s">
        <v>2906</v>
      </c>
      <c r="AH249" s="37" t="s">
        <v>2916</v>
      </c>
      <c r="AI249" s="37" t="s">
        <v>2917</v>
      </c>
      <c r="AJ249" s="18" t="s">
        <v>2918</v>
      </c>
      <c r="AK249" s="40" t="s">
        <v>2920</v>
      </c>
      <c r="AL249" s="40" t="s">
        <v>2928</v>
      </c>
      <c r="AN249" s="37"/>
      <c r="AO249" s="37" t="s">
        <v>2927</v>
      </c>
      <c r="AP249" s="18" t="s">
        <v>2909</v>
      </c>
      <c r="AQ249" s="94" t="s">
        <v>2908</v>
      </c>
    </row>
    <row r="250" spans="1:43" s="18" customFormat="1" x14ac:dyDescent="0.2">
      <c r="A250" s="18" t="s">
        <v>510</v>
      </c>
      <c r="B250" s="19" t="s">
        <v>380</v>
      </c>
      <c r="C250" s="33" t="s">
        <v>383</v>
      </c>
      <c r="D250" s="19" t="s">
        <v>2400</v>
      </c>
      <c r="E250" s="18" t="s">
        <v>484</v>
      </c>
      <c r="F250" s="18" t="s">
        <v>2547</v>
      </c>
      <c r="G250" s="47">
        <v>7331423002108</v>
      </c>
      <c r="H250" s="47">
        <v>7331423002108</v>
      </c>
      <c r="I250" s="47">
        <v>7331423002108</v>
      </c>
      <c r="J250" s="47" t="s">
        <v>259</v>
      </c>
      <c r="K250" s="28" t="s">
        <v>1044</v>
      </c>
      <c r="L250" s="5">
        <v>11.99</v>
      </c>
      <c r="M250" s="5">
        <v>22.99</v>
      </c>
      <c r="N250" s="35">
        <v>12</v>
      </c>
      <c r="O250" s="187">
        <v>72</v>
      </c>
      <c r="P250" s="33"/>
      <c r="Q250" s="33">
        <v>0.9375</v>
      </c>
      <c r="R250" s="33">
        <v>0.625</v>
      </c>
      <c r="S250" s="70">
        <v>3.375</v>
      </c>
      <c r="T250" s="44">
        <v>0.1</v>
      </c>
      <c r="U250" s="33">
        <v>3.125</v>
      </c>
      <c r="V250" s="33">
        <v>0.625</v>
      </c>
      <c r="W250" s="70">
        <v>5.875</v>
      </c>
      <c r="X250" s="44">
        <v>1.55</v>
      </c>
      <c r="Y250" s="33">
        <v>8</v>
      </c>
      <c r="Z250" s="33">
        <v>3.25</v>
      </c>
      <c r="AA250" s="70">
        <v>6</v>
      </c>
      <c r="AB250" s="44">
        <v>10</v>
      </c>
      <c r="AC250" s="33">
        <v>16.25</v>
      </c>
      <c r="AD250" s="33">
        <v>10.125</v>
      </c>
      <c r="AE250" s="70">
        <v>6.625</v>
      </c>
      <c r="AF250" s="44">
        <f t="shared" si="10"/>
        <v>0.63079833984375</v>
      </c>
      <c r="AG250" s="37" t="s">
        <v>2906</v>
      </c>
      <c r="AH250" s="37" t="s">
        <v>2922</v>
      </c>
      <c r="AI250" s="37" t="s">
        <v>2917</v>
      </c>
      <c r="AJ250" s="18" t="s">
        <v>2918</v>
      </c>
      <c r="AK250" s="40" t="s">
        <v>2920</v>
      </c>
      <c r="AL250" s="40" t="s">
        <v>2929</v>
      </c>
      <c r="AN250" s="37"/>
      <c r="AO250" s="37" t="s">
        <v>2927</v>
      </c>
      <c r="AP250" s="18" t="s">
        <v>2909</v>
      </c>
      <c r="AQ250" s="94" t="s">
        <v>2908</v>
      </c>
    </row>
    <row r="251" spans="1:43" s="63" customFormat="1" x14ac:dyDescent="0.2">
      <c r="A251" s="18" t="s">
        <v>510</v>
      </c>
      <c r="B251" s="104" t="s">
        <v>2096</v>
      </c>
      <c r="C251" s="33" t="s">
        <v>529</v>
      </c>
      <c r="D251" s="558" t="s">
        <v>2877</v>
      </c>
      <c r="E251" s="63" t="s">
        <v>2867</v>
      </c>
      <c r="F251" s="63" t="s">
        <v>2522</v>
      </c>
      <c r="G251" s="109">
        <v>7331423007851</v>
      </c>
      <c r="H251" s="109" t="s">
        <v>259</v>
      </c>
      <c r="I251" s="109">
        <v>7331423200825</v>
      </c>
      <c r="J251" s="109">
        <v>17331423201959</v>
      </c>
      <c r="K251" s="28" t="s">
        <v>1044</v>
      </c>
      <c r="L251" s="636">
        <v>11.99</v>
      </c>
      <c r="M251" s="636">
        <v>22.99</v>
      </c>
      <c r="N251" s="63">
        <v>1</v>
      </c>
      <c r="O251" s="637">
        <v>24</v>
      </c>
      <c r="P251" s="638">
        <v>0.2</v>
      </c>
      <c r="Q251" s="638" t="s">
        <v>259</v>
      </c>
      <c r="R251" s="638" t="s">
        <v>259</v>
      </c>
      <c r="S251" s="639" t="s">
        <v>259</v>
      </c>
      <c r="T251" s="44">
        <f>CONVERT(3490,"g","lbm")</f>
        <v>7.6941329502522269</v>
      </c>
      <c r="U251" s="33">
        <v>13.25</v>
      </c>
      <c r="V251" s="33">
        <v>10.25</v>
      </c>
      <c r="W251" s="70">
        <v>18.75</v>
      </c>
      <c r="X251" s="44" t="s">
        <v>259</v>
      </c>
      <c r="Y251" s="33" t="s">
        <v>259</v>
      </c>
      <c r="Z251" s="33" t="s">
        <v>259</v>
      </c>
      <c r="AA251" s="70" t="s">
        <v>259</v>
      </c>
      <c r="AB251" s="44">
        <f>CONVERT(3720,"g","lbm")</f>
        <v>8.2011961532774453</v>
      </c>
      <c r="AC251" s="33">
        <v>13.75</v>
      </c>
      <c r="AD251" s="33">
        <v>10.75</v>
      </c>
      <c r="AE251" s="70">
        <v>12.5</v>
      </c>
      <c r="AF251" s="44">
        <f t="shared" si="10"/>
        <v>1.0692455150462963</v>
      </c>
      <c r="AG251" s="63" t="s">
        <v>3295</v>
      </c>
      <c r="AO251" s="18" t="s">
        <v>2909</v>
      </c>
      <c r="AP251" s="94" t="s">
        <v>2908</v>
      </c>
    </row>
    <row r="252" spans="1:43" s="63" customFormat="1" x14ac:dyDescent="0.2">
      <c r="A252" s="18" t="s">
        <v>510</v>
      </c>
      <c r="B252" s="104" t="s">
        <v>2871</v>
      </c>
      <c r="C252" s="33"/>
      <c r="D252" s="558" t="s">
        <v>2879</v>
      </c>
      <c r="E252" s="63" t="s">
        <v>2900</v>
      </c>
      <c r="F252" s="63" t="s">
        <v>2522</v>
      </c>
      <c r="G252" s="109">
        <v>7331423009961</v>
      </c>
      <c r="H252" s="109" t="s">
        <v>259</v>
      </c>
      <c r="I252" s="109">
        <v>7331423202201</v>
      </c>
      <c r="J252" s="109">
        <v>17331423202390</v>
      </c>
      <c r="K252" s="36" t="s">
        <v>568</v>
      </c>
      <c r="L252" s="636">
        <v>12.99</v>
      </c>
      <c r="M252" s="636">
        <v>24.99</v>
      </c>
      <c r="N252" s="63">
        <v>1</v>
      </c>
      <c r="O252" s="637">
        <v>24</v>
      </c>
      <c r="P252" s="44">
        <f>CONVERT(50,"g","lbm")</f>
        <v>0.11023113109243879</v>
      </c>
      <c r="Q252" s="638" t="s">
        <v>259</v>
      </c>
      <c r="R252" s="638" t="s">
        <v>259</v>
      </c>
      <c r="S252" s="639" t="s">
        <v>259</v>
      </c>
      <c r="T252" s="44">
        <f>CONVERT(70,"g","lbm")</f>
        <v>0.1543235835294143</v>
      </c>
      <c r="U252" s="33">
        <v>2.75</v>
      </c>
      <c r="V252" s="33">
        <v>1.5</v>
      </c>
      <c r="W252" s="70">
        <v>8.5</v>
      </c>
      <c r="X252" s="44">
        <v>4.26</v>
      </c>
      <c r="Y252" s="33">
        <v>11.75</v>
      </c>
      <c r="Z252" s="33">
        <v>9.5</v>
      </c>
      <c r="AA252" s="70">
        <v>15</v>
      </c>
      <c r="AB252" s="44">
        <v>4.7699999999999996</v>
      </c>
      <c r="AC252" s="33">
        <v>12.125</v>
      </c>
      <c r="AD252" s="33">
        <v>10.25</v>
      </c>
      <c r="AE252" s="70">
        <v>9.5</v>
      </c>
      <c r="AF252" s="44">
        <f t="shared" si="10"/>
        <v>0.68325918692129628</v>
      </c>
      <c r="AG252" s="63" t="s">
        <v>3296</v>
      </c>
      <c r="AO252" s="94" t="s">
        <v>2908</v>
      </c>
    </row>
    <row r="253" spans="1:43" s="18" customFormat="1" x14ac:dyDescent="0.2">
      <c r="A253" s="18" t="s">
        <v>510</v>
      </c>
      <c r="B253" s="33" t="s">
        <v>1016</v>
      </c>
      <c r="C253" s="33" t="s">
        <v>1741</v>
      </c>
      <c r="D253" s="34" t="s">
        <v>1541</v>
      </c>
      <c r="E253" s="33" t="s">
        <v>2776</v>
      </c>
      <c r="F253" s="33" t="s">
        <v>2547</v>
      </c>
      <c r="G253" s="77">
        <v>7331423008056</v>
      </c>
      <c r="H253" s="77">
        <v>7331423100491</v>
      </c>
      <c r="I253" s="77">
        <v>7331423200726</v>
      </c>
      <c r="J253" s="77">
        <v>17331423200723</v>
      </c>
      <c r="K253" s="36" t="s">
        <v>568</v>
      </c>
      <c r="L253" s="5">
        <v>5.49</v>
      </c>
      <c r="M253" s="5">
        <v>9.99</v>
      </c>
      <c r="N253" s="35">
        <v>6</v>
      </c>
      <c r="O253" s="187">
        <v>72</v>
      </c>
      <c r="P253" s="33">
        <f>CONVERT(40,"g","lbm")</f>
        <v>8.8184904873951031E-2</v>
      </c>
      <c r="Q253" s="33">
        <v>2.8</v>
      </c>
      <c r="R253" s="33">
        <v>2.8</v>
      </c>
      <c r="S253" s="70">
        <v>1.2</v>
      </c>
      <c r="T253" s="44">
        <f>CONVERT(55,"g","lbm")</f>
        <v>0.12125424420168267</v>
      </c>
      <c r="U253" s="33">
        <v>4</v>
      </c>
      <c r="V253" s="33">
        <v>1</v>
      </c>
      <c r="W253" s="70">
        <v>7.8125</v>
      </c>
      <c r="X253" s="44">
        <f>CONVERT(395,"g","lbm")</f>
        <v>0.87082593563026645</v>
      </c>
      <c r="Y253" s="33">
        <v>4.125</v>
      </c>
      <c r="Z253" s="33">
        <v>4.6875</v>
      </c>
      <c r="AA253" s="70">
        <v>8.5</v>
      </c>
      <c r="AB253" s="44">
        <v>18.2</v>
      </c>
      <c r="AC253" s="33">
        <v>14.25</v>
      </c>
      <c r="AD253" s="33">
        <v>8.875</v>
      </c>
      <c r="AE253" s="70">
        <v>17.5</v>
      </c>
      <c r="AF253" s="44">
        <f t="shared" si="10"/>
        <v>1.2807888454861112</v>
      </c>
      <c r="AG253" s="24" t="s">
        <v>2743</v>
      </c>
      <c r="AH253" s="18" t="s">
        <v>2744</v>
      </c>
      <c r="AI253" s="19" t="s">
        <v>2745</v>
      </c>
      <c r="AJ253" s="19" t="s">
        <v>2746</v>
      </c>
      <c r="AK253" s="37" t="s">
        <v>2747</v>
      </c>
      <c r="AL253" s="37" t="s">
        <v>2748</v>
      </c>
      <c r="AM253" s="24" t="s">
        <v>3034</v>
      </c>
      <c r="AN253" s="19" t="s">
        <v>3035</v>
      </c>
      <c r="AO253" s="38" t="s">
        <v>3036</v>
      </c>
      <c r="AP253" s="18" t="s">
        <v>2909</v>
      </c>
      <c r="AQ253" s="94" t="s">
        <v>2908</v>
      </c>
    </row>
    <row r="254" spans="1:43" s="18" customFormat="1" x14ac:dyDescent="0.2">
      <c r="A254" s="18" t="s">
        <v>510</v>
      </c>
      <c r="B254" s="33" t="s">
        <v>244</v>
      </c>
      <c r="C254" s="33" t="s">
        <v>245</v>
      </c>
      <c r="D254" s="34" t="s">
        <v>1575</v>
      </c>
      <c r="E254" s="33" t="s">
        <v>2866</v>
      </c>
      <c r="F254" s="33" t="s">
        <v>2521</v>
      </c>
      <c r="G254" s="77">
        <v>7331423001873</v>
      </c>
      <c r="H254" s="77"/>
      <c r="I254" s="77"/>
      <c r="J254" s="77"/>
      <c r="K254" s="36" t="s">
        <v>568</v>
      </c>
      <c r="L254" s="5"/>
      <c r="M254" s="5">
        <v>9.99</v>
      </c>
      <c r="N254" s="35">
        <v>1</v>
      </c>
      <c r="O254" s="187">
        <v>1</v>
      </c>
      <c r="P254" s="33">
        <f>CONVERT(40,"g","lbm")</f>
        <v>8.8184904873951031E-2</v>
      </c>
      <c r="Q254" s="33">
        <v>2.8</v>
      </c>
      <c r="R254" s="33">
        <v>2.8</v>
      </c>
      <c r="S254" s="70">
        <v>1.2</v>
      </c>
      <c r="T254" s="44">
        <v>0.1</v>
      </c>
      <c r="U254" s="33">
        <v>2.75</v>
      </c>
      <c r="V254" s="33">
        <v>2.75</v>
      </c>
      <c r="W254" s="70">
        <v>1.2</v>
      </c>
      <c r="X254" s="44"/>
      <c r="Y254" s="33"/>
      <c r="Z254" s="33"/>
      <c r="AA254" s="70"/>
      <c r="AB254" s="44">
        <v>5.6</v>
      </c>
      <c r="AC254" s="33">
        <v>8.1</v>
      </c>
      <c r="AD254" s="33">
        <v>8.1</v>
      </c>
      <c r="AE254" s="70">
        <v>7.3</v>
      </c>
      <c r="AF254" s="44">
        <f t="shared" si="10"/>
        <v>0.27717187500000001</v>
      </c>
      <c r="AG254" s="24" t="s">
        <v>3038</v>
      </c>
      <c r="AH254" s="24" t="s">
        <v>2743</v>
      </c>
      <c r="AI254" s="18" t="s">
        <v>3037</v>
      </c>
      <c r="AJ254" s="19" t="s">
        <v>2745</v>
      </c>
      <c r="AK254" s="19" t="s">
        <v>2746</v>
      </c>
      <c r="AL254" s="37" t="s">
        <v>2747</v>
      </c>
      <c r="AM254" s="24" t="s">
        <v>3034</v>
      </c>
      <c r="AN254" s="19" t="s">
        <v>3035</v>
      </c>
      <c r="AO254" s="38" t="s">
        <v>3036</v>
      </c>
      <c r="AP254" s="18" t="s">
        <v>2909</v>
      </c>
      <c r="AQ254" s="94" t="s">
        <v>2908</v>
      </c>
    </row>
    <row r="255" spans="1:43" s="18" customFormat="1" x14ac:dyDescent="0.2">
      <c r="A255" s="18" t="s">
        <v>510</v>
      </c>
      <c r="B255" s="33" t="s">
        <v>1016</v>
      </c>
      <c r="C255" s="33" t="s">
        <v>370</v>
      </c>
      <c r="D255" s="34" t="s">
        <v>1541</v>
      </c>
      <c r="E255" s="33" t="s">
        <v>217</v>
      </c>
      <c r="F255" s="33" t="s">
        <v>2547</v>
      </c>
      <c r="G255" s="77">
        <v>7331423001613</v>
      </c>
      <c r="H255" s="77">
        <v>7331423001613</v>
      </c>
      <c r="I255" s="77">
        <v>7331423001613</v>
      </c>
      <c r="J255" s="77" t="s">
        <v>259</v>
      </c>
      <c r="K255" s="36" t="s">
        <v>568</v>
      </c>
      <c r="L255" s="5">
        <v>5.49</v>
      </c>
      <c r="M255" s="5">
        <v>9.99</v>
      </c>
      <c r="N255" s="35">
        <v>12</v>
      </c>
      <c r="O255" s="187">
        <v>96</v>
      </c>
      <c r="P255" s="33">
        <f>CONVERT(40,"g","lbm")</f>
        <v>8.8184904873951031E-2</v>
      </c>
      <c r="Q255" s="33">
        <v>2.8</v>
      </c>
      <c r="R255" s="33">
        <v>2.8</v>
      </c>
      <c r="S255" s="70">
        <v>1.2</v>
      </c>
      <c r="T255" s="44">
        <f>CONVERT(55,"g","lbm")</f>
        <v>0.12125424420168267</v>
      </c>
      <c r="U255" s="33">
        <v>4</v>
      </c>
      <c r="V255" s="33">
        <v>1</v>
      </c>
      <c r="W255" s="70">
        <v>7.8125</v>
      </c>
      <c r="X255" s="44">
        <f>CONVERT(395,"g","lbm")</f>
        <v>0.87082593563026645</v>
      </c>
      <c r="Y255" s="33">
        <v>4.125</v>
      </c>
      <c r="Z255" s="33">
        <v>4.6875</v>
      </c>
      <c r="AA255" s="70">
        <v>8.5</v>
      </c>
      <c r="AB255" s="44">
        <v>18.2</v>
      </c>
      <c r="AC255" s="33">
        <v>14.25</v>
      </c>
      <c r="AD255" s="33">
        <v>8.875</v>
      </c>
      <c r="AE255" s="70">
        <v>17.5</v>
      </c>
      <c r="AF255" s="44">
        <f t="shared" si="10"/>
        <v>1.2807888454861112</v>
      </c>
      <c r="AG255" s="24" t="s">
        <v>2743</v>
      </c>
      <c r="AH255" s="18" t="s">
        <v>2744</v>
      </c>
      <c r="AI255" s="19" t="s">
        <v>2745</v>
      </c>
      <c r="AJ255" s="19" t="s">
        <v>2746</v>
      </c>
      <c r="AK255" s="37" t="s">
        <v>2747</v>
      </c>
      <c r="AL255" s="37" t="s">
        <v>2748</v>
      </c>
      <c r="AM255" s="24" t="s">
        <v>3034</v>
      </c>
      <c r="AN255" s="19" t="s">
        <v>3035</v>
      </c>
      <c r="AO255" s="38" t="s">
        <v>3036</v>
      </c>
      <c r="AP255" s="18" t="s">
        <v>2909</v>
      </c>
      <c r="AQ255" s="94" t="s">
        <v>2908</v>
      </c>
    </row>
    <row r="256" spans="1:43" s="18" customFormat="1" x14ac:dyDescent="0.2">
      <c r="A256" s="18" t="s">
        <v>510</v>
      </c>
      <c r="B256" s="33" t="s">
        <v>1016</v>
      </c>
      <c r="C256" s="33" t="s">
        <v>369</v>
      </c>
      <c r="D256" s="34" t="s">
        <v>1541</v>
      </c>
      <c r="E256" s="33" t="s">
        <v>222</v>
      </c>
      <c r="F256" s="33" t="s">
        <v>2547</v>
      </c>
      <c r="G256" s="77">
        <v>7331423001606</v>
      </c>
      <c r="H256" s="77">
        <v>7331423001606</v>
      </c>
      <c r="I256" s="77">
        <v>7331423001606</v>
      </c>
      <c r="J256" s="77" t="s">
        <v>259</v>
      </c>
      <c r="K256" s="36" t="s">
        <v>568</v>
      </c>
      <c r="L256" s="5">
        <v>5.49</v>
      </c>
      <c r="M256" s="5">
        <v>9.99</v>
      </c>
      <c r="N256" s="35">
        <v>6</v>
      </c>
      <c r="O256" s="187">
        <v>72</v>
      </c>
      <c r="P256" s="33">
        <f>CONVERT(40,"g","lbm")</f>
        <v>8.8184904873951031E-2</v>
      </c>
      <c r="Q256" s="33">
        <v>2.8</v>
      </c>
      <c r="R256" s="33">
        <v>2.8</v>
      </c>
      <c r="S256" s="70">
        <v>1.2</v>
      </c>
      <c r="T256" s="44">
        <f>CONVERT(55,"g","lbm")</f>
        <v>0.12125424420168267</v>
      </c>
      <c r="U256" s="33">
        <v>4</v>
      </c>
      <c r="V256" s="33">
        <v>1</v>
      </c>
      <c r="W256" s="70">
        <v>7.8125</v>
      </c>
      <c r="X256" s="44">
        <f>CONVERT(395,"g","lbm")</f>
        <v>0.87082593563026645</v>
      </c>
      <c r="Y256" s="33">
        <v>4.125</v>
      </c>
      <c r="Z256" s="33">
        <v>4.6875</v>
      </c>
      <c r="AA256" s="70">
        <v>8.5</v>
      </c>
      <c r="AB256" s="44">
        <v>18.2</v>
      </c>
      <c r="AC256" s="33">
        <v>14.25</v>
      </c>
      <c r="AD256" s="33">
        <v>8.875</v>
      </c>
      <c r="AE256" s="70">
        <v>17.5</v>
      </c>
      <c r="AF256" s="44">
        <f t="shared" si="10"/>
        <v>1.2807888454861112</v>
      </c>
      <c r="AG256" s="24" t="s">
        <v>2743</v>
      </c>
      <c r="AH256" s="18" t="s">
        <v>2744</v>
      </c>
      <c r="AI256" s="19" t="s">
        <v>2745</v>
      </c>
      <c r="AJ256" s="19" t="s">
        <v>2746</v>
      </c>
      <c r="AK256" s="37" t="s">
        <v>2747</v>
      </c>
      <c r="AL256" s="37" t="s">
        <v>2748</v>
      </c>
      <c r="AM256" s="24" t="s">
        <v>3034</v>
      </c>
      <c r="AN256" s="19" t="s">
        <v>3035</v>
      </c>
      <c r="AO256" s="38" t="s">
        <v>3036</v>
      </c>
      <c r="AP256" s="18" t="s">
        <v>2909</v>
      </c>
      <c r="AQ256" s="94" t="s">
        <v>2908</v>
      </c>
    </row>
    <row r="257" spans="1:43" s="18" customFormat="1" x14ac:dyDescent="0.2">
      <c r="A257" s="18" t="s">
        <v>510</v>
      </c>
      <c r="B257" s="18" t="s">
        <v>1053</v>
      </c>
      <c r="C257" s="33" t="s">
        <v>1741</v>
      </c>
      <c r="D257" s="18" t="s">
        <v>2406</v>
      </c>
      <c r="E257" s="33" t="s">
        <v>2828</v>
      </c>
      <c r="F257" s="33" t="s">
        <v>2547</v>
      </c>
      <c r="G257" s="48">
        <v>7331423008179</v>
      </c>
      <c r="H257" s="48">
        <v>7331423100774</v>
      </c>
      <c r="I257" s="48">
        <v>7331423201006</v>
      </c>
      <c r="J257" s="48">
        <v>17331423201003</v>
      </c>
      <c r="K257" s="36" t="s">
        <v>568</v>
      </c>
      <c r="L257" s="5">
        <v>5.99</v>
      </c>
      <c r="M257" s="5">
        <v>9.99</v>
      </c>
      <c r="N257" s="18">
        <v>12</v>
      </c>
      <c r="O257" s="187">
        <v>72</v>
      </c>
      <c r="P257" s="33">
        <f>CONVERT(114,"g","lbm")</f>
        <v>0.25132697889076044</v>
      </c>
      <c r="Q257" s="33">
        <f>CONVERT(168,"mm","in")</f>
        <v>6.6141732283464574</v>
      </c>
      <c r="R257" s="33">
        <f>CONVERT(70,"mm","in")</f>
        <v>2.7559055118110236</v>
      </c>
      <c r="S257" s="70">
        <v>2.5</v>
      </c>
      <c r="T257" s="44">
        <f>CONVERT(120,"g","lbm")</f>
        <v>0.26455471462185309</v>
      </c>
      <c r="U257" s="33">
        <v>6.75</v>
      </c>
      <c r="V257" s="33">
        <v>2.5</v>
      </c>
      <c r="W257" s="70">
        <v>3.75</v>
      </c>
      <c r="X257" s="44">
        <f>CONVERT(1590,"g","lbm")</f>
        <v>3.5053499687395533</v>
      </c>
      <c r="Y257" s="33">
        <v>11.25</v>
      </c>
      <c r="Z257" s="33">
        <v>6.875</v>
      </c>
      <c r="AA257" s="70">
        <v>8.75</v>
      </c>
      <c r="AB257" s="44">
        <v>15.3</v>
      </c>
      <c r="AC257" s="33">
        <v>20.5625</v>
      </c>
      <c r="AD257" s="33">
        <v>11.5</v>
      </c>
      <c r="AE257" s="70">
        <v>17.375</v>
      </c>
      <c r="AF257" s="44">
        <f t="shared" si="10"/>
        <v>2.3776878074363426</v>
      </c>
      <c r="AG257" s="18" t="s">
        <v>3033</v>
      </c>
      <c r="AH257" s="37" t="s">
        <v>1055</v>
      </c>
      <c r="AI257" s="37" t="s">
        <v>3019</v>
      </c>
      <c r="AJ257" s="37" t="s">
        <v>3020</v>
      </c>
      <c r="AK257" s="37" t="s">
        <v>3027</v>
      </c>
      <c r="AL257" s="37" t="s">
        <v>2748</v>
      </c>
      <c r="AM257" s="37" t="s">
        <v>3030</v>
      </c>
      <c r="AN257" s="18" t="s">
        <v>3032</v>
      </c>
      <c r="AO257" s="18" t="s">
        <v>1057</v>
      </c>
      <c r="AP257" s="18" t="s">
        <v>2909</v>
      </c>
      <c r="AQ257" s="94" t="s">
        <v>2908</v>
      </c>
    </row>
    <row r="258" spans="1:43" s="18" customFormat="1" x14ac:dyDescent="0.2">
      <c r="A258" s="18" t="s">
        <v>510</v>
      </c>
      <c r="B258" s="19" t="s">
        <v>1051</v>
      </c>
      <c r="C258" s="33" t="s">
        <v>1741</v>
      </c>
      <c r="D258" s="19" t="s">
        <v>2405</v>
      </c>
      <c r="E258" s="33" t="s">
        <v>2828</v>
      </c>
      <c r="F258" s="33" t="s">
        <v>2547</v>
      </c>
      <c r="G258" s="47">
        <v>7331423008131</v>
      </c>
      <c r="H258" s="47">
        <v>7331423100729</v>
      </c>
      <c r="I258" s="47">
        <v>7331423200955</v>
      </c>
      <c r="J258" s="47">
        <v>17331423200952</v>
      </c>
      <c r="K258" s="36" t="s">
        <v>568</v>
      </c>
      <c r="L258" s="5">
        <v>4.59</v>
      </c>
      <c r="M258" s="5">
        <v>8.99</v>
      </c>
      <c r="N258" s="35">
        <v>12</v>
      </c>
      <c r="O258" s="187">
        <v>72</v>
      </c>
      <c r="P258" s="33">
        <f>CONVERT(76,"g","lbm")</f>
        <v>0.16755131926050695</v>
      </c>
      <c r="Q258" s="33">
        <v>4</v>
      </c>
      <c r="R258" s="33">
        <v>4</v>
      </c>
      <c r="S258" s="70">
        <v>2.375</v>
      </c>
      <c r="T258" s="44">
        <f>CONVERT(80,"g","lbm")</f>
        <v>0.17636980974790206</v>
      </c>
      <c r="U258" s="33">
        <v>4.25</v>
      </c>
      <c r="V258" s="33">
        <v>2.5</v>
      </c>
      <c r="W258" s="70">
        <v>5.125</v>
      </c>
      <c r="X258" s="44">
        <f>CONVERT(1080,"g","lbm")</f>
        <v>2.3809924315966779</v>
      </c>
      <c r="Y258" s="33">
        <v>11.0625</v>
      </c>
      <c r="Z258" s="33">
        <v>4.75</v>
      </c>
      <c r="AA258" s="70">
        <v>9.75</v>
      </c>
      <c r="AB258" s="44">
        <v>15.35</v>
      </c>
      <c r="AC258" s="33">
        <v>15</v>
      </c>
      <c r="AD258" s="33">
        <v>11.375</v>
      </c>
      <c r="AE258" s="70">
        <v>20</v>
      </c>
      <c r="AF258" s="44">
        <f t="shared" si="10"/>
        <v>1.9748263888888888</v>
      </c>
      <c r="AG258" s="18" t="s">
        <v>3031</v>
      </c>
      <c r="AH258" s="37" t="s">
        <v>1055</v>
      </c>
      <c r="AI258" s="37" t="s">
        <v>3019</v>
      </c>
      <c r="AJ258" s="37" t="s">
        <v>3020</v>
      </c>
      <c r="AK258" s="37" t="s">
        <v>3021</v>
      </c>
      <c r="AL258" s="37" t="s">
        <v>2748</v>
      </c>
      <c r="AM258" s="37" t="s">
        <v>3030</v>
      </c>
      <c r="AN258" s="40" t="s">
        <v>3022</v>
      </c>
      <c r="AO258" s="558" t="s">
        <v>1056</v>
      </c>
      <c r="AP258" s="18" t="s">
        <v>2909</v>
      </c>
      <c r="AQ258" s="94" t="s">
        <v>2908</v>
      </c>
    </row>
    <row r="259" spans="1:43" s="18" customFormat="1" x14ac:dyDescent="0.2">
      <c r="A259" s="18" t="s">
        <v>510</v>
      </c>
      <c r="B259" s="18" t="s">
        <v>1053</v>
      </c>
      <c r="C259" s="33" t="s">
        <v>2820</v>
      </c>
      <c r="D259" s="18" t="s">
        <v>2406</v>
      </c>
      <c r="E259" s="18" t="s">
        <v>2823</v>
      </c>
      <c r="F259" s="33" t="s">
        <v>2547</v>
      </c>
      <c r="G259" s="48">
        <v>7331423007165</v>
      </c>
      <c r="H259" s="48"/>
      <c r="I259" s="48"/>
      <c r="J259" s="48"/>
      <c r="K259" s="36" t="s">
        <v>568</v>
      </c>
      <c r="L259" s="5">
        <v>5.99</v>
      </c>
      <c r="M259" s="5">
        <v>9.99</v>
      </c>
      <c r="N259" s="18">
        <v>12</v>
      </c>
      <c r="O259" s="187">
        <v>72</v>
      </c>
      <c r="P259" s="33">
        <f>CONVERT(114,"g","lbm")</f>
        <v>0.25132697889076044</v>
      </c>
      <c r="Q259" s="33">
        <f>CONVERT(168,"mm","in")</f>
        <v>6.6141732283464574</v>
      </c>
      <c r="R259" s="33">
        <f>CONVERT(70,"mm","in")</f>
        <v>2.7559055118110236</v>
      </c>
      <c r="S259" s="70">
        <v>2.5</v>
      </c>
      <c r="T259" s="44">
        <f>CONVERT(120,"g","lbm")</f>
        <v>0.26455471462185309</v>
      </c>
      <c r="U259" s="33">
        <v>6.75</v>
      </c>
      <c r="V259" s="33">
        <v>2.5</v>
      </c>
      <c r="W259" s="70">
        <v>3.75</v>
      </c>
      <c r="X259" s="44">
        <f>CONVERT(1590,"g","lbm")</f>
        <v>3.5053499687395533</v>
      </c>
      <c r="Y259" s="33">
        <v>11.25</v>
      </c>
      <c r="Z259" s="33">
        <v>6.875</v>
      </c>
      <c r="AA259" s="70">
        <v>8.75</v>
      </c>
      <c r="AB259" s="44">
        <v>15.3</v>
      </c>
      <c r="AC259" s="33">
        <v>20.5625</v>
      </c>
      <c r="AD259" s="33">
        <v>11.5</v>
      </c>
      <c r="AE259" s="70">
        <v>17.375</v>
      </c>
      <c r="AF259" s="44">
        <f t="shared" si="10"/>
        <v>2.3776878074363426</v>
      </c>
      <c r="AG259" s="18" t="s">
        <v>3033</v>
      </c>
      <c r="AH259" s="37" t="s">
        <v>1055</v>
      </c>
      <c r="AI259" s="37" t="s">
        <v>3019</v>
      </c>
      <c r="AJ259" s="37" t="s">
        <v>3020</v>
      </c>
      <c r="AK259" s="37" t="s">
        <v>3027</v>
      </c>
      <c r="AL259" s="37" t="s">
        <v>2748</v>
      </c>
      <c r="AM259" s="37" t="s">
        <v>3030</v>
      </c>
      <c r="AN259" s="18" t="s">
        <v>3032</v>
      </c>
      <c r="AO259" s="18" t="s">
        <v>1057</v>
      </c>
      <c r="AP259" s="18" t="s">
        <v>2909</v>
      </c>
      <c r="AQ259" s="94" t="s">
        <v>2908</v>
      </c>
    </row>
    <row r="260" spans="1:43" s="18" customFormat="1" x14ac:dyDescent="0.2">
      <c r="A260" s="18" t="s">
        <v>510</v>
      </c>
      <c r="B260" s="18" t="s">
        <v>1053</v>
      </c>
      <c r="C260" s="33" t="s">
        <v>1054</v>
      </c>
      <c r="D260" s="18" t="s">
        <v>2406</v>
      </c>
      <c r="E260" s="33" t="s">
        <v>2862</v>
      </c>
      <c r="F260" s="33" t="s">
        <v>2547</v>
      </c>
      <c r="G260" s="48">
        <v>7331423007196</v>
      </c>
      <c r="H260" s="48"/>
      <c r="I260" s="48"/>
      <c r="J260" s="48"/>
      <c r="K260" s="36" t="s">
        <v>568</v>
      </c>
      <c r="L260" s="5">
        <v>5.99</v>
      </c>
      <c r="M260" s="5">
        <v>9.99</v>
      </c>
      <c r="N260" s="18">
        <v>12</v>
      </c>
      <c r="O260" s="187">
        <v>72</v>
      </c>
      <c r="P260" s="33">
        <f>CONVERT(114,"g","lbm")</f>
        <v>0.25132697889076044</v>
      </c>
      <c r="Q260" s="33">
        <f>CONVERT(168,"mm","in")</f>
        <v>6.6141732283464574</v>
      </c>
      <c r="R260" s="33">
        <f>CONVERT(70,"mm","in")</f>
        <v>2.7559055118110236</v>
      </c>
      <c r="S260" s="70">
        <v>2.5</v>
      </c>
      <c r="T260" s="44">
        <f>CONVERT(120,"g","lbm")</f>
        <v>0.26455471462185309</v>
      </c>
      <c r="U260" s="33">
        <v>6.75</v>
      </c>
      <c r="V260" s="33">
        <v>2.5</v>
      </c>
      <c r="W260" s="70">
        <v>3.75</v>
      </c>
      <c r="X260" s="44">
        <f>CONVERT(1590,"g","lbm")</f>
        <v>3.5053499687395533</v>
      </c>
      <c r="Y260" s="33">
        <v>11.25</v>
      </c>
      <c r="Z260" s="33">
        <v>6.875</v>
      </c>
      <c r="AA260" s="70">
        <v>8.75</v>
      </c>
      <c r="AB260" s="44">
        <v>15.3</v>
      </c>
      <c r="AC260" s="33">
        <v>20.5625</v>
      </c>
      <c r="AD260" s="33">
        <v>11.5</v>
      </c>
      <c r="AE260" s="70">
        <v>17.375</v>
      </c>
      <c r="AF260" s="44">
        <f t="shared" si="10"/>
        <v>2.3776878074363426</v>
      </c>
      <c r="AG260" s="18" t="s">
        <v>3033</v>
      </c>
      <c r="AH260" s="37" t="s">
        <v>1055</v>
      </c>
      <c r="AI260" s="37" t="s">
        <v>3019</v>
      </c>
      <c r="AJ260" s="37" t="s">
        <v>3020</v>
      </c>
      <c r="AK260" s="37" t="s">
        <v>3027</v>
      </c>
      <c r="AL260" s="37" t="s">
        <v>2748</v>
      </c>
      <c r="AM260" s="37" t="s">
        <v>3030</v>
      </c>
      <c r="AN260" s="18" t="s">
        <v>3032</v>
      </c>
      <c r="AO260" s="18" t="s">
        <v>1057</v>
      </c>
      <c r="AP260" s="18" t="s">
        <v>2909</v>
      </c>
      <c r="AQ260" s="94" t="s">
        <v>2908</v>
      </c>
    </row>
    <row r="261" spans="1:43" s="18" customFormat="1" x14ac:dyDescent="0.2">
      <c r="A261" s="18" t="s">
        <v>510</v>
      </c>
      <c r="B261" s="19" t="s">
        <v>1051</v>
      </c>
      <c r="C261" s="33" t="s">
        <v>2819</v>
      </c>
      <c r="D261" s="19" t="s">
        <v>2405</v>
      </c>
      <c r="E261" s="33" t="s">
        <v>2824</v>
      </c>
      <c r="F261" s="33" t="s">
        <v>2547</v>
      </c>
      <c r="G261" s="47">
        <v>7331423005789</v>
      </c>
      <c r="H261" s="47"/>
      <c r="I261" s="47"/>
      <c r="J261" s="47"/>
      <c r="K261" s="36" t="s">
        <v>568</v>
      </c>
      <c r="L261" s="5">
        <v>4.59</v>
      </c>
      <c r="M261" s="5">
        <v>8.99</v>
      </c>
      <c r="N261" s="35">
        <v>12</v>
      </c>
      <c r="O261" s="187">
        <v>72</v>
      </c>
      <c r="P261" s="33">
        <f>CONVERT(76,"g","lbm")</f>
        <v>0.16755131926050695</v>
      </c>
      <c r="Q261" s="33">
        <v>4</v>
      </c>
      <c r="R261" s="33">
        <v>4</v>
      </c>
      <c r="S261" s="70">
        <v>2.375</v>
      </c>
      <c r="T261" s="44">
        <f>CONVERT(80,"g","lbm")</f>
        <v>0.17636980974790206</v>
      </c>
      <c r="U261" s="33">
        <v>4.25</v>
      </c>
      <c r="V261" s="33">
        <v>2.5</v>
      </c>
      <c r="W261" s="70">
        <v>5.125</v>
      </c>
      <c r="X261" s="44">
        <f>CONVERT(1080,"g","lbm")</f>
        <v>2.3809924315966779</v>
      </c>
      <c r="Y261" s="33">
        <v>11.0625</v>
      </c>
      <c r="Z261" s="33">
        <v>4.75</v>
      </c>
      <c r="AA261" s="70">
        <v>9.75</v>
      </c>
      <c r="AB261" s="44">
        <v>15.35</v>
      </c>
      <c r="AC261" s="33">
        <v>15</v>
      </c>
      <c r="AD261" s="33">
        <v>11.375</v>
      </c>
      <c r="AE261" s="70">
        <v>20</v>
      </c>
      <c r="AF261" s="44">
        <f t="shared" si="10"/>
        <v>1.9748263888888888</v>
      </c>
      <c r="AG261" s="18" t="s">
        <v>3031</v>
      </c>
      <c r="AH261" s="37" t="s">
        <v>1055</v>
      </c>
      <c r="AI261" s="37" t="s">
        <v>3019</v>
      </c>
      <c r="AJ261" s="37" t="s">
        <v>3020</v>
      </c>
      <c r="AK261" s="37" t="s">
        <v>3021</v>
      </c>
      <c r="AL261" s="37" t="s">
        <v>2748</v>
      </c>
      <c r="AM261" s="37" t="s">
        <v>3030</v>
      </c>
      <c r="AN261" s="40" t="s">
        <v>3022</v>
      </c>
      <c r="AO261" s="558" t="s">
        <v>1056</v>
      </c>
      <c r="AP261" s="18" t="s">
        <v>2909</v>
      </c>
      <c r="AQ261" s="94" t="s">
        <v>2908</v>
      </c>
    </row>
    <row r="262" spans="1:43" s="18" customFormat="1" x14ac:dyDescent="0.2">
      <c r="A262" s="18" t="s">
        <v>510</v>
      </c>
      <c r="B262" s="103" t="s">
        <v>1847</v>
      </c>
      <c r="C262" s="33" t="s">
        <v>2666</v>
      </c>
      <c r="D262" s="18" t="s">
        <v>2434</v>
      </c>
      <c r="E262" s="33" t="s">
        <v>2858</v>
      </c>
      <c r="F262" s="33" t="s">
        <v>2864</v>
      </c>
      <c r="G262" s="109">
        <v>7331423008827</v>
      </c>
      <c r="H262" s="109">
        <v>7331423100675</v>
      </c>
      <c r="I262" s="109">
        <v>7331423200900</v>
      </c>
      <c r="J262" s="109">
        <v>17331423200907</v>
      </c>
      <c r="K262" s="36" t="s">
        <v>568</v>
      </c>
      <c r="L262" s="5">
        <v>5.19</v>
      </c>
      <c r="M262" s="5">
        <v>9.99</v>
      </c>
      <c r="N262" s="35">
        <v>6</v>
      </c>
      <c r="O262" s="187">
        <v>36</v>
      </c>
      <c r="P262" s="33">
        <f>CONVERT(134,"g","lbm")</f>
        <v>0.29541943132773596</v>
      </c>
      <c r="Q262" s="33">
        <v>5.9</v>
      </c>
      <c r="R262" s="33">
        <v>6.3</v>
      </c>
      <c r="S262" s="70">
        <v>0.5</v>
      </c>
      <c r="T262" s="44">
        <v>0.3</v>
      </c>
      <c r="U262" s="33">
        <v>6.25</v>
      </c>
      <c r="V262" s="33">
        <v>0.625</v>
      </c>
      <c r="W262" s="70">
        <v>9.125</v>
      </c>
      <c r="X262" s="44">
        <v>1.9</v>
      </c>
      <c r="Y262" s="33">
        <v>8.5</v>
      </c>
      <c r="Z262" s="33">
        <v>3.125</v>
      </c>
      <c r="AA262" s="70">
        <v>6.75</v>
      </c>
      <c r="AB262" s="44">
        <v>12.05</v>
      </c>
      <c r="AC262" s="33">
        <v>16.125</v>
      </c>
      <c r="AD262" s="33">
        <v>10</v>
      </c>
      <c r="AE262" s="70">
        <v>6.75</v>
      </c>
      <c r="AF262" s="44">
        <f t="shared" si="10"/>
        <v>0.6298828125</v>
      </c>
      <c r="AG262" s="18" t="s">
        <v>3028</v>
      </c>
      <c r="AH262" s="18" t="s">
        <v>1846</v>
      </c>
      <c r="AI262" s="18" t="s">
        <v>3020</v>
      </c>
      <c r="AJ262" s="18" t="s">
        <v>3023</v>
      </c>
      <c r="AK262" s="18" t="s">
        <v>1635</v>
      </c>
      <c r="AL262" s="18" t="s">
        <v>3026</v>
      </c>
      <c r="AM262" s="18" t="s">
        <v>3024</v>
      </c>
      <c r="AO262" s="204" t="s">
        <v>3025</v>
      </c>
      <c r="AP262" s="18" t="s">
        <v>2909</v>
      </c>
      <c r="AQ262" s="94" t="s">
        <v>2908</v>
      </c>
    </row>
    <row r="263" spans="1:43" s="18" customFormat="1" x14ac:dyDescent="0.2">
      <c r="A263" s="18" t="s">
        <v>510</v>
      </c>
      <c r="B263" s="33" t="s">
        <v>1760</v>
      </c>
      <c r="C263" s="33" t="s">
        <v>1741</v>
      </c>
      <c r="D263" s="34" t="s">
        <v>2432</v>
      </c>
      <c r="E263" s="33" t="s">
        <v>2786</v>
      </c>
      <c r="F263" s="33" t="s">
        <v>2558</v>
      </c>
      <c r="G263" s="36" t="s">
        <v>1765</v>
      </c>
      <c r="H263" s="77" t="s">
        <v>259</v>
      </c>
      <c r="I263" s="36" t="s">
        <v>2898</v>
      </c>
      <c r="J263" s="36" t="s">
        <v>2856</v>
      </c>
      <c r="K263" s="36" t="s">
        <v>568</v>
      </c>
      <c r="L263" s="5">
        <v>17.989999999999998</v>
      </c>
      <c r="M263" s="5">
        <v>34.99</v>
      </c>
      <c r="N263" s="35">
        <v>1</v>
      </c>
      <c r="O263" s="187">
        <v>12</v>
      </c>
      <c r="P263" s="44">
        <f>CONVERT(262,"g","lbm")</f>
        <v>0.57761112692437921</v>
      </c>
      <c r="Q263" s="33" t="s">
        <v>259</v>
      </c>
      <c r="R263" s="33" t="s">
        <v>259</v>
      </c>
      <c r="S263" s="186" t="s">
        <v>259</v>
      </c>
      <c r="T263" s="44">
        <f>CONVERT(330,"g","lbm")</f>
        <v>0.72752546521009598</v>
      </c>
      <c r="U263" s="33">
        <v>6.125</v>
      </c>
      <c r="V263" s="33">
        <v>3.5</v>
      </c>
      <c r="W263" s="70">
        <v>11.375</v>
      </c>
      <c r="X263" s="44" t="s">
        <v>259</v>
      </c>
      <c r="Y263" s="33" t="s">
        <v>259</v>
      </c>
      <c r="Z263" s="33" t="s">
        <v>259</v>
      </c>
      <c r="AA263" s="70" t="s">
        <v>259</v>
      </c>
      <c r="AB263" s="44">
        <f>CONVERT(4470,"g","lbm")</f>
        <v>9.8546631196640266</v>
      </c>
      <c r="AC263" s="33">
        <v>31</v>
      </c>
      <c r="AD263" s="33">
        <v>12.625</v>
      </c>
      <c r="AE263" s="70">
        <v>7.75</v>
      </c>
      <c r="AF263" s="44">
        <f t="shared" si="10"/>
        <v>1.755298755787037</v>
      </c>
      <c r="AG263" s="18" t="s">
        <v>3015</v>
      </c>
      <c r="AH263" s="18" t="s">
        <v>3016</v>
      </c>
      <c r="AI263" s="18" t="s">
        <v>1143</v>
      </c>
      <c r="AJ263" s="18" t="s">
        <v>3017</v>
      </c>
      <c r="AO263" s="204" t="s">
        <v>3018</v>
      </c>
      <c r="AP263" s="18" t="s">
        <v>2909</v>
      </c>
      <c r="AQ263" s="94" t="s">
        <v>2908</v>
      </c>
    </row>
    <row r="264" spans="1:43" s="18" customFormat="1" x14ac:dyDescent="0.2">
      <c r="A264" s="18" t="s">
        <v>510</v>
      </c>
      <c r="B264" s="103" t="s">
        <v>1771</v>
      </c>
      <c r="C264" s="33" t="s">
        <v>1741</v>
      </c>
      <c r="D264" s="34" t="s">
        <v>2433</v>
      </c>
      <c r="E264" s="33" t="s">
        <v>2786</v>
      </c>
      <c r="F264" s="33" t="s">
        <v>2558</v>
      </c>
      <c r="G264" s="355">
        <v>7331423008322</v>
      </c>
      <c r="H264" s="77" t="s">
        <v>259</v>
      </c>
      <c r="I264" s="355">
        <v>7331423200245</v>
      </c>
      <c r="J264" s="355">
        <v>17331423200242</v>
      </c>
      <c r="K264" s="36" t="s">
        <v>568</v>
      </c>
      <c r="L264" s="5">
        <v>20.99</v>
      </c>
      <c r="M264" s="5">
        <v>39.99</v>
      </c>
      <c r="N264" s="35">
        <v>1</v>
      </c>
      <c r="O264" s="187">
        <v>12</v>
      </c>
      <c r="P264" s="33">
        <f>CONVERT(342,"g","lbm")</f>
        <v>0.75398093667228128</v>
      </c>
      <c r="Q264" s="33" t="s">
        <v>259</v>
      </c>
      <c r="R264" s="33" t="s">
        <v>259</v>
      </c>
      <c r="S264" s="186" t="s">
        <v>259</v>
      </c>
      <c r="T264" s="44">
        <f>CONVERT(400,"g","lbm")</f>
        <v>0.88184904873951031</v>
      </c>
      <c r="U264" s="33">
        <v>7.75</v>
      </c>
      <c r="V264" s="33">
        <v>2.8174999999999999</v>
      </c>
      <c r="W264" s="70">
        <v>8.5</v>
      </c>
      <c r="X264" s="44" t="s">
        <v>259</v>
      </c>
      <c r="Y264" s="33" t="s">
        <v>259</v>
      </c>
      <c r="Z264" s="33" t="s">
        <v>259</v>
      </c>
      <c r="AA264" s="70" t="s">
        <v>259</v>
      </c>
      <c r="AB264" s="44">
        <v>11.75</v>
      </c>
      <c r="AC264" s="33">
        <v>23.5</v>
      </c>
      <c r="AD264" s="33">
        <v>15.375</v>
      </c>
      <c r="AE264" s="70">
        <v>6.125</v>
      </c>
      <c r="AF264" s="44">
        <f t="shared" si="10"/>
        <v>1.2806939019097223</v>
      </c>
      <c r="AG264" s="18" t="s">
        <v>1769</v>
      </c>
      <c r="AH264" s="18" t="s">
        <v>3013</v>
      </c>
      <c r="AI264" s="18" t="s">
        <v>1143</v>
      </c>
      <c r="AJ264" s="18" t="s">
        <v>3014</v>
      </c>
      <c r="AO264" s="18" t="s">
        <v>3012</v>
      </c>
      <c r="AP264" s="18" t="s">
        <v>2909</v>
      </c>
      <c r="AQ264" s="94" t="s">
        <v>2908</v>
      </c>
    </row>
    <row r="265" spans="1:43" s="18" customFormat="1" x14ac:dyDescent="0.2">
      <c r="A265" s="18" t="s">
        <v>510</v>
      </c>
      <c r="B265" s="33" t="s">
        <v>1048</v>
      </c>
      <c r="C265" s="33" t="s">
        <v>1741</v>
      </c>
      <c r="D265" s="19" t="s">
        <v>2407</v>
      </c>
      <c r="E265" s="33" t="s">
        <v>2764</v>
      </c>
      <c r="F265" s="33" t="s">
        <v>2558</v>
      </c>
      <c r="G265" s="77">
        <v>7331423008100</v>
      </c>
      <c r="H265" s="77" t="s">
        <v>259</v>
      </c>
      <c r="I265" s="77">
        <v>7331423008100</v>
      </c>
      <c r="J265" s="77">
        <v>17331423200884</v>
      </c>
      <c r="K265" s="36" t="s">
        <v>568</v>
      </c>
      <c r="L265" s="5">
        <v>10.99</v>
      </c>
      <c r="M265" s="5">
        <v>19.989999999999998</v>
      </c>
      <c r="N265" s="35">
        <v>1</v>
      </c>
      <c r="O265" s="187">
        <v>12</v>
      </c>
      <c r="P265" s="33">
        <f>CONVERT(281,"g","lbm")</f>
        <v>0.61949895673950595</v>
      </c>
      <c r="Q265" s="33">
        <v>7.6</v>
      </c>
      <c r="R265" s="33">
        <v>7.6</v>
      </c>
      <c r="S265" s="70">
        <v>2.4</v>
      </c>
      <c r="T265" s="44">
        <v>0.72</v>
      </c>
      <c r="U265" s="33">
        <v>7.875</v>
      </c>
      <c r="V265" s="33">
        <v>2.5</v>
      </c>
      <c r="W265" s="70">
        <v>8.5</v>
      </c>
      <c r="X265" s="44" t="s">
        <v>259</v>
      </c>
      <c r="Y265" s="33" t="s">
        <v>259</v>
      </c>
      <c r="Z265" s="33" t="s">
        <v>259</v>
      </c>
      <c r="AA265" s="70" t="s">
        <v>259</v>
      </c>
      <c r="AB265" s="44">
        <v>9.8000000000000007</v>
      </c>
      <c r="AC265" s="33">
        <v>23.625</v>
      </c>
      <c r="AD265" s="33">
        <v>15.25</v>
      </c>
      <c r="AE265" s="70">
        <v>6.25</v>
      </c>
      <c r="AF265" s="44">
        <f t="shared" si="10"/>
        <v>1.3031005859375</v>
      </c>
      <c r="AG265" s="37" t="s">
        <v>2752</v>
      </c>
      <c r="AH265" s="37" t="s">
        <v>2753</v>
      </c>
      <c r="AI265" s="37" t="s">
        <v>2748</v>
      </c>
      <c r="AJ265" s="18" t="s">
        <v>1143</v>
      </c>
      <c r="AK265" s="18" t="s">
        <v>3011</v>
      </c>
      <c r="AO265" s="196" t="s">
        <v>3010</v>
      </c>
      <c r="AP265" s="18" t="s">
        <v>2909</v>
      </c>
      <c r="AQ265" s="94" t="s">
        <v>2908</v>
      </c>
    </row>
    <row r="266" spans="1:43" s="18" customFormat="1" x14ac:dyDescent="0.2">
      <c r="A266" s="18" t="s">
        <v>510</v>
      </c>
      <c r="B266" s="33" t="s">
        <v>1049</v>
      </c>
      <c r="C266" s="33" t="s">
        <v>1741</v>
      </c>
      <c r="D266" s="19" t="s">
        <v>2408</v>
      </c>
      <c r="E266" s="33" t="s">
        <v>2776</v>
      </c>
      <c r="F266" s="33" t="s">
        <v>2558</v>
      </c>
      <c r="G266" s="77">
        <v>7331423008087</v>
      </c>
      <c r="H266" s="77" t="s">
        <v>259</v>
      </c>
      <c r="I266" s="77">
        <v>7331423008087</v>
      </c>
      <c r="J266" s="77">
        <v>17331423200839</v>
      </c>
      <c r="K266" s="36" t="s">
        <v>568</v>
      </c>
      <c r="L266" s="5">
        <v>15.99</v>
      </c>
      <c r="M266" s="5">
        <v>29.99</v>
      </c>
      <c r="N266" s="35">
        <v>1</v>
      </c>
      <c r="O266" s="187">
        <v>12</v>
      </c>
      <c r="P266" s="33">
        <f>CONVERT(384,"g","lbm")</f>
        <v>0.84657508678992988</v>
      </c>
      <c r="Q266" s="33">
        <v>7.6</v>
      </c>
      <c r="R266" s="33">
        <v>7.6</v>
      </c>
      <c r="S266" s="70">
        <v>2.4</v>
      </c>
      <c r="T266" s="44">
        <v>0.91</v>
      </c>
      <c r="U266" s="33">
        <v>7.875</v>
      </c>
      <c r="V266" s="33">
        <v>2.5</v>
      </c>
      <c r="W266" s="70">
        <v>8.5</v>
      </c>
      <c r="X266" s="44" t="s">
        <v>259</v>
      </c>
      <c r="Y266" s="33" t="s">
        <v>259</v>
      </c>
      <c r="Z266" s="33" t="s">
        <v>259</v>
      </c>
      <c r="AA266" s="70" t="s">
        <v>259</v>
      </c>
      <c r="AB266" s="44">
        <v>12.1</v>
      </c>
      <c r="AC266" s="33">
        <v>23.625</v>
      </c>
      <c r="AD266" s="33">
        <v>15.25</v>
      </c>
      <c r="AE266" s="70">
        <v>6.25</v>
      </c>
      <c r="AF266" s="44">
        <f t="shared" si="10"/>
        <v>1.3031005859375</v>
      </c>
      <c r="AG266" s="37" t="s">
        <v>2754</v>
      </c>
      <c r="AH266" s="37" t="s">
        <v>2753</v>
      </c>
      <c r="AI266" s="37" t="s">
        <v>2748</v>
      </c>
      <c r="AJ266" s="18" t="s">
        <v>1143</v>
      </c>
      <c r="AK266" s="18" t="s">
        <v>3004</v>
      </c>
      <c r="AO266" s="37" t="s">
        <v>2755</v>
      </c>
      <c r="AP266" s="18" t="s">
        <v>2909</v>
      </c>
      <c r="AQ266" s="94" t="s">
        <v>2908</v>
      </c>
    </row>
    <row r="267" spans="1:43" s="18" customFormat="1" x14ac:dyDescent="0.2">
      <c r="A267" s="18" t="s">
        <v>510</v>
      </c>
      <c r="B267" s="33" t="s">
        <v>1085</v>
      </c>
      <c r="C267" s="33" t="s">
        <v>369</v>
      </c>
      <c r="D267" s="34" t="s">
        <v>2429</v>
      </c>
      <c r="E267" s="33" t="s">
        <v>222</v>
      </c>
      <c r="F267" s="33" t="s">
        <v>2558</v>
      </c>
      <c r="G267" s="36" t="s">
        <v>1089</v>
      </c>
      <c r="H267" s="36" t="s">
        <v>1089</v>
      </c>
      <c r="I267" s="36" t="s">
        <v>1089</v>
      </c>
      <c r="J267" s="36" t="s">
        <v>259</v>
      </c>
      <c r="K267" s="36" t="s">
        <v>568</v>
      </c>
      <c r="L267" s="5">
        <v>5.49</v>
      </c>
      <c r="M267" s="5">
        <v>9.99</v>
      </c>
      <c r="N267" s="35">
        <v>12</v>
      </c>
      <c r="O267" s="187">
        <v>72</v>
      </c>
      <c r="P267" s="33">
        <f>CONVERT(40,"g","lbm")</f>
        <v>8.8184904873951031E-2</v>
      </c>
      <c r="Q267" s="33">
        <v>2.75</v>
      </c>
      <c r="R267" s="33">
        <v>2.8125</v>
      </c>
      <c r="S267" s="70">
        <v>4.25</v>
      </c>
      <c r="T267" s="44">
        <f>CONVERT(50,"g","lbm")</f>
        <v>0.11023113109243879</v>
      </c>
      <c r="U267" s="33">
        <v>3.75</v>
      </c>
      <c r="V267" s="33">
        <v>3.5</v>
      </c>
      <c r="W267" s="70">
        <v>5.75</v>
      </c>
      <c r="X267" s="44">
        <f>CONVERT(730,"g","lbm")</f>
        <v>1.6093745139496063</v>
      </c>
      <c r="Y267" s="33">
        <v>9.75</v>
      </c>
      <c r="Z267" s="33">
        <v>6.75</v>
      </c>
      <c r="AA267" s="70">
        <v>8.75</v>
      </c>
      <c r="AB267" s="44">
        <v>10.75</v>
      </c>
      <c r="AC267" s="33">
        <v>20.5</v>
      </c>
      <c r="AD267" s="33">
        <v>10</v>
      </c>
      <c r="AE267" s="70">
        <v>18.25</v>
      </c>
      <c r="AF267" s="44">
        <f t="shared" si="10"/>
        <v>2.1650752314814814</v>
      </c>
      <c r="AG267" s="37" t="s">
        <v>2994</v>
      </c>
      <c r="AH267" s="37" t="s">
        <v>1083</v>
      </c>
      <c r="AI267" s="37" t="s">
        <v>3000</v>
      </c>
      <c r="AJ267" s="37" t="s">
        <v>1143</v>
      </c>
      <c r="AK267" s="18" t="s">
        <v>3002</v>
      </c>
      <c r="AO267" s="37" t="s">
        <v>3001</v>
      </c>
      <c r="AP267" s="18" t="s">
        <v>2909</v>
      </c>
      <c r="AQ267" s="94" t="s">
        <v>2908</v>
      </c>
    </row>
    <row r="268" spans="1:43" s="18" customFormat="1" x14ac:dyDescent="0.2">
      <c r="A268" s="18" t="s">
        <v>510</v>
      </c>
      <c r="B268" s="33" t="s">
        <v>1085</v>
      </c>
      <c r="C268" s="33" t="s">
        <v>373</v>
      </c>
      <c r="D268" s="34" t="s">
        <v>2429</v>
      </c>
      <c r="E268" s="33" t="s">
        <v>220</v>
      </c>
      <c r="F268" s="33" t="s">
        <v>2558</v>
      </c>
      <c r="G268" s="36" t="s">
        <v>1093</v>
      </c>
      <c r="H268" s="36" t="s">
        <v>1093</v>
      </c>
      <c r="I268" s="36" t="s">
        <v>1093</v>
      </c>
      <c r="J268" s="36" t="s">
        <v>259</v>
      </c>
      <c r="K268" s="36" t="s">
        <v>568</v>
      </c>
      <c r="L268" s="5">
        <v>5.49</v>
      </c>
      <c r="M268" s="5">
        <v>9.99</v>
      </c>
      <c r="N268" s="35">
        <v>12</v>
      </c>
      <c r="O268" s="187">
        <v>72</v>
      </c>
      <c r="P268" s="33">
        <f>CONVERT(40,"g","lbm")</f>
        <v>8.8184904873951031E-2</v>
      </c>
      <c r="Q268" s="33">
        <v>2.75</v>
      </c>
      <c r="R268" s="33">
        <v>2.8125</v>
      </c>
      <c r="S268" s="70">
        <v>4.25</v>
      </c>
      <c r="T268" s="44">
        <f>CONVERT(50,"g","lbm")</f>
        <v>0.11023113109243879</v>
      </c>
      <c r="U268" s="33">
        <v>3.75</v>
      </c>
      <c r="V268" s="33">
        <v>3.5</v>
      </c>
      <c r="W268" s="70">
        <v>5.75</v>
      </c>
      <c r="X268" s="44">
        <f>CONVERT(730,"g","lbm")</f>
        <v>1.6093745139496063</v>
      </c>
      <c r="Y268" s="33">
        <v>9.75</v>
      </c>
      <c r="Z268" s="33">
        <v>6.75</v>
      </c>
      <c r="AA268" s="70">
        <v>8.75</v>
      </c>
      <c r="AB268" s="44">
        <v>10.75</v>
      </c>
      <c r="AC268" s="33">
        <v>20.5</v>
      </c>
      <c r="AD268" s="33">
        <v>10</v>
      </c>
      <c r="AE268" s="70">
        <v>18.25</v>
      </c>
      <c r="AF268" s="44">
        <f t="shared" si="10"/>
        <v>2.1650752314814814</v>
      </c>
      <c r="AG268" s="37" t="s">
        <v>2994</v>
      </c>
      <c r="AH268" s="37" t="s">
        <v>1083</v>
      </c>
      <c r="AI268" s="37" t="s">
        <v>3000</v>
      </c>
      <c r="AJ268" s="37" t="s">
        <v>1143</v>
      </c>
      <c r="AK268" s="18" t="s">
        <v>3002</v>
      </c>
      <c r="AO268" s="37" t="s">
        <v>3001</v>
      </c>
      <c r="AP268" s="18" t="s">
        <v>2909</v>
      </c>
      <c r="AQ268" s="94" t="s">
        <v>2908</v>
      </c>
    </row>
    <row r="269" spans="1:43" s="18" customFormat="1" x14ac:dyDescent="0.2">
      <c r="A269" s="18" t="s">
        <v>510</v>
      </c>
      <c r="B269" s="33" t="s">
        <v>1085</v>
      </c>
      <c r="C269" s="33" t="s">
        <v>1054</v>
      </c>
      <c r="D269" s="34" t="s">
        <v>2429</v>
      </c>
      <c r="E269" s="33" t="s">
        <v>2791</v>
      </c>
      <c r="F269" s="33" t="s">
        <v>2558</v>
      </c>
      <c r="G269" s="36" t="s">
        <v>2842</v>
      </c>
      <c r="H269" s="36" t="s">
        <v>2842</v>
      </c>
      <c r="I269" s="36" t="s">
        <v>2842</v>
      </c>
      <c r="J269" s="36" t="s">
        <v>259</v>
      </c>
      <c r="K269" s="36" t="s">
        <v>568</v>
      </c>
      <c r="L269" s="5">
        <v>5.49</v>
      </c>
      <c r="M269" s="5">
        <v>9.99</v>
      </c>
      <c r="N269" s="35">
        <v>12</v>
      </c>
      <c r="O269" s="187">
        <v>72</v>
      </c>
      <c r="P269" s="33">
        <f>CONVERT(40,"g","lbm")</f>
        <v>8.8184904873951031E-2</v>
      </c>
      <c r="Q269" s="33">
        <v>2.75</v>
      </c>
      <c r="R269" s="33">
        <v>2.8125</v>
      </c>
      <c r="S269" s="70">
        <v>4.25</v>
      </c>
      <c r="T269" s="44">
        <f>CONVERT(50,"g","lbm")</f>
        <v>0.11023113109243879</v>
      </c>
      <c r="U269" s="33">
        <v>3.75</v>
      </c>
      <c r="V269" s="33">
        <v>3.5</v>
      </c>
      <c r="W269" s="70">
        <v>5.75</v>
      </c>
      <c r="X269" s="44">
        <f>CONVERT(730,"g","lbm")</f>
        <v>1.6093745139496063</v>
      </c>
      <c r="Y269" s="33">
        <v>9.75</v>
      </c>
      <c r="Z269" s="33">
        <v>6.75</v>
      </c>
      <c r="AA269" s="70">
        <v>8.75</v>
      </c>
      <c r="AB269" s="44">
        <v>10.75</v>
      </c>
      <c r="AC269" s="33">
        <v>20.5</v>
      </c>
      <c r="AD269" s="33">
        <v>10</v>
      </c>
      <c r="AE269" s="70">
        <v>18.25</v>
      </c>
      <c r="AF269" s="44">
        <f t="shared" si="10"/>
        <v>2.1650752314814814</v>
      </c>
      <c r="AG269" s="37" t="s">
        <v>2994</v>
      </c>
      <c r="AH269" s="37" t="s">
        <v>1083</v>
      </c>
      <c r="AI269" s="37" t="s">
        <v>3000</v>
      </c>
      <c r="AJ269" s="37" t="s">
        <v>1143</v>
      </c>
      <c r="AK269" s="18" t="s">
        <v>3002</v>
      </c>
      <c r="AO269" s="37" t="s">
        <v>3001</v>
      </c>
      <c r="AP269" s="18" t="s">
        <v>2909</v>
      </c>
      <c r="AQ269" s="94" t="s">
        <v>2908</v>
      </c>
    </row>
    <row r="270" spans="1:43" s="18" customFormat="1" x14ac:dyDescent="0.2">
      <c r="A270" s="18" t="s">
        <v>510</v>
      </c>
      <c r="B270" s="19" t="s">
        <v>351</v>
      </c>
      <c r="C270" s="33" t="s">
        <v>1741</v>
      </c>
      <c r="D270" s="19" t="s">
        <v>2836</v>
      </c>
      <c r="E270" s="18" t="s">
        <v>2831</v>
      </c>
      <c r="F270" s="33" t="s">
        <v>2547</v>
      </c>
      <c r="G270" s="77">
        <v>7331423008322</v>
      </c>
      <c r="H270" s="77">
        <v>7331423008308</v>
      </c>
      <c r="I270" s="77">
        <v>7331423202287</v>
      </c>
      <c r="J270" s="77">
        <v>17331423201249</v>
      </c>
      <c r="K270" s="36" t="s">
        <v>568</v>
      </c>
      <c r="L270" s="5">
        <v>4.1900000000000004</v>
      </c>
      <c r="M270" s="5">
        <v>7.99</v>
      </c>
      <c r="N270" s="35">
        <v>12</v>
      </c>
      <c r="O270" s="187">
        <v>72</v>
      </c>
      <c r="P270" s="99">
        <f>CONVERT(24,"g","lbm")</f>
        <v>5.2910942924370617E-2</v>
      </c>
      <c r="Q270" s="33">
        <f>CONVERT(140,"mm","in")</f>
        <v>5.5118110236220472</v>
      </c>
      <c r="R270" s="33">
        <f>CONVERT(31,"mm","in")</f>
        <v>1.2204724409448817</v>
      </c>
      <c r="S270" s="70">
        <v>1</v>
      </c>
      <c r="T270" s="44">
        <v>0.1</v>
      </c>
      <c r="U270" s="33">
        <v>2.5625</v>
      </c>
      <c r="V270" s="33">
        <v>1.25</v>
      </c>
      <c r="W270" s="70">
        <v>8.3125</v>
      </c>
      <c r="X270" s="44">
        <v>1.05</v>
      </c>
      <c r="Y270" s="33">
        <v>5.625</v>
      </c>
      <c r="Z270" s="33">
        <v>5</v>
      </c>
      <c r="AA270" s="70">
        <v>9</v>
      </c>
      <c r="AB270" s="44">
        <v>7.6</v>
      </c>
      <c r="AC270" s="33">
        <v>15.625</v>
      </c>
      <c r="AD270" s="33">
        <v>14.5</v>
      </c>
      <c r="AE270" s="70">
        <v>11.375</v>
      </c>
      <c r="AF270" s="44">
        <f t="shared" si="10"/>
        <v>1.491405345775463</v>
      </c>
      <c r="AG270" s="37" t="s">
        <v>2985</v>
      </c>
      <c r="AH270" s="18" t="s">
        <v>2987</v>
      </c>
      <c r="AI270" s="37" t="s">
        <v>1849</v>
      </c>
      <c r="AJ270" s="37" t="s">
        <v>2988</v>
      </c>
      <c r="AK270" s="37" t="s">
        <v>2961</v>
      </c>
      <c r="AL270" s="37" t="s">
        <v>1635</v>
      </c>
      <c r="AM270" s="37" t="s">
        <v>2962</v>
      </c>
      <c r="AN270" s="37" t="s">
        <v>2989</v>
      </c>
      <c r="AO270" s="12" t="s">
        <v>2990</v>
      </c>
      <c r="AP270" s="18" t="s">
        <v>2909</v>
      </c>
      <c r="AQ270" s="94" t="s">
        <v>2908</v>
      </c>
    </row>
    <row r="271" spans="1:43" s="18" customFormat="1" x14ac:dyDescent="0.2">
      <c r="A271" s="574" t="s">
        <v>510</v>
      </c>
      <c r="B271" s="908" t="s">
        <v>1047</v>
      </c>
      <c r="C271" s="909" t="s">
        <v>1741</v>
      </c>
      <c r="D271" s="19" t="s">
        <v>2830</v>
      </c>
      <c r="E271" s="18" t="s">
        <v>2831</v>
      </c>
      <c r="F271" s="18" t="s">
        <v>2521</v>
      </c>
      <c r="G271" s="360" t="s">
        <v>1902</v>
      </c>
      <c r="H271" s="360" t="s">
        <v>259</v>
      </c>
      <c r="I271" s="360">
        <v>7331423201280</v>
      </c>
      <c r="J271" s="360">
        <v>17331423201287</v>
      </c>
      <c r="K271" s="36" t="s">
        <v>568</v>
      </c>
      <c r="L271" s="5">
        <v>167.6</v>
      </c>
      <c r="M271" s="5">
        <v>7.99</v>
      </c>
      <c r="N271" s="35">
        <v>1</v>
      </c>
      <c r="O271" s="187">
        <v>4</v>
      </c>
      <c r="P271" s="99">
        <f>CONVERT(24,"g","lbm")</f>
        <v>5.2910942924370617E-2</v>
      </c>
      <c r="Q271" s="33">
        <f>CONVERT(140,"mm","in")</f>
        <v>5.5118110236220472</v>
      </c>
      <c r="R271" s="33">
        <f>CONVERT(31,"mm","in")</f>
        <v>1.2204724409448817</v>
      </c>
      <c r="S271" s="70">
        <v>1</v>
      </c>
      <c r="T271" s="44">
        <f>CONVERT(995,"g","lbm")</f>
        <v>2.1935995087395317</v>
      </c>
      <c r="U271" s="33">
        <v>5</v>
      </c>
      <c r="V271" s="33">
        <v>5</v>
      </c>
      <c r="W271" s="70">
        <v>6</v>
      </c>
      <c r="X271" s="44" t="s">
        <v>259</v>
      </c>
      <c r="Y271" s="33" t="s">
        <v>259</v>
      </c>
      <c r="Z271" s="33" t="s">
        <v>259</v>
      </c>
      <c r="AA271" s="70" t="s">
        <v>259</v>
      </c>
      <c r="AB271" s="44">
        <f>CONVERT(4250,"g","lbm")</f>
        <v>9.369646142857297</v>
      </c>
      <c r="AC271" s="33">
        <v>10.5</v>
      </c>
      <c r="AD271" s="33">
        <v>10.375</v>
      </c>
      <c r="AE271" s="70">
        <v>7.375</v>
      </c>
      <c r="AF271" s="44">
        <f t="shared" si="10"/>
        <v>0.4649386935763889</v>
      </c>
      <c r="AG271" s="906" t="s">
        <v>2986</v>
      </c>
      <c r="AH271" s="906" t="s">
        <v>2991</v>
      </c>
      <c r="AI271" s="906" t="s">
        <v>1849</v>
      </c>
      <c r="AJ271" s="906" t="s">
        <v>2988</v>
      </c>
      <c r="AK271" s="906" t="s">
        <v>2961</v>
      </c>
      <c r="AL271" s="906" t="s">
        <v>1635</v>
      </c>
      <c r="AM271" s="906" t="s">
        <v>2962</v>
      </c>
      <c r="AN271" s="906" t="s">
        <v>2989</v>
      </c>
      <c r="AO271" s="906" t="s">
        <v>2990</v>
      </c>
      <c r="AP271" s="911" t="s">
        <v>2909</v>
      </c>
      <c r="AQ271" s="910" t="s">
        <v>2908</v>
      </c>
    </row>
    <row r="272" spans="1:43" s="18" customFormat="1" x14ac:dyDescent="0.2">
      <c r="A272" s="574" t="s">
        <v>510</v>
      </c>
      <c r="B272" s="907"/>
      <c r="C272" s="907"/>
      <c r="D272" s="640" t="s">
        <v>2829</v>
      </c>
      <c r="E272" s="18" t="s">
        <v>2833</v>
      </c>
      <c r="F272" s="18" t="s">
        <v>2835</v>
      </c>
      <c r="G272" s="360">
        <v>7331423009152</v>
      </c>
      <c r="H272" s="360" t="s">
        <v>259</v>
      </c>
      <c r="I272" s="360" t="s">
        <v>259</v>
      </c>
      <c r="J272" s="360" t="s">
        <v>259</v>
      </c>
      <c r="K272" s="360" t="s">
        <v>259</v>
      </c>
      <c r="L272" s="360" t="s">
        <v>259</v>
      </c>
      <c r="M272" s="360" t="s">
        <v>259</v>
      </c>
      <c r="N272" s="360" t="s">
        <v>259</v>
      </c>
      <c r="O272" s="641" t="s">
        <v>259</v>
      </c>
      <c r="P272" s="642" t="s">
        <v>259</v>
      </c>
      <c r="Q272" s="360" t="s">
        <v>259</v>
      </c>
      <c r="R272" s="360" t="s">
        <v>259</v>
      </c>
      <c r="S272" s="641" t="s">
        <v>259</v>
      </c>
      <c r="T272" s="642" t="s">
        <v>259</v>
      </c>
      <c r="U272" s="360" t="s">
        <v>259</v>
      </c>
      <c r="V272" s="360" t="s">
        <v>259</v>
      </c>
      <c r="W272" s="641" t="s">
        <v>259</v>
      </c>
      <c r="X272" s="642" t="s">
        <v>259</v>
      </c>
      <c r="Y272" s="360" t="s">
        <v>259</v>
      </c>
      <c r="Z272" s="360" t="s">
        <v>259</v>
      </c>
      <c r="AA272" s="641" t="s">
        <v>259</v>
      </c>
      <c r="AB272" s="642" t="s">
        <v>259</v>
      </c>
      <c r="AC272" s="360" t="s">
        <v>259</v>
      </c>
      <c r="AD272" s="360" t="s">
        <v>259</v>
      </c>
      <c r="AE272" s="641" t="s">
        <v>259</v>
      </c>
      <c r="AF272" s="44"/>
      <c r="AG272" s="907"/>
      <c r="AH272" s="907"/>
      <c r="AI272" s="907"/>
      <c r="AJ272" s="907"/>
      <c r="AK272" s="907"/>
      <c r="AL272" s="907"/>
      <c r="AM272" s="907"/>
      <c r="AN272" s="907"/>
      <c r="AO272" s="907"/>
      <c r="AP272" s="907"/>
      <c r="AQ272" s="907"/>
    </row>
    <row r="273" spans="1:45" s="18" customFormat="1" x14ac:dyDescent="0.2">
      <c r="A273" s="574" t="s">
        <v>510</v>
      </c>
      <c r="B273" s="907"/>
      <c r="C273" s="907"/>
      <c r="D273" s="640" t="s">
        <v>2829</v>
      </c>
      <c r="E273" s="18" t="s">
        <v>2832</v>
      </c>
      <c r="F273" s="18" t="s">
        <v>2835</v>
      </c>
      <c r="G273" s="360">
        <v>7331423009138</v>
      </c>
      <c r="H273" s="360" t="s">
        <v>259</v>
      </c>
      <c r="I273" s="360" t="s">
        <v>259</v>
      </c>
      <c r="J273" s="360" t="s">
        <v>259</v>
      </c>
      <c r="K273" s="360" t="s">
        <v>259</v>
      </c>
      <c r="L273" s="360" t="s">
        <v>259</v>
      </c>
      <c r="M273" s="360" t="s">
        <v>259</v>
      </c>
      <c r="N273" s="360" t="s">
        <v>259</v>
      </c>
      <c r="O273" s="641" t="s">
        <v>259</v>
      </c>
      <c r="P273" s="642" t="s">
        <v>259</v>
      </c>
      <c r="Q273" s="360" t="s">
        <v>259</v>
      </c>
      <c r="R273" s="360" t="s">
        <v>259</v>
      </c>
      <c r="S273" s="641" t="s">
        <v>259</v>
      </c>
      <c r="T273" s="642" t="s">
        <v>259</v>
      </c>
      <c r="U273" s="360" t="s">
        <v>259</v>
      </c>
      <c r="V273" s="360" t="s">
        <v>259</v>
      </c>
      <c r="W273" s="641" t="s">
        <v>259</v>
      </c>
      <c r="X273" s="642" t="s">
        <v>259</v>
      </c>
      <c r="Y273" s="360" t="s">
        <v>259</v>
      </c>
      <c r="Z273" s="360" t="s">
        <v>259</v>
      </c>
      <c r="AA273" s="641" t="s">
        <v>259</v>
      </c>
      <c r="AB273" s="642" t="s">
        <v>259</v>
      </c>
      <c r="AC273" s="360" t="s">
        <v>259</v>
      </c>
      <c r="AD273" s="360" t="s">
        <v>259</v>
      </c>
      <c r="AE273" s="641" t="s">
        <v>259</v>
      </c>
      <c r="AF273" s="44"/>
      <c r="AG273" s="907"/>
      <c r="AH273" s="907"/>
      <c r="AI273" s="907"/>
      <c r="AJ273" s="907"/>
      <c r="AK273" s="907"/>
      <c r="AL273" s="907"/>
      <c r="AM273" s="907"/>
      <c r="AN273" s="907"/>
      <c r="AO273" s="907"/>
      <c r="AP273" s="907"/>
      <c r="AQ273" s="907"/>
    </row>
    <row r="274" spans="1:45" s="18" customFormat="1" x14ac:dyDescent="0.2">
      <c r="A274" s="574" t="s">
        <v>510</v>
      </c>
      <c r="B274" s="907"/>
      <c r="C274" s="907"/>
      <c r="D274" s="640" t="s">
        <v>2829</v>
      </c>
      <c r="E274" s="18" t="s">
        <v>2834</v>
      </c>
      <c r="F274" s="18" t="s">
        <v>2835</v>
      </c>
      <c r="G274" s="360">
        <v>7331423009145</v>
      </c>
      <c r="H274" s="360" t="s">
        <v>259</v>
      </c>
      <c r="I274" s="360" t="s">
        <v>259</v>
      </c>
      <c r="J274" s="360" t="s">
        <v>259</v>
      </c>
      <c r="K274" s="360" t="s">
        <v>259</v>
      </c>
      <c r="L274" s="360" t="s">
        <v>259</v>
      </c>
      <c r="M274" s="360" t="s">
        <v>259</v>
      </c>
      <c r="N274" s="360" t="s">
        <v>259</v>
      </c>
      <c r="O274" s="641" t="s">
        <v>259</v>
      </c>
      <c r="P274" s="642" t="s">
        <v>259</v>
      </c>
      <c r="Q274" s="360" t="s">
        <v>259</v>
      </c>
      <c r="R274" s="360" t="s">
        <v>259</v>
      </c>
      <c r="S274" s="641" t="s">
        <v>259</v>
      </c>
      <c r="T274" s="642" t="s">
        <v>259</v>
      </c>
      <c r="U274" s="360" t="s">
        <v>259</v>
      </c>
      <c r="V274" s="360" t="s">
        <v>259</v>
      </c>
      <c r="W274" s="641" t="s">
        <v>259</v>
      </c>
      <c r="X274" s="642" t="s">
        <v>259</v>
      </c>
      <c r="Y274" s="360" t="s">
        <v>259</v>
      </c>
      <c r="Z274" s="360" t="s">
        <v>259</v>
      </c>
      <c r="AA274" s="641" t="s">
        <v>259</v>
      </c>
      <c r="AB274" s="642" t="s">
        <v>259</v>
      </c>
      <c r="AC274" s="360" t="s">
        <v>259</v>
      </c>
      <c r="AD274" s="360" t="s">
        <v>259</v>
      </c>
      <c r="AE274" s="641" t="s">
        <v>259</v>
      </c>
      <c r="AF274" s="44"/>
      <c r="AG274" s="907"/>
      <c r="AH274" s="907"/>
      <c r="AI274" s="907"/>
      <c r="AJ274" s="907"/>
      <c r="AK274" s="907"/>
      <c r="AL274" s="907"/>
      <c r="AM274" s="907"/>
      <c r="AN274" s="907"/>
      <c r="AO274" s="907"/>
      <c r="AP274" s="907"/>
      <c r="AQ274" s="907"/>
    </row>
    <row r="275" spans="1:45" s="18" customFormat="1" x14ac:dyDescent="0.2">
      <c r="A275" s="18" t="s">
        <v>510</v>
      </c>
      <c r="B275" s="33" t="s">
        <v>956</v>
      </c>
      <c r="C275" s="33" t="s">
        <v>1741</v>
      </c>
      <c r="D275" s="34" t="s">
        <v>2415</v>
      </c>
      <c r="E275" s="33" t="s">
        <v>2764</v>
      </c>
      <c r="F275" s="33" t="s">
        <v>2520</v>
      </c>
      <c r="G275" s="47"/>
      <c r="H275" s="47"/>
      <c r="I275" s="47"/>
      <c r="J275" s="47"/>
      <c r="K275" s="36" t="s">
        <v>568</v>
      </c>
      <c r="L275" s="5">
        <v>2.19</v>
      </c>
      <c r="M275" s="5">
        <v>3.99</v>
      </c>
      <c r="N275" s="35">
        <v>25</v>
      </c>
      <c r="O275" s="187">
        <v>200</v>
      </c>
      <c r="P275" s="44">
        <f>CONVERT(16,"g","lbm")</f>
        <v>3.5273961949580414E-2</v>
      </c>
      <c r="Q275" s="33">
        <f>CONVERT(200,"mm","in")</f>
        <v>7.8740157480314963</v>
      </c>
      <c r="R275" s="33">
        <f>CONVERT(42,"mm","in")</f>
        <v>1.6535433070866143</v>
      </c>
      <c r="S275" s="70">
        <v>1</v>
      </c>
      <c r="T275" s="44">
        <f>CONVERT(15,"g","lbm")</f>
        <v>3.3069339327731637E-2</v>
      </c>
      <c r="U275" s="33">
        <v>1.625</v>
      </c>
      <c r="V275" s="33">
        <v>1.25</v>
      </c>
      <c r="W275" s="70">
        <v>7.875</v>
      </c>
      <c r="X275" s="99">
        <f>CONVERT(390,"g","lbm")</f>
        <v>0.85980282252102258</v>
      </c>
      <c r="Y275" s="33">
        <v>3.5</v>
      </c>
      <c r="Z275" s="100">
        <v>1.625</v>
      </c>
      <c r="AA275" s="101">
        <v>7.875</v>
      </c>
      <c r="AB275" s="44">
        <f>CONVERT(3390,"g","lbm")</f>
        <v>7.47367068806735</v>
      </c>
      <c r="AC275" s="33">
        <v>13.25</v>
      </c>
      <c r="AD275" s="33">
        <v>8.3125</v>
      </c>
      <c r="AE275" s="70">
        <v>4.125</v>
      </c>
      <c r="AF275" s="44">
        <f t="shared" ref="AF275:AF285" si="11">AC275*AD275*AE275/(12^3)</f>
        <v>0.26292249891493058</v>
      </c>
      <c r="AG275" s="37" t="s">
        <v>2975</v>
      </c>
      <c r="AH275" s="37" t="s">
        <v>2977</v>
      </c>
      <c r="AI275" s="37" t="s">
        <v>2959</v>
      </c>
      <c r="AJ275" s="37" t="s">
        <v>1849</v>
      </c>
      <c r="AK275" s="37" t="s">
        <v>2980</v>
      </c>
      <c r="AL275" s="37" t="s">
        <v>2961</v>
      </c>
      <c r="AM275" s="37" t="s">
        <v>2979</v>
      </c>
      <c r="AN275" s="37" t="s">
        <v>2981</v>
      </c>
      <c r="AO275" s="37" t="s">
        <v>2974</v>
      </c>
      <c r="AP275" s="18" t="s">
        <v>2909</v>
      </c>
      <c r="AQ275" s="94" t="s">
        <v>2908</v>
      </c>
    </row>
    <row r="276" spans="1:45" s="18" customFormat="1" x14ac:dyDescent="0.2">
      <c r="A276" s="18" t="s">
        <v>510</v>
      </c>
      <c r="B276" s="33" t="s">
        <v>956</v>
      </c>
      <c r="C276" s="33" t="s">
        <v>1054</v>
      </c>
      <c r="D276" s="34" t="s">
        <v>2415</v>
      </c>
      <c r="E276" s="33" t="s">
        <v>2791</v>
      </c>
      <c r="F276" s="33" t="s">
        <v>2520</v>
      </c>
      <c r="G276" s="77">
        <v>7331423007554</v>
      </c>
      <c r="H276" s="77">
        <v>7331423007554</v>
      </c>
      <c r="I276" s="77">
        <v>7331423007554</v>
      </c>
      <c r="J276" s="77" t="s">
        <v>259</v>
      </c>
      <c r="K276" s="36" t="s">
        <v>568</v>
      </c>
      <c r="L276" s="5">
        <v>2.19</v>
      </c>
      <c r="M276" s="5">
        <v>3.99</v>
      </c>
      <c r="N276" s="35">
        <v>25</v>
      </c>
      <c r="O276" s="187">
        <v>200</v>
      </c>
      <c r="P276" s="44">
        <f>CONVERT(16,"g","lbm")</f>
        <v>3.5273961949580414E-2</v>
      </c>
      <c r="Q276" s="33">
        <f>CONVERT(200,"mm","in")</f>
        <v>7.8740157480314963</v>
      </c>
      <c r="R276" s="33">
        <f>CONVERT(42,"mm","in")</f>
        <v>1.6535433070866143</v>
      </c>
      <c r="S276" s="70">
        <v>1</v>
      </c>
      <c r="T276" s="44">
        <f>CONVERT(15,"g","lbm")</f>
        <v>3.3069339327731637E-2</v>
      </c>
      <c r="U276" s="33">
        <v>1.625</v>
      </c>
      <c r="V276" s="33">
        <v>1.25</v>
      </c>
      <c r="W276" s="70">
        <v>7.875</v>
      </c>
      <c r="X276" s="99">
        <f>CONVERT(390,"g","lbm")</f>
        <v>0.85980282252102258</v>
      </c>
      <c r="Y276" s="33">
        <v>3.5</v>
      </c>
      <c r="Z276" s="100">
        <v>1.625</v>
      </c>
      <c r="AA276" s="101">
        <v>7.875</v>
      </c>
      <c r="AB276" s="44">
        <f>CONVERT(3390,"g","lbm")</f>
        <v>7.47367068806735</v>
      </c>
      <c r="AC276" s="33">
        <v>13.25</v>
      </c>
      <c r="AD276" s="33">
        <v>8.3125</v>
      </c>
      <c r="AE276" s="70">
        <v>4.125</v>
      </c>
      <c r="AF276" s="44">
        <f t="shared" si="11"/>
        <v>0.26292249891493058</v>
      </c>
      <c r="AG276" s="37" t="s">
        <v>2975</v>
      </c>
      <c r="AH276" s="37" t="s">
        <v>2977</v>
      </c>
      <c r="AI276" s="37" t="s">
        <v>2959</v>
      </c>
      <c r="AJ276" s="37" t="s">
        <v>1849</v>
      </c>
      <c r="AK276" s="37" t="s">
        <v>2980</v>
      </c>
      <c r="AL276" s="37" t="s">
        <v>2961</v>
      </c>
      <c r="AM276" s="37" t="s">
        <v>2979</v>
      </c>
      <c r="AN276" s="37" t="s">
        <v>2981</v>
      </c>
      <c r="AO276" s="37" t="s">
        <v>2974</v>
      </c>
      <c r="AP276" s="18" t="s">
        <v>2909</v>
      </c>
      <c r="AQ276" s="94" t="s">
        <v>2908</v>
      </c>
    </row>
    <row r="277" spans="1:45" s="18" customFormat="1" x14ac:dyDescent="0.2">
      <c r="A277" s="18" t="s">
        <v>510</v>
      </c>
      <c r="B277" s="19" t="s">
        <v>943</v>
      </c>
      <c r="C277" s="33" t="s">
        <v>1943</v>
      </c>
      <c r="D277" s="19" t="s">
        <v>2419</v>
      </c>
      <c r="E277" s="18" t="s">
        <v>2821</v>
      </c>
      <c r="F277" s="18" t="s">
        <v>2547</v>
      </c>
      <c r="G277" s="77">
        <v>7331423003860</v>
      </c>
      <c r="H277" s="77">
        <v>7331423003860</v>
      </c>
      <c r="I277" s="77">
        <v>7331423003860</v>
      </c>
      <c r="J277" s="77" t="s">
        <v>259</v>
      </c>
      <c r="K277" s="36" t="s">
        <v>568</v>
      </c>
      <c r="L277" s="5">
        <v>4.49</v>
      </c>
      <c r="M277" s="5">
        <v>7.99</v>
      </c>
      <c r="N277" s="35">
        <v>24</v>
      </c>
      <c r="O277" s="187">
        <v>144</v>
      </c>
      <c r="P277" s="99">
        <f>CONVERT(18,"g","lbm")</f>
        <v>3.9683207193277961E-2</v>
      </c>
      <c r="Q277" s="33">
        <f t="shared" ref="Q277:Q285" si="12">CONVERT(17,"cm","in")</f>
        <v>6.6929133858267722</v>
      </c>
      <c r="R277" s="100">
        <v>1.5</v>
      </c>
      <c r="S277" s="101">
        <v>1</v>
      </c>
      <c r="T277" s="44">
        <f>CONVERT(0.034,"kg","lbm")</f>
        <v>7.4957169142858382E-2</v>
      </c>
      <c r="U277" s="33">
        <f>CONVERT(65,"mm","in")</f>
        <v>2.5590551181102366</v>
      </c>
      <c r="V277" s="33">
        <f>CONVERT(29,"mm","in")</f>
        <v>1.1417322834645671</v>
      </c>
      <c r="W277" s="70">
        <f>CONVERT(242,"mm","in")</f>
        <v>9.5275590551181111</v>
      </c>
      <c r="X277" s="44">
        <f>CONVERT(0.4762,"kg","lbm")</f>
        <v>1.049841292524387</v>
      </c>
      <c r="Y277" s="33">
        <f>CONVERT(146,"mm","in")</f>
        <v>5.7480314960629926</v>
      </c>
      <c r="Z277" s="33">
        <f>CONVERT(117,"mm","in")</f>
        <v>4.6062992125984259</v>
      </c>
      <c r="AA277" s="70">
        <f>CONVERT(247,"mm","in")</f>
        <v>9.7244094488188981</v>
      </c>
      <c r="AB277" s="44">
        <f>CONVERT(3.179,"kg","lbm")</f>
        <v>7.0084953148572575</v>
      </c>
      <c r="AC277" s="33">
        <f>CONVERT(350,"mm","in")</f>
        <v>13.779527559055117</v>
      </c>
      <c r="AD277" s="33">
        <f>CONVERT(305,"mm","in")</f>
        <v>12.007874015748031</v>
      </c>
      <c r="AE277" s="70">
        <f>CONVERT(261,"mm","in")</f>
        <v>10.275590551181102</v>
      </c>
      <c r="AF277" s="44">
        <f t="shared" si="11"/>
        <v>0.98392841552743471</v>
      </c>
      <c r="AG277" s="37" t="s">
        <v>2759</v>
      </c>
      <c r="AH277" s="18" t="s">
        <v>2978</v>
      </c>
      <c r="AI277" s="37" t="s">
        <v>2959</v>
      </c>
      <c r="AJ277" s="37" t="s">
        <v>1849</v>
      </c>
      <c r="AK277" s="37" t="s">
        <v>2960</v>
      </c>
      <c r="AL277" s="37" t="s">
        <v>2961</v>
      </c>
      <c r="AM277" s="37" t="s">
        <v>2979</v>
      </c>
      <c r="AN277" s="37" t="s">
        <v>2963</v>
      </c>
      <c r="AO277" s="12" t="s">
        <v>2967</v>
      </c>
      <c r="AP277" s="18" t="s">
        <v>2909</v>
      </c>
      <c r="AQ277" s="94" t="s">
        <v>2908</v>
      </c>
    </row>
    <row r="278" spans="1:45" s="18" customFormat="1" x14ac:dyDescent="0.2">
      <c r="A278" s="18" t="s">
        <v>510</v>
      </c>
      <c r="B278" s="19" t="s">
        <v>943</v>
      </c>
      <c r="C278" s="33" t="s">
        <v>2820</v>
      </c>
      <c r="D278" s="19" t="s">
        <v>2419</v>
      </c>
      <c r="E278" s="18" t="s">
        <v>2823</v>
      </c>
      <c r="F278" s="18" t="s">
        <v>2547</v>
      </c>
      <c r="G278" s="77">
        <v>7331423006151</v>
      </c>
      <c r="H278" s="77">
        <v>7331423006151</v>
      </c>
      <c r="I278" s="77">
        <v>7331423006151</v>
      </c>
      <c r="J278" s="77" t="s">
        <v>259</v>
      </c>
      <c r="K278" s="36" t="s">
        <v>568</v>
      </c>
      <c r="L278" s="5">
        <v>4.49</v>
      </c>
      <c r="M278" s="5">
        <v>7.99</v>
      </c>
      <c r="N278" s="35">
        <v>24</v>
      </c>
      <c r="O278" s="187">
        <v>144</v>
      </c>
      <c r="P278" s="99">
        <f>CONVERT(18,"g","lbm")</f>
        <v>3.9683207193277961E-2</v>
      </c>
      <c r="Q278" s="33">
        <f t="shared" si="12"/>
        <v>6.6929133858267722</v>
      </c>
      <c r="R278" s="100">
        <v>1.5</v>
      </c>
      <c r="S278" s="101">
        <v>1</v>
      </c>
      <c r="T278" s="44">
        <f>CONVERT(0.034,"kg","lbm")</f>
        <v>7.4957169142858382E-2</v>
      </c>
      <c r="U278" s="33">
        <f>CONVERT(65,"mm","in")</f>
        <v>2.5590551181102366</v>
      </c>
      <c r="V278" s="33">
        <f>CONVERT(29,"mm","in")</f>
        <v>1.1417322834645671</v>
      </c>
      <c r="W278" s="70">
        <f>CONVERT(242,"mm","in")</f>
        <v>9.5275590551181111</v>
      </c>
      <c r="X278" s="44">
        <f>CONVERT(0.4762,"kg","lbm")</f>
        <v>1.049841292524387</v>
      </c>
      <c r="Y278" s="33">
        <f>CONVERT(146,"mm","in")</f>
        <v>5.7480314960629926</v>
      </c>
      <c r="Z278" s="33">
        <f>CONVERT(117,"mm","in")</f>
        <v>4.6062992125984259</v>
      </c>
      <c r="AA278" s="70">
        <f>CONVERT(247,"mm","in")</f>
        <v>9.7244094488188981</v>
      </c>
      <c r="AB278" s="44">
        <f>CONVERT(3.179,"kg","lbm")</f>
        <v>7.0084953148572575</v>
      </c>
      <c r="AC278" s="33">
        <f>CONVERT(350,"mm","in")</f>
        <v>13.779527559055117</v>
      </c>
      <c r="AD278" s="33">
        <f>CONVERT(305,"mm","in")</f>
        <v>12.007874015748031</v>
      </c>
      <c r="AE278" s="70">
        <f>CONVERT(261,"mm","in")</f>
        <v>10.275590551181102</v>
      </c>
      <c r="AF278" s="44">
        <f t="shared" si="11"/>
        <v>0.98392841552743471</v>
      </c>
      <c r="AG278" s="37" t="s">
        <v>2759</v>
      </c>
      <c r="AH278" s="18" t="s">
        <v>2978</v>
      </c>
      <c r="AI278" s="37" t="s">
        <v>2959</v>
      </c>
      <c r="AJ278" s="37" t="s">
        <v>1849</v>
      </c>
      <c r="AK278" s="37" t="s">
        <v>2960</v>
      </c>
      <c r="AL278" s="37" t="s">
        <v>2961</v>
      </c>
      <c r="AM278" s="37" t="s">
        <v>2979</v>
      </c>
      <c r="AN278" s="37" t="s">
        <v>2963</v>
      </c>
      <c r="AO278" s="12" t="s">
        <v>2967</v>
      </c>
      <c r="AP278" s="18" t="s">
        <v>2909</v>
      </c>
      <c r="AQ278" s="94" t="s">
        <v>2908</v>
      </c>
    </row>
    <row r="279" spans="1:45" s="18" customFormat="1" x14ac:dyDescent="0.2">
      <c r="A279" s="18" t="s">
        <v>510</v>
      </c>
      <c r="B279" s="19" t="s">
        <v>943</v>
      </c>
      <c r="C279" s="33" t="s">
        <v>2819</v>
      </c>
      <c r="D279" s="19" t="s">
        <v>2419</v>
      </c>
      <c r="E279" s="18" t="s">
        <v>2824</v>
      </c>
      <c r="F279" s="18" t="s">
        <v>2547</v>
      </c>
      <c r="G279" s="77">
        <v>7331423006168</v>
      </c>
      <c r="H279" s="77">
        <v>7331423006168</v>
      </c>
      <c r="I279" s="77">
        <v>7331423006168</v>
      </c>
      <c r="J279" s="77" t="s">
        <v>259</v>
      </c>
      <c r="K279" s="36" t="s">
        <v>568</v>
      </c>
      <c r="L279" s="5">
        <v>4.49</v>
      </c>
      <c r="M279" s="5">
        <v>7.99</v>
      </c>
      <c r="N279" s="35">
        <v>24</v>
      </c>
      <c r="O279" s="187">
        <v>144</v>
      </c>
      <c r="P279" s="99">
        <f>CONVERT(18,"g","lbm")</f>
        <v>3.9683207193277961E-2</v>
      </c>
      <c r="Q279" s="33">
        <f t="shared" si="12"/>
        <v>6.6929133858267722</v>
      </c>
      <c r="R279" s="100">
        <v>1.5</v>
      </c>
      <c r="S279" s="101">
        <v>1</v>
      </c>
      <c r="T279" s="44">
        <f>CONVERT(0.034,"kg","lbm")</f>
        <v>7.4957169142858382E-2</v>
      </c>
      <c r="U279" s="33">
        <f>CONVERT(65,"mm","in")</f>
        <v>2.5590551181102366</v>
      </c>
      <c r="V279" s="33">
        <f>CONVERT(29,"mm","in")</f>
        <v>1.1417322834645671</v>
      </c>
      <c r="W279" s="70">
        <f>CONVERT(242,"mm","in")</f>
        <v>9.5275590551181111</v>
      </c>
      <c r="X279" s="44">
        <f>CONVERT(0.4762,"kg","lbm")</f>
        <v>1.049841292524387</v>
      </c>
      <c r="Y279" s="33">
        <f>CONVERT(146,"mm","in")</f>
        <v>5.7480314960629926</v>
      </c>
      <c r="Z279" s="33">
        <f>CONVERT(117,"mm","in")</f>
        <v>4.6062992125984259</v>
      </c>
      <c r="AA279" s="70">
        <f>CONVERT(247,"mm","in")</f>
        <v>9.7244094488188981</v>
      </c>
      <c r="AB279" s="44">
        <f>CONVERT(3.179,"kg","lbm")</f>
        <v>7.0084953148572575</v>
      </c>
      <c r="AC279" s="33">
        <f>CONVERT(350,"mm","in")</f>
        <v>13.779527559055117</v>
      </c>
      <c r="AD279" s="33">
        <f>CONVERT(305,"mm","in")</f>
        <v>12.007874015748031</v>
      </c>
      <c r="AE279" s="70">
        <f>CONVERT(261,"mm","in")</f>
        <v>10.275590551181102</v>
      </c>
      <c r="AF279" s="44">
        <f t="shared" si="11"/>
        <v>0.98392841552743471</v>
      </c>
      <c r="AG279" s="37" t="s">
        <v>2759</v>
      </c>
      <c r="AH279" s="18" t="s">
        <v>2978</v>
      </c>
      <c r="AI279" s="37" t="s">
        <v>2959</v>
      </c>
      <c r="AJ279" s="37" t="s">
        <v>1849</v>
      </c>
      <c r="AK279" s="37" t="s">
        <v>2960</v>
      </c>
      <c r="AL279" s="37" t="s">
        <v>2961</v>
      </c>
      <c r="AM279" s="37" t="s">
        <v>2979</v>
      </c>
      <c r="AN279" s="37" t="s">
        <v>2963</v>
      </c>
      <c r="AO279" s="12" t="s">
        <v>2967</v>
      </c>
      <c r="AP279" s="18" t="s">
        <v>2909</v>
      </c>
      <c r="AQ279" s="94" t="s">
        <v>2908</v>
      </c>
    </row>
    <row r="280" spans="1:45" s="18" customFormat="1" x14ac:dyDescent="0.2">
      <c r="A280" s="18" t="s">
        <v>510</v>
      </c>
      <c r="B280" s="33" t="s">
        <v>590</v>
      </c>
      <c r="C280" s="33" t="s">
        <v>1054</v>
      </c>
      <c r="D280" s="34" t="s">
        <v>2818</v>
      </c>
      <c r="E280" s="33" t="s">
        <v>2791</v>
      </c>
      <c r="F280" s="33" t="s">
        <v>2521</v>
      </c>
      <c r="G280" s="77">
        <v>7331423006052</v>
      </c>
      <c r="H280" s="77" t="s">
        <v>259</v>
      </c>
      <c r="I280" s="77">
        <v>7331423201891</v>
      </c>
      <c r="J280" s="77">
        <v>17331423202062</v>
      </c>
      <c r="K280" s="36" t="s">
        <v>568</v>
      </c>
      <c r="L280" s="5">
        <v>95.4</v>
      </c>
      <c r="M280" s="5">
        <v>2.99</v>
      </c>
      <c r="N280" s="35">
        <v>1</v>
      </c>
      <c r="O280" s="187">
        <v>9</v>
      </c>
      <c r="P280" s="99">
        <f>CONVERT(10,"g","lbm")</f>
        <v>2.2046226218487758E-2</v>
      </c>
      <c r="Q280" s="33">
        <f t="shared" si="12"/>
        <v>6.6929133858267722</v>
      </c>
      <c r="R280" s="100">
        <v>1.5</v>
      </c>
      <c r="S280" s="101">
        <v>0.875</v>
      </c>
      <c r="T280" s="99">
        <f>CONVERT(675,"g","lbm")</f>
        <v>1.4881202697479237</v>
      </c>
      <c r="U280" s="100">
        <v>4.75</v>
      </c>
      <c r="V280" s="100">
        <v>4.75</v>
      </c>
      <c r="W280" s="101">
        <v>7.125</v>
      </c>
      <c r="X280" s="44" t="s">
        <v>259</v>
      </c>
      <c r="Y280" s="33" t="s">
        <v>259</v>
      </c>
      <c r="Z280" s="33" t="s">
        <v>259</v>
      </c>
      <c r="AA280" s="70" t="s">
        <v>259</v>
      </c>
      <c r="AB280" s="44">
        <v>13.95</v>
      </c>
      <c r="AC280" s="33">
        <v>12.375</v>
      </c>
      <c r="AD280" s="33">
        <v>12.5</v>
      </c>
      <c r="AE280" s="70">
        <v>7.75</v>
      </c>
      <c r="AF280" s="44">
        <f t="shared" si="11"/>
        <v>0.69376627604166663</v>
      </c>
      <c r="AG280" s="37" t="s">
        <v>2964</v>
      </c>
      <c r="AH280" s="37" t="s">
        <v>2959</v>
      </c>
      <c r="AI280" s="37" t="s">
        <v>1849</v>
      </c>
      <c r="AJ280" s="37" t="s">
        <v>2960</v>
      </c>
      <c r="AK280" s="37" t="s">
        <v>2961</v>
      </c>
      <c r="AL280" s="37" t="s">
        <v>1635</v>
      </c>
      <c r="AM280" s="37" t="s">
        <v>2962</v>
      </c>
      <c r="AN280" s="37" t="s">
        <v>2963</v>
      </c>
      <c r="AO280" s="37" t="s">
        <v>481</v>
      </c>
      <c r="AP280" s="18" t="s">
        <v>2909</v>
      </c>
      <c r="AQ280" s="94" t="s">
        <v>2908</v>
      </c>
    </row>
    <row r="281" spans="1:45" s="18" customFormat="1" x14ac:dyDescent="0.2">
      <c r="A281" s="18" t="s">
        <v>510</v>
      </c>
      <c r="B281" s="33" t="s">
        <v>590</v>
      </c>
      <c r="C281" s="33" t="s">
        <v>1741</v>
      </c>
      <c r="D281" s="34" t="s">
        <v>2818</v>
      </c>
      <c r="E281" s="33" t="s">
        <v>2776</v>
      </c>
      <c r="F281" s="33" t="s">
        <v>2521</v>
      </c>
      <c r="G281" s="77">
        <v>7331423008414</v>
      </c>
      <c r="H281" s="77" t="s">
        <v>259</v>
      </c>
      <c r="I281" s="77">
        <v>7331423201587</v>
      </c>
      <c r="J281" s="77">
        <v>17331423201584</v>
      </c>
      <c r="K281" s="36" t="s">
        <v>568</v>
      </c>
      <c r="L281" s="5">
        <v>95.4</v>
      </c>
      <c r="M281" s="5">
        <v>2.99</v>
      </c>
      <c r="N281" s="35">
        <v>1</v>
      </c>
      <c r="O281" s="187">
        <v>9</v>
      </c>
      <c r="P281" s="99">
        <f>CONVERT(9,"g","lbm")</f>
        <v>1.9841603596638981E-2</v>
      </c>
      <c r="Q281" s="33">
        <f t="shared" si="12"/>
        <v>6.6929133858267722</v>
      </c>
      <c r="R281" s="100">
        <v>1.5</v>
      </c>
      <c r="S281" s="101">
        <v>0.875</v>
      </c>
      <c r="T281" s="99">
        <f>CONVERT(675,"g","lbm")</f>
        <v>1.4881202697479237</v>
      </c>
      <c r="U281" s="100">
        <v>4.75</v>
      </c>
      <c r="V281" s="100">
        <v>4.75</v>
      </c>
      <c r="W281" s="101">
        <v>7.125</v>
      </c>
      <c r="X281" s="44" t="s">
        <v>259</v>
      </c>
      <c r="Y281" s="33" t="s">
        <v>259</v>
      </c>
      <c r="Z281" s="33" t="s">
        <v>259</v>
      </c>
      <c r="AA281" s="70" t="s">
        <v>259</v>
      </c>
      <c r="AB281" s="44">
        <v>13.95</v>
      </c>
      <c r="AC281" s="33">
        <v>12.375</v>
      </c>
      <c r="AD281" s="33">
        <v>12.5</v>
      </c>
      <c r="AE281" s="70">
        <v>7.75</v>
      </c>
      <c r="AF281" s="44">
        <f t="shared" si="11"/>
        <v>0.69376627604166663</v>
      </c>
      <c r="AG281" s="37" t="s">
        <v>2964</v>
      </c>
      <c r="AH281" s="37" t="s">
        <v>2959</v>
      </c>
      <c r="AI281" s="37" t="s">
        <v>1849</v>
      </c>
      <c r="AJ281" s="37" t="s">
        <v>2960</v>
      </c>
      <c r="AK281" s="37" t="s">
        <v>2961</v>
      </c>
      <c r="AL281" s="37" t="s">
        <v>1635</v>
      </c>
      <c r="AM281" s="37" t="s">
        <v>2962</v>
      </c>
      <c r="AN281" s="37" t="s">
        <v>2963</v>
      </c>
      <c r="AO281" s="37" t="s">
        <v>481</v>
      </c>
      <c r="AP281" s="18" t="s">
        <v>2909</v>
      </c>
      <c r="AQ281" s="94" t="s">
        <v>2908</v>
      </c>
    </row>
    <row r="282" spans="1:45" s="18" customFormat="1" x14ac:dyDescent="0.2">
      <c r="A282" s="18" t="s">
        <v>510</v>
      </c>
      <c r="B282" s="33" t="s">
        <v>344</v>
      </c>
      <c r="C282" s="33"/>
      <c r="D282" s="34" t="s">
        <v>2414</v>
      </c>
      <c r="E282" s="33" t="s">
        <v>332</v>
      </c>
      <c r="F282" s="33" t="s">
        <v>2520</v>
      </c>
      <c r="G282" s="8">
        <v>7331423003808</v>
      </c>
      <c r="H282" s="8">
        <v>7331423101078</v>
      </c>
      <c r="I282" s="8">
        <v>7331423201303</v>
      </c>
      <c r="J282" s="8">
        <v>17331423201300</v>
      </c>
      <c r="K282" s="36" t="s">
        <v>568</v>
      </c>
      <c r="L282" s="5">
        <v>1.59</v>
      </c>
      <c r="M282" s="5">
        <v>2.99</v>
      </c>
      <c r="N282" s="35">
        <v>25</v>
      </c>
      <c r="O282" s="187">
        <v>500</v>
      </c>
      <c r="P282" s="99">
        <f>CONVERT(9,"g","lbm")</f>
        <v>1.9841603596638981E-2</v>
      </c>
      <c r="Q282" s="33">
        <f t="shared" si="12"/>
        <v>6.6929133858267722</v>
      </c>
      <c r="R282" s="100">
        <v>1.5</v>
      </c>
      <c r="S282" s="101">
        <v>0.875</v>
      </c>
      <c r="T282" s="44">
        <f>CONVERT(0.0098,"kg","lbm")</f>
        <v>2.1605301694118003E-2</v>
      </c>
      <c r="U282" s="33">
        <f>CONVERT(37,"mm","in")</f>
        <v>1.4566929133858268</v>
      </c>
      <c r="V282" s="33">
        <f>CONVERT(15,"mm","in")</f>
        <v>0.59055118110236215</v>
      </c>
      <c r="W282" s="70">
        <f>CONVERT(170,"mm","in")</f>
        <v>6.6929133858267713</v>
      </c>
      <c r="X282" s="44">
        <f>CONVERT(0.2504,"kg","lbm")</f>
        <v>0.55203750451093347</v>
      </c>
      <c r="Y282" s="33">
        <f>CONVERT(37,"mm","in")</f>
        <v>1.4566929133858268</v>
      </c>
      <c r="Z282" s="33">
        <f>CONVERT(84,"mm","in")</f>
        <v>3.3070866141732287</v>
      </c>
      <c r="AA282" s="70">
        <f>CONVERT(170,"mm","in")</f>
        <v>6.6929133858267713</v>
      </c>
      <c r="AB282" s="44">
        <f>CONVERT(5.175,"kg","lbm")</f>
        <v>11.408922068067415</v>
      </c>
      <c r="AC282" s="33">
        <f>CONVERT(305,"mm","in")</f>
        <v>12.007874015748031</v>
      </c>
      <c r="AD282" s="33">
        <f>CONVERT(175,"mm","in")</f>
        <v>6.8897637795275584</v>
      </c>
      <c r="AE282" s="70">
        <f>CONVERT(185,"mm","in")</f>
        <v>7.2834645669291342</v>
      </c>
      <c r="AF282" s="44">
        <f t="shared" si="11"/>
        <v>0.34871026220799889</v>
      </c>
      <c r="AG282" s="37" t="s">
        <v>2958</v>
      </c>
      <c r="AH282" s="37" t="s">
        <v>2959</v>
      </c>
      <c r="AI282" s="37" t="s">
        <v>1849</v>
      </c>
      <c r="AJ282" s="37" t="s">
        <v>2960</v>
      </c>
      <c r="AK282" s="37" t="s">
        <v>2961</v>
      </c>
      <c r="AL282" s="37" t="s">
        <v>1635</v>
      </c>
      <c r="AM282" s="37" t="s">
        <v>2962</v>
      </c>
      <c r="AN282" s="37" t="s">
        <v>2963</v>
      </c>
      <c r="AO282" s="37" t="s">
        <v>481</v>
      </c>
      <c r="AP282" s="18" t="s">
        <v>2909</v>
      </c>
      <c r="AQ282" s="94" t="s">
        <v>2908</v>
      </c>
    </row>
    <row r="283" spans="1:45" s="18" customFormat="1" x14ac:dyDescent="0.2">
      <c r="A283" s="18" t="s">
        <v>510</v>
      </c>
      <c r="B283" s="33" t="s">
        <v>344</v>
      </c>
      <c r="C283" s="33" t="s">
        <v>301</v>
      </c>
      <c r="D283" s="34" t="s">
        <v>2414</v>
      </c>
      <c r="E283" s="33" t="s">
        <v>69</v>
      </c>
      <c r="F283" s="33" t="s">
        <v>2520</v>
      </c>
      <c r="G283" s="77">
        <v>7331423002351</v>
      </c>
      <c r="H283" s="77">
        <v>7331423002351</v>
      </c>
      <c r="I283" s="77">
        <v>7331423002351</v>
      </c>
      <c r="J283" s="77" t="s">
        <v>259</v>
      </c>
      <c r="K283" s="36" t="s">
        <v>568</v>
      </c>
      <c r="L283" s="5">
        <v>1.59</v>
      </c>
      <c r="M283" s="5">
        <v>2.99</v>
      </c>
      <c r="N283" s="35">
        <v>25</v>
      </c>
      <c r="O283" s="187">
        <v>500</v>
      </c>
      <c r="P283" s="99">
        <f>CONVERT(9,"g","lbm")</f>
        <v>1.9841603596638981E-2</v>
      </c>
      <c r="Q283" s="33">
        <f t="shared" si="12"/>
        <v>6.6929133858267722</v>
      </c>
      <c r="R283" s="100">
        <v>1.5</v>
      </c>
      <c r="S283" s="101">
        <v>0.875</v>
      </c>
      <c r="T283" s="44">
        <f>CONVERT(0.0098,"kg","lbm")</f>
        <v>2.1605301694118003E-2</v>
      </c>
      <c r="U283" s="33">
        <f>CONVERT(37,"mm","in")</f>
        <v>1.4566929133858268</v>
      </c>
      <c r="V283" s="33">
        <f>CONVERT(15,"mm","in")</f>
        <v>0.59055118110236215</v>
      </c>
      <c r="W283" s="70">
        <f>CONVERT(170,"mm","in")</f>
        <v>6.6929133858267713</v>
      </c>
      <c r="X283" s="44">
        <f>CONVERT(0.2504,"kg","lbm")</f>
        <v>0.55203750451093347</v>
      </c>
      <c r="Y283" s="33">
        <f>CONVERT(37,"mm","in")</f>
        <v>1.4566929133858268</v>
      </c>
      <c r="Z283" s="33">
        <f>CONVERT(84,"mm","in")</f>
        <v>3.3070866141732287</v>
      </c>
      <c r="AA283" s="70">
        <f>CONVERT(170,"mm","in")</f>
        <v>6.6929133858267713</v>
      </c>
      <c r="AB283" s="44">
        <f>CONVERT(5.175,"kg","lbm")</f>
        <v>11.408922068067415</v>
      </c>
      <c r="AC283" s="33">
        <f>CONVERT(305,"mm","in")</f>
        <v>12.007874015748031</v>
      </c>
      <c r="AD283" s="33">
        <f>CONVERT(175,"mm","in")</f>
        <v>6.8897637795275584</v>
      </c>
      <c r="AE283" s="70">
        <f>CONVERT(185,"mm","in")</f>
        <v>7.2834645669291342</v>
      </c>
      <c r="AF283" s="44">
        <f t="shared" si="11"/>
        <v>0.34871026220799889</v>
      </c>
      <c r="AG283" s="37" t="s">
        <v>2958</v>
      </c>
      <c r="AH283" s="37" t="s">
        <v>2959</v>
      </c>
      <c r="AI283" s="37" t="s">
        <v>1849</v>
      </c>
      <c r="AJ283" s="37" t="s">
        <v>2960</v>
      </c>
      <c r="AK283" s="37" t="s">
        <v>2961</v>
      </c>
      <c r="AL283" s="37" t="s">
        <v>1635</v>
      </c>
      <c r="AM283" s="37" t="s">
        <v>2962</v>
      </c>
      <c r="AN283" s="37" t="s">
        <v>2963</v>
      </c>
      <c r="AO283" s="37" t="s">
        <v>481</v>
      </c>
      <c r="AP283" s="18" t="s">
        <v>2909</v>
      </c>
      <c r="AQ283" s="94" t="s">
        <v>2908</v>
      </c>
    </row>
    <row r="284" spans="1:45" s="18" customFormat="1" x14ac:dyDescent="0.2">
      <c r="A284" s="18" t="s">
        <v>510</v>
      </c>
      <c r="B284" s="33" t="s">
        <v>344</v>
      </c>
      <c r="C284" s="33" t="s">
        <v>370</v>
      </c>
      <c r="D284" s="34" t="s">
        <v>2414</v>
      </c>
      <c r="E284" s="33" t="s">
        <v>217</v>
      </c>
      <c r="F284" s="33" t="s">
        <v>2520</v>
      </c>
      <c r="G284" s="77">
        <v>7331423002306</v>
      </c>
      <c r="H284" s="77">
        <v>7331423002306</v>
      </c>
      <c r="I284" s="77">
        <v>7331423002306</v>
      </c>
      <c r="J284" s="77" t="s">
        <v>259</v>
      </c>
      <c r="K284" s="36" t="s">
        <v>568</v>
      </c>
      <c r="L284" s="5">
        <v>1.59</v>
      </c>
      <c r="M284" s="5">
        <v>2.99</v>
      </c>
      <c r="N284" s="35">
        <v>25</v>
      </c>
      <c r="O284" s="187">
        <v>500</v>
      </c>
      <c r="P284" s="99">
        <f>CONVERT(9,"g","lbm")</f>
        <v>1.9841603596638981E-2</v>
      </c>
      <c r="Q284" s="33">
        <f t="shared" si="12"/>
        <v>6.6929133858267722</v>
      </c>
      <c r="R284" s="100">
        <v>1.5</v>
      </c>
      <c r="S284" s="101">
        <v>0.875</v>
      </c>
      <c r="T284" s="44">
        <f>CONVERT(0.0098,"kg","lbm")</f>
        <v>2.1605301694118003E-2</v>
      </c>
      <c r="U284" s="33">
        <f>CONVERT(37,"mm","in")</f>
        <v>1.4566929133858268</v>
      </c>
      <c r="V284" s="33">
        <f>CONVERT(15,"mm","in")</f>
        <v>0.59055118110236215</v>
      </c>
      <c r="W284" s="70">
        <f>CONVERT(170,"mm","in")</f>
        <v>6.6929133858267713</v>
      </c>
      <c r="X284" s="44">
        <f>CONVERT(0.2504,"kg","lbm")</f>
        <v>0.55203750451093347</v>
      </c>
      <c r="Y284" s="33">
        <f>CONVERT(37,"mm","in")</f>
        <v>1.4566929133858268</v>
      </c>
      <c r="Z284" s="33">
        <f>CONVERT(84,"mm","in")</f>
        <v>3.3070866141732287</v>
      </c>
      <c r="AA284" s="70">
        <f>CONVERT(170,"mm","in")</f>
        <v>6.6929133858267713</v>
      </c>
      <c r="AB284" s="44">
        <f>CONVERT(5.175,"kg","lbm")</f>
        <v>11.408922068067415</v>
      </c>
      <c r="AC284" s="33">
        <f>CONVERT(305,"mm","in")</f>
        <v>12.007874015748031</v>
      </c>
      <c r="AD284" s="33">
        <f>CONVERT(175,"mm","in")</f>
        <v>6.8897637795275584</v>
      </c>
      <c r="AE284" s="70">
        <f>CONVERT(185,"mm","in")</f>
        <v>7.2834645669291342</v>
      </c>
      <c r="AF284" s="44">
        <f t="shared" si="11"/>
        <v>0.34871026220799889</v>
      </c>
      <c r="AG284" s="37" t="s">
        <v>2958</v>
      </c>
      <c r="AH284" s="37" t="s">
        <v>2959</v>
      </c>
      <c r="AI284" s="37" t="s">
        <v>1849</v>
      </c>
      <c r="AJ284" s="37" t="s">
        <v>2960</v>
      </c>
      <c r="AK284" s="37" t="s">
        <v>2961</v>
      </c>
      <c r="AL284" s="37" t="s">
        <v>1635</v>
      </c>
      <c r="AM284" s="37" t="s">
        <v>2962</v>
      </c>
      <c r="AN284" s="37" t="s">
        <v>2963</v>
      </c>
      <c r="AO284" s="37" t="s">
        <v>481</v>
      </c>
      <c r="AP284" s="18" t="s">
        <v>2909</v>
      </c>
      <c r="AQ284" s="94" t="s">
        <v>2908</v>
      </c>
    </row>
    <row r="285" spans="1:45" s="18" customFormat="1" x14ac:dyDescent="0.2">
      <c r="A285" s="18" t="s">
        <v>510</v>
      </c>
      <c r="B285" s="19" t="s">
        <v>368</v>
      </c>
      <c r="C285" s="33" t="s">
        <v>2803</v>
      </c>
      <c r="D285" s="573" t="s">
        <v>2507</v>
      </c>
      <c r="E285" s="18" t="s">
        <v>2804</v>
      </c>
      <c r="F285" s="18" t="s">
        <v>2547</v>
      </c>
      <c r="G285" s="360" t="s">
        <v>1845</v>
      </c>
      <c r="H285" s="360">
        <v>7331423008407</v>
      </c>
      <c r="I285" s="360">
        <v>7331423202300</v>
      </c>
      <c r="J285" s="360">
        <v>17331423201560</v>
      </c>
      <c r="K285" s="36" t="s">
        <v>568</v>
      </c>
      <c r="L285" s="5">
        <v>5.99</v>
      </c>
      <c r="M285" s="5">
        <v>9.99</v>
      </c>
      <c r="N285" s="35">
        <v>12</v>
      </c>
      <c r="O285" s="187">
        <v>72</v>
      </c>
      <c r="P285" s="99">
        <f>CONVERT(36,"g","lbm")</f>
        <v>7.9366414386555922E-2</v>
      </c>
      <c r="Q285" s="33">
        <f t="shared" si="12"/>
        <v>6.6929133858267722</v>
      </c>
      <c r="R285" s="100">
        <v>1.5</v>
      </c>
      <c r="S285" s="101">
        <v>1.25</v>
      </c>
      <c r="T285" s="44">
        <f>CONVERT(0.054,"kg","lbm")</f>
        <v>0.11904962157983388</v>
      </c>
      <c r="U285" s="33">
        <f>CONVERT(65,"mm","in")</f>
        <v>2.5590551181102366</v>
      </c>
      <c r="V285" s="33">
        <f>CONVERT(29,"mm","in")</f>
        <v>1.1417322834645671</v>
      </c>
      <c r="W285" s="70">
        <f>CONVERT(240,"mm","in")</f>
        <v>9.4488188976377945</v>
      </c>
      <c r="X285" s="44">
        <f>CONVERT(0.7168,"kg","lbm")</f>
        <v>1.5802734953412023</v>
      </c>
      <c r="Y285" s="33">
        <f>CONVERT(145,"mm","in")</f>
        <v>5.7086614173228343</v>
      </c>
      <c r="Z285" s="33">
        <f>CONVERT(116,"mm","in")</f>
        <v>4.5669291338582685</v>
      </c>
      <c r="AA285" s="70">
        <f>CONVERT(246,"mm","in")</f>
        <v>9.6850393700787407</v>
      </c>
      <c r="AB285" s="44">
        <f>CONVERT(4.634,"kg","lbm")</f>
        <v>10.216221229647228</v>
      </c>
      <c r="AC285" s="33">
        <f>CONVERT(360,"mm","in")</f>
        <v>14.173228346456694</v>
      </c>
      <c r="AD285" s="33">
        <f>CONVERT(305,"mm","in")</f>
        <v>12.007874015748031</v>
      </c>
      <c r="AE285" s="70">
        <f>CONVERT(260,"mm","in")</f>
        <v>10.236220472440946</v>
      </c>
      <c r="AF285" s="44">
        <f t="shared" si="11"/>
        <v>1.0081631055650564</v>
      </c>
      <c r="AG285" s="37" t="s">
        <v>2956</v>
      </c>
      <c r="AH285" s="37" t="s">
        <v>2959</v>
      </c>
      <c r="AI285" s="37" t="s">
        <v>1849</v>
      </c>
      <c r="AJ285" s="37" t="s">
        <v>2960</v>
      </c>
      <c r="AK285" s="37" t="s">
        <v>2961</v>
      </c>
      <c r="AL285" s="37" t="s">
        <v>1635</v>
      </c>
      <c r="AM285" s="37" t="s">
        <v>2962</v>
      </c>
      <c r="AN285" s="37" t="s">
        <v>2963</v>
      </c>
      <c r="AO285" s="37" t="s">
        <v>481</v>
      </c>
      <c r="AP285" s="18" t="s">
        <v>2909</v>
      </c>
      <c r="AQ285" s="94" t="s">
        <v>2908</v>
      </c>
    </row>
    <row r="286" spans="1:45" s="18" customFormat="1" x14ac:dyDescent="0.2">
      <c r="B286" s="19"/>
      <c r="C286" s="33"/>
      <c r="D286" s="19"/>
      <c r="J286" s="47"/>
      <c r="K286" s="47"/>
      <c r="L286" s="36"/>
      <c r="M286" s="5"/>
      <c r="N286" s="5"/>
      <c r="O286" s="347"/>
      <c r="P286" s="5"/>
      <c r="Q286" s="5"/>
      <c r="R286" s="348"/>
      <c r="S286" s="35"/>
      <c r="T286" s="35"/>
      <c r="U286" s="33"/>
      <c r="V286" s="70"/>
      <c r="W286" s="44"/>
      <c r="X286" s="33"/>
      <c r="Y286" s="33"/>
      <c r="Z286" s="33"/>
      <c r="AA286" s="44"/>
      <c r="AB286" s="33"/>
      <c r="AC286" s="33"/>
      <c r="AD286" s="70"/>
      <c r="AE286" s="33"/>
      <c r="AF286" s="33"/>
      <c r="AG286" s="33"/>
      <c r="AH286" s="33"/>
      <c r="AI286" s="33"/>
      <c r="AJ286" s="33"/>
      <c r="AK286" s="33"/>
      <c r="AL286" s="37"/>
      <c r="AM286" s="37"/>
      <c r="AN286" s="37"/>
      <c r="AO286" s="37"/>
      <c r="AP286" s="40"/>
      <c r="AQ286" s="37"/>
      <c r="AR286" s="94"/>
      <c r="AS286" s="13"/>
    </row>
    <row r="287" spans="1:45" s="18" customFormat="1" x14ac:dyDescent="0.2">
      <c r="A287" s="18" t="s">
        <v>594</v>
      </c>
      <c r="B287" s="78" t="s">
        <v>1124</v>
      </c>
      <c r="C287" s="19"/>
      <c r="D287" s="37" t="s">
        <v>2212</v>
      </c>
      <c r="F287" s="18" t="s">
        <v>2557</v>
      </c>
      <c r="G287" s="68" t="s">
        <v>1125</v>
      </c>
      <c r="H287" s="68"/>
      <c r="I287" s="68"/>
      <c r="J287" s="28" t="s">
        <v>2216</v>
      </c>
      <c r="K287" s="257" t="s">
        <v>1633</v>
      </c>
      <c r="L287" s="504">
        <v>1.99</v>
      </c>
      <c r="M287" s="35">
        <v>1</v>
      </c>
      <c r="N287" s="187">
        <v>24</v>
      </c>
      <c r="O287" s="484">
        <v>6.3E-2</v>
      </c>
      <c r="P287" s="485">
        <v>2.25</v>
      </c>
      <c r="Q287" s="485"/>
      <c r="R287" s="487"/>
      <c r="S287" s="44">
        <v>6.3E-2</v>
      </c>
      <c r="T287" s="33">
        <v>4.75</v>
      </c>
      <c r="U287" s="33">
        <v>2.6749999999999998</v>
      </c>
      <c r="V287" s="70">
        <v>1.375</v>
      </c>
      <c r="W287" s="44" t="s">
        <v>259</v>
      </c>
      <c r="X287" s="33" t="s">
        <v>259</v>
      </c>
      <c r="Y287" s="33" t="s">
        <v>259</v>
      </c>
      <c r="Z287" s="70" t="s">
        <v>259</v>
      </c>
      <c r="AA287" s="44">
        <v>3.95</v>
      </c>
      <c r="AB287" s="33">
        <v>10.25</v>
      </c>
      <c r="AC287" s="33">
        <v>5.875</v>
      </c>
      <c r="AD287" s="70">
        <v>9.125</v>
      </c>
      <c r="AE287" s="44">
        <f>AB287*AC287*AD287/(12^3)</f>
        <v>0.31799542462384262</v>
      </c>
      <c r="AF287" s="138" t="s">
        <v>2311</v>
      </c>
      <c r="AG287" s="138" t="s">
        <v>2312</v>
      </c>
      <c r="AH287" s="138" t="s">
        <v>2306</v>
      </c>
      <c r="AI287" s="138" t="s">
        <v>2313</v>
      </c>
      <c r="AJ287" s="138" t="s">
        <v>2314</v>
      </c>
      <c r="AK287" s="313" t="s">
        <v>2334</v>
      </c>
      <c r="AL287" s="96"/>
      <c r="AM287" s="135"/>
      <c r="AN287" s="37" t="s">
        <v>2310</v>
      </c>
      <c r="AO287" s="138" t="s">
        <v>2255</v>
      </c>
      <c r="AP287" s="96"/>
    </row>
    <row r="288" spans="1:45" s="18" customFormat="1" x14ac:dyDescent="0.2">
      <c r="A288" s="18" t="s">
        <v>594</v>
      </c>
      <c r="B288" s="33" t="s">
        <v>274</v>
      </c>
      <c r="C288" s="33" t="s">
        <v>218</v>
      </c>
      <c r="D288" s="34" t="s">
        <v>666</v>
      </c>
      <c r="E288" s="18" t="s">
        <v>218</v>
      </c>
      <c r="G288" s="28" t="s">
        <v>75</v>
      </c>
      <c r="H288" s="28"/>
      <c r="I288" s="28"/>
      <c r="J288" s="36" t="s">
        <v>458</v>
      </c>
      <c r="K288" s="36" t="s">
        <v>975</v>
      </c>
      <c r="L288" s="5">
        <v>39.99</v>
      </c>
      <c r="M288" s="35">
        <v>6</v>
      </c>
      <c r="N288" s="35">
        <v>36</v>
      </c>
      <c r="O288" s="345"/>
      <c r="P288" s="35"/>
      <c r="Q288" s="35"/>
      <c r="R288" s="187"/>
      <c r="S288" s="33">
        <v>1</v>
      </c>
      <c r="T288" s="33">
        <v>2.5</v>
      </c>
      <c r="U288" s="33">
        <v>7</v>
      </c>
      <c r="V288" s="70">
        <v>9.75</v>
      </c>
      <c r="W288" s="44">
        <v>5.15</v>
      </c>
      <c r="X288" s="33">
        <v>10</v>
      </c>
      <c r="Y288" s="33">
        <v>7.5</v>
      </c>
      <c r="Z288" s="70">
        <v>10</v>
      </c>
      <c r="AA288" s="44">
        <v>36.299999999999997</v>
      </c>
      <c r="AB288" s="33">
        <v>14.5</v>
      </c>
      <c r="AC288" s="33">
        <v>23</v>
      </c>
      <c r="AD288" s="70">
        <v>23.5</v>
      </c>
      <c r="AE288" s="33">
        <f t="shared" ref="AE288:AE303" si="13">AB288*AC288*AD288/(12^3)</f>
        <v>4.5354456018518521</v>
      </c>
      <c r="AF288" s="24" t="s">
        <v>581</v>
      </c>
      <c r="AG288" s="19" t="s">
        <v>582</v>
      </c>
      <c r="AH288" s="19" t="s">
        <v>583</v>
      </c>
      <c r="AI288" s="24" t="s">
        <v>584</v>
      </c>
      <c r="AJ288" s="24" t="s">
        <v>585</v>
      </c>
      <c r="AK288" s="24"/>
      <c r="AL288" s="24"/>
      <c r="AM288" s="24"/>
      <c r="AN288" s="304" t="s">
        <v>665</v>
      </c>
      <c r="AO288" s="18" t="s">
        <v>490</v>
      </c>
    </row>
    <row r="289" spans="1:42" s="18" customFormat="1" ht="14.25" customHeight="1" x14ac:dyDescent="0.2">
      <c r="A289" s="18" t="s">
        <v>594</v>
      </c>
      <c r="B289" s="33" t="s">
        <v>663</v>
      </c>
      <c r="C289" s="33"/>
      <c r="D289" s="57" t="s">
        <v>664</v>
      </c>
      <c r="E289" s="57"/>
      <c r="F289" s="57"/>
      <c r="G289" s="28" t="s">
        <v>160</v>
      </c>
      <c r="H289" s="28"/>
      <c r="I289" s="28"/>
      <c r="J289" s="36" t="s">
        <v>1040</v>
      </c>
      <c r="K289" s="36" t="s">
        <v>976</v>
      </c>
      <c r="L289" s="6">
        <v>9.99</v>
      </c>
      <c r="M289" s="35">
        <v>6</v>
      </c>
      <c r="N289" s="35" t="s">
        <v>507</v>
      </c>
      <c r="O289" s="345"/>
      <c r="P289" s="35"/>
      <c r="Q289" s="35"/>
      <c r="R289" s="187"/>
      <c r="S289" s="33">
        <v>8.7999999999999995E-2</v>
      </c>
      <c r="T289" s="33">
        <v>2.5</v>
      </c>
      <c r="U289" s="33">
        <v>2.5</v>
      </c>
      <c r="V289" s="70">
        <v>5</v>
      </c>
      <c r="W289" s="44" t="s">
        <v>856</v>
      </c>
      <c r="X289" s="33" t="s">
        <v>856</v>
      </c>
      <c r="Y289" s="33" t="s">
        <v>856</v>
      </c>
      <c r="Z289" s="70" t="s">
        <v>856</v>
      </c>
      <c r="AA289" s="44">
        <v>6</v>
      </c>
      <c r="AB289" s="33">
        <v>17.75</v>
      </c>
      <c r="AC289" s="33">
        <v>18</v>
      </c>
      <c r="AD289" s="70">
        <v>14</v>
      </c>
      <c r="AE289" s="33">
        <f t="shared" si="13"/>
        <v>2.5885416666666665</v>
      </c>
      <c r="AF289" s="37" t="s">
        <v>474</v>
      </c>
      <c r="AG289" s="37" t="s">
        <v>122</v>
      </c>
      <c r="AH289" s="37" t="s">
        <v>123</v>
      </c>
      <c r="AI289" s="37" t="s">
        <v>661</v>
      </c>
      <c r="AJ289" s="37"/>
      <c r="AK289" s="37"/>
      <c r="AL289" s="37"/>
      <c r="AM289" s="37"/>
      <c r="AN289" s="37" t="s">
        <v>124</v>
      </c>
      <c r="AO289" s="18" t="s">
        <v>490</v>
      </c>
    </row>
    <row r="290" spans="1:42" s="18" customFormat="1" ht="14.25" customHeight="1" x14ac:dyDescent="0.2">
      <c r="A290" s="18" t="s">
        <v>594</v>
      </c>
      <c r="B290" s="33" t="s">
        <v>681</v>
      </c>
      <c r="C290" s="33"/>
      <c r="D290" s="57" t="s">
        <v>682</v>
      </c>
      <c r="E290" s="57"/>
      <c r="F290" s="57"/>
      <c r="G290" s="28" t="s">
        <v>683</v>
      </c>
      <c r="H290" s="28"/>
      <c r="I290" s="28"/>
      <c r="J290" s="36" t="s">
        <v>1039</v>
      </c>
      <c r="K290" s="36" t="s">
        <v>976</v>
      </c>
      <c r="L290" s="6">
        <v>3.99</v>
      </c>
      <c r="M290" s="35">
        <v>1</v>
      </c>
      <c r="N290" s="35"/>
      <c r="O290" s="345"/>
      <c r="P290" s="35"/>
      <c r="Q290" s="35"/>
      <c r="R290" s="187"/>
      <c r="S290" s="56">
        <v>0.05</v>
      </c>
      <c r="T290" s="56">
        <v>4.75</v>
      </c>
      <c r="U290" s="56">
        <v>0.25</v>
      </c>
      <c r="V290" s="92">
        <v>6.75</v>
      </c>
      <c r="W290" s="44" t="s">
        <v>856</v>
      </c>
      <c r="X290" s="33" t="s">
        <v>856</v>
      </c>
      <c r="Y290" s="33" t="s">
        <v>856</v>
      </c>
      <c r="Z290" s="70" t="s">
        <v>856</v>
      </c>
      <c r="AA290" s="44"/>
      <c r="AB290" s="33"/>
      <c r="AC290" s="33"/>
      <c r="AD290" s="70"/>
      <c r="AE290" s="33">
        <f t="shared" si="13"/>
        <v>0</v>
      </c>
      <c r="AF290" s="37"/>
      <c r="AG290" s="37"/>
      <c r="AH290" s="37"/>
      <c r="AI290" s="37"/>
      <c r="AJ290" s="37"/>
      <c r="AK290" s="37"/>
      <c r="AL290" s="37"/>
      <c r="AM290" s="37"/>
      <c r="AN290" s="37"/>
      <c r="AO290" s="18" t="s">
        <v>490</v>
      </c>
    </row>
    <row r="291" spans="1:42" s="18" customFormat="1" x14ac:dyDescent="0.2">
      <c r="A291" s="18" t="s">
        <v>594</v>
      </c>
      <c r="B291" s="33" t="s">
        <v>986</v>
      </c>
      <c r="C291" s="33"/>
      <c r="D291" s="34" t="s">
        <v>624</v>
      </c>
      <c r="G291" s="28" t="s">
        <v>987</v>
      </c>
      <c r="H291" s="28"/>
      <c r="I291" s="28"/>
      <c r="J291" s="47" t="s">
        <v>113</v>
      </c>
      <c r="K291" s="28" t="s">
        <v>979</v>
      </c>
      <c r="L291" s="5">
        <v>6.99</v>
      </c>
      <c r="M291" s="35">
        <v>30</v>
      </c>
      <c r="N291" s="35">
        <v>360</v>
      </c>
      <c r="O291" s="345"/>
      <c r="P291" s="35"/>
      <c r="Q291" s="35"/>
      <c r="R291" s="187"/>
      <c r="S291" s="33">
        <v>0.1</v>
      </c>
      <c r="T291" s="33">
        <v>6</v>
      </c>
      <c r="U291" s="33">
        <v>4.5</v>
      </c>
      <c r="V291" s="70">
        <v>0.75</v>
      </c>
      <c r="W291" s="44"/>
      <c r="X291" s="33"/>
      <c r="Y291" s="33"/>
      <c r="Z291" s="70"/>
      <c r="AA291" s="44">
        <v>48.4</v>
      </c>
      <c r="AB291" s="33">
        <v>22.75</v>
      </c>
      <c r="AC291" s="33">
        <v>17.25</v>
      </c>
      <c r="AD291" s="70">
        <v>13.5</v>
      </c>
      <c r="AE291" s="33">
        <f t="shared" si="13"/>
        <v>3.06591796875</v>
      </c>
      <c r="AF291" s="18" t="s">
        <v>88</v>
      </c>
      <c r="AG291" s="18" t="s">
        <v>89</v>
      </c>
      <c r="AH291" s="18" t="s">
        <v>90</v>
      </c>
      <c r="AI291" s="18" t="s">
        <v>92</v>
      </c>
      <c r="AJ291" s="18" t="s">
        <v>91</v>
      </c>
      <c r="AN291" s="18" t="s">
        <v>94</v>
      </c>
      <c r="AO291" s="18" t="s">
        <v>490</v>
      </c>
    </row>
    <row r="292" spans="1:42" s="18" customFormat="1" x14ac:dyDescent="0.2">
      <c r="A292" s="18" t="s">
        <v>594</v>
      </c>
      <c r="B292" s="33" t="s">
        <v>552</v>
      </c>
      <c r="C292" s="18" t="s">
        <v>484</v>
      </c>
      <c r="D292" s="34" t="s">
        <v>1565</v>
      </c>
      <c r="E292" s="18" t="s">
        <v>484</v>
      </c>
      <c r="G292" s="28" t="s">
        <v>128</v>
      </c>
      <c r="H292" s="28"/>
      <c r="I292" s="28"/>
      <c r="J292" s="36" t="s">
        <v>1040</v>
      </c>
      <c r="K292" s="36" t="s">
        <v>975</v>
      </c>
      <c r="L292" s="6">
        <v>12.99</v>
      </c>
      <c r="M292" s="35">
        <v>6</v>
      </c>
      <c r="N292" s="35"/>
      <c r="O292" s="345"/>
      <c r="P292" s="35"/>
      <c r="Q292" s="35"/>
      <c r="R292" s="187"/>
      <c r="S292" s="33"/>
      <c r="T292" s="33"/>
      <c r="U292" s="33"/>
      <c r="V292" s="70"/>
      <c r="W292" s="44" t="s">
        <v>856</v>
      </c>
      <c r="X292" s="33" t="s">
        <v>856</v>
      </c>
      <c r="Y292" s="33" t="s">
        <v>856</v>
      </c>
      <c r="Z292" s="70" t="s">
        <v>856</v>
      </c>
      <c r="AA292" s="44"/>
      <c r="AB292" s="33">
        <v>18.75</v>
      </c>
      <c r="AC292" s="33">
        <v>21</v>
      </c>
      <c r="AD292" s="70">
        <v>16</v>
      </c>
      <c r="AE292" s="33">
        <f t="shared" si="13"/>
        <v>3.6458333333333335</v>
      </c>
      <c r="AF292" s="19"/>
      <c r="AG292" s="19"/>
      <c r="AH292" s="19"/>
      <c r="AI292" s="24"/>
      <c r="AJ292" s="24"/>
      <c r="AK292" s="24"/>
      <c r="AL292" s="24"/>
      <c r="AM292" s="24"/>
      <c r="AN292" s="304"/>
      <c r="AO292" s="18" t="s">
        <v>490</v>
      </c>
    </row>
    <row r="293" spans="1:42" s="18" customFormat="1" x14ac:dyDescent="0.2">
      <c r="A293" s="18" t="s">
        <v>594</v>
      </c>
      <c r="B293" s="33" t="s">
        <v>552</v>
      </c>
      <c r="C293" s="18" t="s">
        <v>217</v>
      </c>
      <c r="D293" s="34" t="s">
        <v>1565</v>
      </c>
      <c r="E293" s="18" t="s">
        <v>217</v>
      </c>
      <c r="G293" s="28" t="s">
        <v>129</v>
      </c>
      <c r="H293" s="28"/>
      <c r="I293" s="28"/>
      <c r="J293" s="36" t="s">
        <v>1040</v>
      </c>
      <c r="K293" s="36" t="s">
        <v>975</v>
      </c>
      <c r="L293" s="6">
        <v>12.99</v>
      </c>
      <c r="M293" s="35">
        <v>6</v>
      </c>
      <c r="N293" s="35"/>
      <c r="O293" s="345"/>
      <c r="P293" s="35"/>
      <c r="Q293" s="35"/>
      <c r="R293" s="187"/>
      <c r="S293" s="33"/>
      <c r="T293" s="33"/>
      <c r="U293" s="33"/>
      <c r="V293" s="70"/>
      <c r="W293" s="44" t="s">
        <v>856</v>
      </c>
      <c r="X293" s="33" t="s">
        <v>856</v>
      </c>
      <c r="Y293" s="33" t="s">
        <v>856</v>
      </c>
      <c r="Z293" s="70" t="s">
        <v>856</v>
      </c>
      <c r="AA293" s="44"/>
      <c r="AB293" s="33">
        <v>18.75</v>
      </c>
      <c r="AC293" s="33">
        <v>21</v>
      </c>
      <c r="AD293" s="70">
        <v>16</v>
      </c>
      <c r="AE293" s="33">
        <f t="shared" si="13"/>
        <v>3.6458333333333335</v>
      </c>
      <c r="AF293" s="19"/>
      <c r="AG293" s="19"/>
      <c r="AH293" s="19"/>
      <c r="AI293" s="24"/>
      <c r="AJ293" s="24"/>
      <c r="AK293" s="24"/>
      <c r="AL293" s="24"/>
      <c r="AM293" s="24"/>
      <c r="AN293" s="304"/>
      <c r="AO293" s="18" t="s">
        <v>490</v>
      </c>
    </row>
    <row r="294" spans="1:42" s="18" customFormat="1" x14ac:dyDescent="0.2">
      <c r="A294" s="18" t="s">
        <v>594</v>
      </c>
      <c r="B294" s="19" t="s">
        <v>1581</v>
      </c>
      <c r="C294" s="18" t="s">
        <v>118</v>
      </c>
      <c r="D294" s="19" t="s">
        <v>1604</v>
      </c>
      <c r="E294" s="18" t="s">
        <v>118</v>
      </c>
      <c r="G294" s="28" t="s">
        <v>634</v>
      </c>
      <c r="H294" s="28"/>
      <c r="I294" s="28"/>
      <c r="J294" s="28" t="s">
        <v>1039</v>
      </c>
      <c r="K294" s="28" t="s">
        <v>976</v>
      </c>
      <c r="L294" s="5">
        <v>46.99</v>
      </c>
      <c r="M294" s="35" t="s">
        <v>508</v>
      </c>
      <c r="N294" s="35"/>
      <c r="O294" s="345"/>
      <c r="P294" s="35"/>
      <c r="Q294" s="35"/>
      <c r="R294" s="187"/>
      <c r="S294" s="33">
        <v>2</v>
      </c>
      <c r="T294" s="33">
        <v>6.5</v>
      </c>
      <c r="U294" s="33">
        <v>5.5</v>
      </c>
      <c r="V294" s="70">
        <v>9</v>
      </c>
      <c r="W294" s="44" t="s">
        <v>856</v>
      </c>
      <c r="X294" s="33" t="s">
        <v>856</v>
      </c>
      <c r="Y294" s="33" t="s">
        <v>856</v>
      </c>
      <c r="Z294" s="70" t="s">
        <v>856</v>
      </c>
      <c r="AA294" s="44" t="s">
        <v>259</v>
      </c>
      <c r="AB294" s="33"/>
      <c r="AC294" s="33"/>
      <c r="AD294" s="70"/>
      <c r="AE294" s="33">
        <f t="shared" si="13"/>
        <v>0</v>
      </c>
      <c r="AF294" s="37" t="s">
        <v>114</v>
      </c>
      <c r="AG294" s="37" t="s">
        <v>115</v>
      </c>
      <c r="AH294" s="37" t="s">
        <v>366</v>
      </c>
      <c r="AI294" s="37" t="s">
        <v>367</v>
      </c>
      <c r="AJ294" s="37" t="s">
        <v>116</v>
      </c>
      <c r="AK294" s="37"/>
      <c r="AL294" s="37"/>
      <c r="AM294" s="37"/>
      <c r="AN294" s="37" t="s">
        <v>246</v>
      </c>
      <c r="AO294" s="18" t="s">
        <v>490</v>
      </c>
      <c r="AP294" s="13"/>
    </row>
    <row r="295" spans="1:42" s="18" customFormat="1" x14ac:dyDescent="0.2">
      <c r="A295" s="18" t="s">
        <v>594</v>
      </c>
      <c r="B295" s="19" t="s">
        <v>1581</v>
      </c>
      <c r="C295" s="18" t="s">
        <v>222</v>
      </c>
      <c r="D295" s="19" t="s">
        <v>1604</v>
      </c>
      <c r="E295" s="18" t="s">
        <v>222</v>
      </c>
      <c r="G295" s="28" t="s">
        <v>635</v>
      </c>
      <c r="H295" s="28"/>
      <c r="I295" s="28"/>
      <c r="J295" s="28" t="s">
        <v>1039</v>
      </c>
      <c r="K295" s="28" t="s">
        <v>976</v>
      </c>
      <c r="L295" s="5">
        <v>47.99</v>
      </c>
      <c r="M295" s="35" t="s">
        <v>508</v>
      </c>
      <c r="N295" s="35"/>
      <c r="O295" s="345"/>
      <c r="P295" s="35"/>
      <c r="Q295" s="35"/>
      <c r="R295" s="187"/>
      <c r="S295" s="33">
        <v>2</v>
      </c>
      <c r="T295" s="33">
        <v>6.5</v>
      </c>
      <c r="U295" s="33">
        <v>5.5</v>
      </c>
      <c r="V295" s="70">
        <v>9</v>
      </c>
      <c r="W295" s="44" t="s">
        <v>856</v>
      </c>
      <c r="X295" s="33" t="s">
        <v>856</v>
      </c>
      <c r="Y295" s="33" t="s">
        <v>856</v>
      </c>
      <c r="Z295" s="70" t="s">
        <v>856</v>
      </c>
      <c r="AA295" s="44" t="s">
        <v>259</v>
      </c>
      <c r="AB295" s="33"/>
      <c r="AC295" s="33"/>
      <c r="AD295" s="70"/>
      <c r="AE295" s="33">
        <f t="shared" si="13"/>
        <v>0</v>
      </c>
      <c r="AF295" s="37" t="s">
        <v>247</v>
      </c>
      <c r="AG295" s="37" t="s">
        <v>115</v>
      </c>
      <c r="AH295" s="37" t="s">
        <v>366</v>
      </c>
      <c r="AI295" s="37" t="s">
        <v>367</v>
      </c>
      <c r="AJ295" s="37" t="s">
        <v>116</v>
      </c>
      <c r="AK295" s="37"/>
      <c r="AL295" s="37"/>
      <c r="AM295" s="37"/>
      <c r="AN295" s="37" t="s">
        <v>248</v>
      </c>
      <c r="AO295" s="18" t="s">
        <v>490</v>
      </c>
      <c r="AP295" s="13"/>
    </row>
    <row r="296" spans="1:42" s="18" customFormat="1" x14ac:dyDescent="0.2">
      <c r="A296" s="18" t="s">
        <v>594</v>
      </c>
      <c r="B296" s="19" t="s">
        <v>1581</v>
      </c>
      <c r="C296" s="18" t="s">
        <v>218</v>
      </c>
      <c r="D296" s="19" t="s">
        <v>1604</v>
      </c>
      <c r="E296" s="18" t="s">
        <v>218</v>
      </c>
      <c r="G296" s="28" t="s">
        <v>636</v>
      </c>
      <c r="H296" s="28"/>
      <c r="I296" s="28"/>
      <c r="J296" s="28" t="s">
        <v>1039</v>
      </c>
      <c r="K296" s="28" t="s">
        <v>976</v>
      </c>
      <c r="L296" s="5">
        <v>47.99</v>
      </c>
      <c r="M296" s="35" t="s">
        <v>508</v>
      </c>
      <c r="N296" s="35"/>
      <c r="O296" s="345"/>
      <c r="P296" s="35"/>
      <c r="Q296" s="35"/>
      <c r="R296" s="187"/>
      <c r="S296" s="33">
        <v>2</v>
      </c>
      <c r="T296" s="33">
        <v>6.5</v>
      </c>
      <c r="U296" s="33">
        <v>5.5</v>
      </c>
      <c r="V296" s="70">
        <v>9</v>
      </c>
      <c r="W296" s="44" t="s">
        <v>856</v>
      </c>
      <c r="X296" s="33" t="s">
        <v>856</v>
      </c>
      <c r="Y296" s="33" t="s">
        <v>856</v>
      </c>
      <c r="Z296" s="70" t="s">
        <v>856</v>
      </c>
      <c r="AA296" s="44" t="s">
        <v>259</v>
      </c>
      <c r="AB296" s="33"/>
      <c r="AC296" s="33"/>
      <c r="AD296" s="70"/>
      <c r="AE296" s="33">
        <f t="shared" si="13"/>
        <v>0</v>
      </c>
      <c r="AF296" s="37" t="s">
        <v>249</v>
      </c>
      <c r="AG296" s="37" t="s">
        <v>115</v>
      </c>
      <c r="AH296" s="37" t="s">
        <v>366</v>
      </c>
      <c r="AI296" s="37" t="s">
        <v>367</v>
      </c>
      <c r="AJ296" s="37" t="s">
        <v>116</v>
      </c>
      <c r="AK296" s="37"/>
      <c r="AL296" s="37"/>
      <c r="AM296" s="37"/>
      <c r="AN296" s="37" t="s">
        <v>421</v>
      </c>
      <c r="AO296" s="18" t="s">
        <v>490</v>
      </c>
      <c r="AP296" s="13"/>
    </row>
    <row r="297" spans="1:42" s="18" customFormat="1" x14ac:dyDescent="0.2">
      <c r="A297" s="18" t="s">
        <v>594</v>
      </c>
      <c r="B297" s="19" t="s">
        <v>1581</v>
      </c>
      <c r="C297" s="18" t="s">
        <v>217</v>
      </c>
      <c r="D297" s="19" t="s">
        <v>1604</v>
      </c>
      <c r="E297" s="18" t="s">
        <v>217</v>
      </c>
      <c r="G297" s="28" t="s">
        <v>637</v>
      </c>
      <c r="H297" s="28"/>
      <c r="I297" s="28"/>
      <c r="J297" s="28" t="s">
        <v>1039</v>
      </c>
      <c r="K297" s="28" t="s">
        <v>976</v>
      </c>
      <c r="L297" s="5">
        <v>47.99</v>
      </c>
      <c r="M297" s="35" t="s">
        <v>508</v>
      </c>
      <c r="N297" s="35"/>
      <c r="O297" s="345"/>
      <c r="P297" s="35"/>
      <c r="Q297" s="35"/>
      <c r="R297" s="187"/>
      <c r="S297" s="33">
        <v>2</v>
      </c>
      <c r="T297" s="33">
        <v>6.5</v>
      </c>
      <c r="U297" s="33">
        <v>5.5</v>
      </c>
      <c r="V297" s="70">
        <v>9</v>
      </c>
      <c r="W297" s="44" t="s">
        <v>856</v>
      </c>
      <c r="X297" s="33" t="s">
        <v>856</v>
      </c>
      <c r="Y297" s="33" t="s">
        <v>856</v>
      </c>
      <c r="Z297" s="70" t="s">
        <v>856</v>
      </c>
      <c r="AA297" s="44" t="s">
        <v>259</v>
      </c>
      <c r="AB297" s="33"/>
      <c r="AC297" s="33"/>
      <c r="AD297" s="70"/>
      <c r="AE297" s="33">
        <f t="shared" si="13"/>
        <v>0</v>
      </c>
      <c r="AF297" s="37" t="s">
        <v>422</v>
      </c>
      <c r="AG297" s="37" t="s">
        <v>115</v>
      </c>
      <c r="AH297" s="37" t="s">
        <v>366</v>
      </c>
      <c r="AI297" s="37" t="s">
        <v>367</v>
      </c>
      <c r="AJ297" s="37" t="s">
        <v>116</v>
      </c>
      <c r="AK297" s="37"/>
      <c r="AL297" s="37"/>
      <c r="AM297" s="37"/>
      <c r="AN297" s="37" t="s">
        <v>356</v>
      </c>
      <c r="AO297" s="18" t="s">
        <v>490</v>
      </c>
      <c r="AP297" s="13"/>
    </row>
    <row r="298" spans="1:42" s="18" customFormat="1" x14ac:dyDescent="0.2">
      <c r="A298" s="18" t="s">
        <v>594</v>
      </c>
      <c r="B298" s="19" t="s">
        <v>1581</v>
      </c>
      <c r="C298" s="18" t="s">
        <v>483</v>
      </c>
      <c r="D298" s="19" t="s">
        <v>1604</v>
      </c>
      <c r="E298" s="18" t="s">
        <v>483</v>
      </c>
      <c r="G298" s="28" t="s">
        <v>638</v>
      </c>
      <c r="H298" s="28"/>
      <c r="I298" s="28"/>
      <c r="J298" s="28" t="s">
        <v>1039</v>
      </c>
      <c r="K298" s="28" t="s">
        <v>976</v>
      </c>
      <c r="L298" s="5">
        <v>47.99</v>
      </c>
      <c r="M298" s="35" t="s">
        <v>508</v>
      </c>
      <c r="N298" s="35"/>
      <c r="O298" s="345"/>
      <c r="P298" s="35"/>
      <c r="Q298" s="35"/>
      <c r="R298" s="187"/>
      <c r="S298" s="33">
        <v>2</v>
      </c>
      <c r="T298" s="33">
        <v>6.5</v>
      </c>
      <c r="U298" s="33">
        <v>5.5</v>
      </c>
      <c r="V298" s="70">
        <v>9</v>
      </c>
      <c r="W298" s="44" t="s">
        <v>856</v>
      </c>
      <c r="X298" s="33" t="s">
        <v>856</v>
      </c>
      <c r="Y298" s="33" t="s">
        <v>856</v>
      </c>
      <c r="Z298" s="70" t="s">
        <v>856</v>
      </c>
      <c r="AA298" s="44" t="s">
        <v>259</v>
      </c>
      <c r="AB298" s="33"/>
      <c r="AC298" s="33"/>
      <c r="AD298" s="70"/>
      <c r="AE298" s="33">
        <f t="shared" si="13"/>
        <v>0</v>
      </c>
      <c r="AF298" s="37" t="s">
        <v>357</v>
      </c>
      <c r="AG298" s="37" t="s">
        <v>115</v>
      </c>
      <c r="AH298" s="37" t="s">
        <v>366</v>
      </c>
      <c r="AI298" s="37" t="s">
        <v>367</v>
      </c>
      <c r="AJ298" s="37" t="s">
        <v>116</v>
      </c>
      <c r="AK298" s="37"/>
      <c r="AL298" s="37"/>
      <c r="AM298" s="37"/>
      <c r="AN298" s="37" t="s">
        <v>60</v>
      </c>
      <c r="AO298" s="18" t="s">
        <v>490</v>
      </c>
      <c r="AP298" s="13"/>
    </row>
    <row r="299" spans="1:42" s="18" customFormat="1" x14ac:dyDescent="0.2">
      <c r="A299" s="18" t="s">
        <v>594</v>
      </c>
      <c r="B299" s="19" t="s">
        <v>1581</v>
      </c>
      <c r="C299" s="18" t="s">
        <v>118</v>
      </c>
      <c r="D299" s="19" t="s">
        <v>1604</v>
      </c>
      <c r="E299" s="18" t="s">
        <v>118</v>
      </c>
      <c r="G299" s="28" t="s">
        <v>413</v>
      </c>
      <c r="H299" s="28"/>
      <c r="I299" s="28"/>
      <c r="J299" s="28" t="s">
        <v>1039</v>
      </c>
      <c r="K299" s="28" t="s">
        <v>976</v>
      </c>
      <c r="L299" s="5">
        <v>46.99</v>
      </c>
      <c r="M299" s="35" t="s">
        <v>508</v>
      </c>
      <c r="N299" s="35"/>
      <c r="O299" s="345"/>
      <c r="P299" s="35"/>
      <c r="Q299" s="35"/>
      <c r="R299" s="187"/>
      <c r="S299" s="33">
        <v>2</v>
      </c>
      <c r="T299" s="33">
        <v>6.5</v>
      </c>
      <c r="U299" s="33">
        <v>5.5</v>
      </c>
      <c r="V299" s="70">
        <v>9</v>
      </c>
      <c r="W299" s="44" t="s">
        <v>856</v>
      </c>
      <c r="X299" s="33" t="s">
        <v>856</v>
      </c>
      <c r="Y299" s="33" t="s">
        <v>856</v>
      </c>
      <c r="Z299" s="70" t="s">
        <v>856</v>
      </c>
      <c r="AA299" s="44" t="s">
        <v>259</v>
      </c>
      <c r="AB299" s="33"/>
      <c r="AC299" s="33"/>
      <c r="AD299" s="70"/>
      <c r="AE299" s="33">
        <f t="shared" si="13"/>
        <v>0</v>
      </c>
      <c r="AF299" s="37" t="s">
        <v>114</v>
      </c>
      <c r="AG299" s="37" t="s">
        <v>115</v>
      </c>
      <c r="AH299" s="37" t="s">
        <v>366</v>
      </c>
      <c r="AI299" s="37" t="s">
        <v>367</v>
      </c>
      <c r="AJ299" s="37" t="s">
        <v>116</v>
      </c>
      <c r="AK299" s="37"/>
      <c r="AL299" s="37"/>
      <c r="AM299" s="37"/>
      <c r="AN299" s="37" t="s">
        <v>246</v>
      </c>
      <c r="AO299" s="18" t="s">
        <v>490</v>
      </c>
      <c r="AP299" s="13"/>
    </row>
    <row r="300" spans="1:42" s="18" customFormat="1" x14ac:dyDescent="0.2">
      <c r="A300" s="18" t="s">
        <v>594</v>
      </c>
      <c r="B300" s="19" t="s">
        <v>1581</v>
      </c>
      <c r="C300" s="18" t="s">
        <v>222</v>
      </c>
      <c r="D300" s="19" t="s">
        <v>1604</v>
      </c>
      <c r="E300" s="18" t="s">
        <v>222</v>
      </c>
      <c r="G300" s="28" t="s">
        <v>414</v>
      </c>
      <c r="H300" s="28"/>
      <c r="I300" s="28"/>
      <c r="J300" s="28" t="s">
        <v>1039</v>
      </c>
      <c r="K300" s="28" t="s">
        <v>976</v>
      </c>
      <c r="L300" s="5">
        <v>47.99</v>
      </c>
      <c r="M300" s="35" t="s">
        <v>508</v>
      </c>
      <c r="N300" s="35"/>
      <c r="O300" s="345"/>
      <c r="P300" s="35"/>
      <c r="Q300" s="35"/>
      <c r="R300" s="187"/>
      <c r="S300" s="33">
        <v>2</v>
      </c>
      <c r="T300" s="33">
        <v>6.5</v>
      </c>
      <c r="U300" s="33">
        <v>5.5</v>
      </c>
      <c r="V300" s="70">
        <v>9</v>
      </c>
      <c r="W300" s="44" t="s">
        <v>856</v>
      </c>
      <c r="X300" s="33" t="s">
        <v>856</v>
      </c>
      <c r="Y300" s="33" t="s">
        <v>856</v>
      </c>
      <c r="Z300" s="70" t="s">
        <v>856</v>
      </c>
      <c r="AA300" s="44" t="s">
        <v>259</v>
      </c>
      <c r="AB300" s="33"/>
      <c r="AC300" s="33"/>
      <c r="AD300" s="70"/>
      <c r="AE300" s="33">
        <f t="shared" si="13"/>
        <v>0</v>
      </c>
      <c r="AF300" s="37" t="s">
        <v>247</v>
      </c>
      <c r="AG300" s="37" t="s">
        <v>115</v>
      </c>
      <c r="AH300" s="37" t="s">
        <v>366</v>
      </c>
      <c r="AI300" s="37" t="s">
        <v>367</v>
      </c>
      <c r="AJ300" s="37" t="s">
        <v>116</v>
      </c>
      <c r="AK300" s="37"/>
      <c r="AL300" s="37"/>
      <c r="AM300" s="37"/>
      <c r="AN300" s="37" t="s">
        <v>248</v>
      </c>
      <c r="AO300" s="18" t="s">
        <v>490</v>
      </c>
      <c r="AP300" s="13"/>
    </row>
    <row r="301" spans="1:42" s="18" customFormat="1" x14ac:dyDescent="0.2">
      <c r="A301" s="18" t="s">
        <v>594</v>
      </c>
      <c r="B301" s="19" t="s">
        <v>1581</v>
      </c>
      <c r="C301" s="18" t="s">
        <v>218</v>
      </c>
      <c r="D301" s="19" t="s">
        <v>1604</v>
      </c>
      <c r="E301" s="18" t="s">
        <v>218</v>
      </c>
      <c r="G301" s="28" t="s">
        <v>415</v>
      </c>
      <c r="H301" s="28"/>
      <c r="I301" s="28"/>
      <c r="J301" s="28" t="s">
        <v>1039</v>
      </c>
      <c r="K301" s="28" t="s">
        <v>976</v>
      </c>
      <c r="L301" s="5">
        <v>47.99</v>
      </c>
      <c r="M301" s="35" t="s">
        <v>508</v>
      </c>
      <c r="N301" s="35"/>
      <c r="O301" s="345"/>
      <c r="P301" s="35"/>
      <c r="Q301" s="35"/>
      <c r="R301" s="187"/>
      <c r="S301" s="33">
        <v>2</v>
      </c>
      <c r="T301" s="33">
        <v>6.5</v>
      </c>
      <c r="U301" s="33">
        <v>5.5</v>
      </c>
      <c r="V301" s="70">
        <v>9</v>
      </c>
      <c r="W301" s="44" t="s">
        <v>856</v>
      </c>
      <c r="X301" s="33" t="s">
        <v>856</v>
      </c>
      <c r="Y301" s="33" t="s">
        <v>856</v>
      </c>
      <c r="Z301" s="70" t="s">
        <v>856</v>
      </c>
      <c r="AA301" s="44" t="s">
        <v>259</v>
      </c>
      <c r="AB301" s="33"/>
      <c r="AC301" s="33"/>
      <c r="AD301" s="70"/>
      <c r="AE301" s="33">
        <f t="shared" si="13"/>
        <v>0</v>
      </c>
      <c r="AF301" s="37" t="s">
        <v>249</v>
      </c>
      <c r="AG301" s="37" t="s">
        <v>115</v>
      </c>
      <c r="AH301" s="37" t="s">
        <v>366</v>
      </c>
      <c r="AI301" s="37" t="s">
        <v>367</v>
      </c>
      <c r="AJ301" s="37" t="s">
        <v>116</v>
      </c>
      <c r="AK301" s="37"/>
      <c r="AL301" s="37"/>
      <c r="AM301" s="37"/>
      <c r="AN301" s="37" t="s">
        <v>421</v>
      </c>
      <c r="AO301" s="18" t="s">
        <v>490</v>
      </c>
      <c r="AP301" s="13"/>
    </row>
    <row r="302" spans="1:42" s="18" customFormat="1" x14ac:dyDescent="0.2">
      <c r="A302" s="18" t="s">
        <v>594</v>
      </c>
      <c r="B302" s="19" t="s">
        <v>1581</v>
      </c>
      <c r="C302" s="18" t="s">
        <v>217</v>
      </c>
      <c r="D302" s="19" t="s">
        <v>1604</v>
      </c>
      <c r="E302" s="18" t="s">
        <v>217</v>
      </c>
      <c r="G302" s="28" t="s">
        <v>416</v>
      </c>
      <c r="H302" s="28"/>
      <c r="I302" s="28"/>
      <c r="J302" s="28" t="s">
        <v>1039</v>
      </c>
      <c r="K302" s="28" t="s">
        <v>976</v>
      </c>
      <c r="L302" s="5">
        <v>47.99</v>
      </c>
      <c r="M302" s="35" t="s">
        <v>508</v>
      </c>
      <c r="N302" s="35"/>
      <c r="O302" s="345"/>
      <c r="P302" s="35"/>
      <c r="Q302" s="35"/>
      <c r="R302" s="187"/>
      <c r="S302" s="33">
        <v>2</v>
      </c>
      <c r="T302" s="33">
        <v>6.5</v>
      </c>
      <c r="U302" s="33">
        <v>5.5</v>
      </c>
      <c r="V302" s="70">
        <v>9</v>
      </c>
      <c r="W302" s="44" t="s">
        <v>856</v>
      </c>
      <c r="X302" s="33" t="s">
        <v>856</v>
      </c>
      <c r="Y302" s="33" t="s">
        <v>856</v>
      </c>
      <c r="Z302" s="70" t="s">
        <v>856</v>
      </c>
      <c r="AA302" s="44" t="s">
        <v>259</v>
      </c>
      <c r="AB302" s="33"/>
      <c r="AC302" s="33"/>
      <c r="AD302" s="70"/>
      <c r="AE302" s="33">
        <f t="shared" si="13"/>
        <v>0</v>
      </c>
      <c r="AF302" s="37" t="s">
        <v>422</v>
      </c>
      <c r="AG302" s="37" t="s">
        <v>115</v>
      </c>
      <c r="AH302" s="37" t="s">
        <v>366</v>
      </c>
      <c r="AI302" s="37" t="s">
        <v>367</v>
      </c>
      <c r="AJ302" s="37" t="s">
        <v>116</v>
      </c>
      <c r="AK302" s="37"/>
      <c r="AL302" s="37"/>
      <c r="AM302" s="37"/>
      <c r="AN302" s="37" t="s">
        <v>356</v>
      </c>
      <c r="AO302" s="18" t="s">
        <v>490</v>
      </c>
      <c r="AP302" s="13"/>
    </row>
    <row r="303" spans="1:42" s="18" customFormat="1" x14ac:dyDescent="0.2">
      <c r="A303" s="18" t="s">
        <v>594</v>
      </c>
      <c r="B303" s="19" t="s">
        <v>1581</v>
      </c>
      <c r="C303" s="18" t="s">
        <v>483</v>
      </c>
      <c r="D303" s="19" t="s">
        <v>1604</v>
      </c>
      <c r="E303" s="18" t="s">
        <v>483</v>
      </c>
      <c r="G303" s="28" t="s">
        <v>417</v>
      </c>
      <c r="H303" s="28"/>
      <c r="I303" s="28"/>
      <c r="J303" s="28" t="s">
        <v>1039</v>
      </c>
      <c r="K303" s="28" t="s">
        <v>976</v>
      </c>
      <c r="L303" s="5">
        <v>47.99</v>
      </c>
      <c r="M303" s="35" t="s">
        <v>508</v>
      </c>
      <c r="N303" s="35"/>
      <c r="O303" s="345"/>
      <c r="P303" s="35"/>
      <c r="Q303" s="35"/>
      <c r="R303" s="187"/>
      <c r="S303" s="33">
        <v>2</v>
      </c>
      <c r="T303" s="33">
        <v>6.5</v>
      </c>
      <c r="U303" s="33">
        <v>5.5</v>
      </c>
      <c r="V303" s="70">
        <v>9</v>
      </c>
      <c r="W303" s="44" t="s">
        <v>856</v>
      </c>
      <c r="X303" s="33" t="s">
        <v>856</v>
      </c>
      <c r="Y303" s="33" t="s">
        <v>856</v>
      </c>
      <c r="Z303" s="70" t="s">
        <v>856</v>
      </c>
      <c r="AA303" s="44" t="s">
        <v>259</v>
      </c>
      <c r="AB303" s="33"/>
      <c r="AC303" s="33"/>
      <c r="AD303" s="70"/>
      <c r="AE303" s="33">
        <f t="shared" si="13"/>
        <v>0</v>
      </c>
      <c r="AF303" s="37" t="s">
        <v>357</v>
      </c>
      <c r="AG303" s="37" t="s">
        <v>115</v>
      </c>
      <c r="AH303" s="37" t="s">
        <v>366</v>
      </c>
      <c r="AI303" s="37" t="s">
        <v>367</v>
      </c>
      <c r="AJ303" s="37" t="s">
        <v>116</v>
      </c>
      <c r="AK303" s="37"/>
      <c r="AL303" s="37"/>
      <c r="AM303" s="37"/>
      <c r="AN303" s="37" t="s">
        <v>60</v>
      </c>
      <c r="AO303" s="18" t="s">
        <v>490</v>
      </c>
      <c r="AP303" s="13"/>
    </row>
    <row r="304" spans="1:42" s="18" customFormat="1" x14ac:dyDescent="0.2">
      <c r="A304" s="18" t="s">
        <v>594</v>
      </c>
      <c r="B304" s="19" t="s">
        <v>545</v>
      </c>
      <c r="C304" s="18" t="s">
        <v>118</v>
      </c>
      <c r="D304" s="19" t="s">
        <v>1602</v>
      </c>
      <c r="E304" s="18" t="s">
        <v>118</v>
      </c>
      <c r="G304" s="28" t="s">
        <v>627</v>
      </c>
      <c r="H304" s="28"/>
      <c r="I304" s="28"/>
      <c r="J304" s="28" t="s">
        <v>1039</v>
      </c>
      <c r="K304" s="28" t="s">
        <v>976</v>
      </c>
      <c r="L304" s="5">
        <v>32.99</v>
      </c>
      <c r="M304" s="35">
        <v>6</v>
      </c>
      <c r="N304" s="35">
        <v>6</v>
      </c>
      <c r="O304" s="345"/>
      <c r="P304" s="35"/>
      <c r="Q304" s="35"/>
      <c r="R304" s="187"/>
      <c r="S304" s="33">
        <v>0.5</v>
      </c>
      <c r="T304" s="33">
        <v>6.5</v>
      </c>
      <c r="U304" s="33">
        <v>2.125</v>
      </c>
      <c r="V304" s="70">
        <v>9.5</v>
      </c>
      <c r="W304" s="44" t="s">
        <v>856</v>
      </c>
      <c r="X304" s="33" t="s">
        <v>856</v>
      </c>
      <c r="Y304" s="33" t="s">
        <v>856</v>
      </c>
      <c r="Z304" s="70" t="s">
        <v>856</v>
      </c>
      <c r="AA304" s="44" t="s">
        <v>856</v>
      </c>
      <c r="AB304" s="33" t="s">
        <v>856</v>
      </c>
      <c r="AC304" s="33" t="s">
        <v>856</v>
      </c>
      <c r="AD304" s="70" t="s">
        <v>856</v>
      </c>
      <c r="AE304" s="33"/>
      <c r="AF304" s="37" t="s">
        <v>156</v>
      </c>
      <c r="AG304" s="37" t="s">
        <v>157</v>
      </c>
      <c r="AH304" s="37" t="s">
        <v>475</v>
      </c>
      <c r="AI304" s="37" t="s">
        <v>476</v>
      </c>
      <c r="AJ304" s="37" t="s">
        <v>191</v>
      </c>
      <c r="AK304" s="37"/>
      <c r="AL304" s="37"/>
      <c r="AM304" s="37"/>
      <c r="AN304" s="37" t="s">
        <v>365</v>
      </c>
      <c r="AO304" s="18" t="s">
        <v>490</v>
      </c>
      <c r="AP304" s="13"/>
    </row>
    <row r="305" spans="1:42" s="18" customFormat="1" x14ac:dyDescent="0.2">
      <c r="A305" s="18" t="s">
        <v>594</v>
      </c>
      <c r="B305" s="19" t="s">
        <v>1572</v>
      </c>
      <c r="C305" s="18" t="s">
        <v>222</v>
      </c>
      <c r="D305" s="19" t="s">
        <v>1602</v>
      </c>
      <c r="E305" s="18" t="s">
        <v>222</v>
      </c>
      <c r="G305" s="28" t="s">
        <v>628</v>
      </c>
      <c r="H305" s="28"/>
      <c r="I305" s="28"/>
      <c r="J305" s="28" t="s">
        <v>1039</v>
      </c>
      <c r="K305" s="28" t="s">
        <v>976</v>
      </c>
      <c r="L305" s="5">
        <v>34.99</v>
      </c>
      <c r="M305" s="35">
        <v>6</v>
      </c>
      <c r="N305" s="35">
        <v>6</v>
      </c>
      <c r="O305" s="345"/>
      <c r="P305" s="35"/>
      <c r="Q305" s="35"/>
      <c r="R305" s="187"/>
      <c r="S305" s="33">
        <v>0.5</v>
      </c>
      <c r="T305" s="33">
        <v>6.5</v>
      </c>
      <c r="U305" s="33">
        <v>2.125</v>
      </c>
      <c r="V305" s="70">
        <v>9.5</v>
      </c>
      <c r="W305" s="44" t="s">
        <v>856</v>
      </c>
      <c r="X305" s="33" t="s">
        <v>856</v>
      </c>
      <c r="Y305" s="33" t="s">
        <v>856</v>
      </c>
      <c r="Z305" s="70" t="s">
        <v>856</v>
      </c>
      <c r="AA305" s="44" t="s">
        <v>856</v>
      </c>
      <c r="AB305" s="33" t="s">
        <v>856</v>
      </c>
      <c r="AC305" s="33" t="s">
        <v>856</v>
      </c>
      <c r="AD305" s="70" t="s">
        <v>856</v>
      </c>
      <c r="AE305" s="33"/>
      <c r="AF305" s="37" t="s">
        <v>156</v>
      </c>
      <c r="AG305" s="37" t="s">
        <v>157</v>
      </c>
      <c r="AH305" s="37" t="s">
        <v>475</v>
      </c>
      <c r="AI305" s="37" t="s">
        <v>476</v>
      </c>
      <c r="AJ305" s="37" t="s">
        <v>191</v>
      </c>
      <c r="AK305" s="37"/>
      <c r="AL305" s="37"/>
      <c r="AM305" s="37"/>
      <c r="AN305" s="37" t="s">
        <v>365</v>
      </c>
      <c r="AO305" s="18" t="s">
        <v>490</v>
      </c>
      <c r="AP305" s="13"/>
    </row>
    <row r="306" spans="1:42" s="18" customFormat="1" x14ac:dyDescent="0.2">
      <c r="A306" s="18" t="s">
        <v>594</v>
      </c>
      <c r="B306" s="19" t="s">
        <v>1572</v>
      </c>
      <c r="C306" s="18" t="s">
        <v>218</v>
      </c>
      <c r="D306" s="19" t="s">
        <v>1602</v>
      </c>
      <c r="E306" s="18" t="s">
        <v>218</v>
      </c>
      <c r="G306" s="28" t="s">
        <v>629</v>
      </c>
      <c r="H306" s="28"/>
      <c r="I306" s="28"/>
      <c r="J306" s="28" t="s">
        <v>1039</v>
      </c>
      <c r="K306" s="28" t="s">
        <v>976</v>
      </c>
      <c r="L306" s="5">
        <v>34.99</v>
      </c>
      <c r="M306" s="35">
        <v>6</v>
      </c>
      <c r="N306" s="35">
        <v>6</v>
      </c>
      <c r="O306" s="345"/>
      <c r="P306" s="35"/>
      <c r="Q306" s="35"/>
      <c r="R306" s="187"/>
      <c r="S306" s="33">
        <v>0.5</v>
      </c>
      <c r="T306" s="33">
        <v>6.5</v>
      </c>
      <c r="U306" s="33">
        <v>2.125</v>
      </c>
      <c r="V306" s="70">
        <v>9.5</v>
      </c>
      <c r="W306" s="44" t="s">
        <v>856</v>
      </c>
      <c r="X306" s="33" t="s">
        <v>856</v>
      </c>
      <c r="Y306" s="33" t="s">
        <v>856</v>
      </c>
      <c r="Z306" s="70" t="s">
        <v>856</v>
      </c>
      <c r="AA306" s="44" t="s">
        <v>856</v>
      </c>
      <c r="AB306" s="33" t="s">
        <v>856</v>
      </c>
      <c r="AC306" s="33" t="s">
        <v>856</v>
      </c>
      <c r="AD306" s="70" t="s">
        <v>856</v>
      </c>
      <c r="AE306" s="33"/>
      <c r="AF306" s="37" t="s">
        <v>156</v>
      </c>
      <c r="AG306" s="37" t="s">
        <v>157</v>
      </c>
      <c r="AH306" s="37" t="s">
        <v>475</v>
      </c>
      <c r="AI306" s="37" t="s">
        <v>476</v>
      </c>
      <c r="AJ306" s="37" t="s">
        <v>191</v>
      </c>
      <c r="AK306" s="37"/>
      <c r="AL306" s="37"/>
      <c r="AM306" s="37"/>
      <c r="AN306" s="37" t="s">
        <v>365</v>
      </c>
      <c r="AO306" s="18" t="s">
        <v>490</v>
      </c>
      <c r="AP306" s="13"/>
    </row>
    <row r="307" spans="1:42" s="18" customFormat="1" x14ac:dyDescent="0.2">
      <c r="A307" s="18" t="s">
        <v>594</v>
      </c>
      <c r="B307" s="19" t="s">
        <v>1572</v>
      </c>
      <c r="C307" s="18" t="s">
        <v>217</v>
      </c>
      <c r="D307" s="19" t="s">
        <v>1602</v>
      </c>
      <c r="E307" s="18" t="s">
        <v>217</v>
      </c>
      <c r="G307" s="28" t="s">
        <v>630</v>
      </c>
      <c r="H307" s="28"/>
      <c r="I307" s="28"/>
      <c r="J307" s="28" t="s">
        <v>1039</v>
      </c>
      <c r="K307" s="28" t="s">
        <v>976</v>
      </c>
      <c r="L307" s="5">
        <v>34.99</v>
      </c>
      <c r="M307" s="35">
        <v>6</v>
      </c>
      <c r="N307" s="35">
        <v>6</v>
      </c>
      <c r="O307" s="345"/>
      <c r="P307" s="35"/>
      <c r="Q307" s="35"/>
      <c r="R307" s="187"/>
      <c r="S307" s="33">
        <v>0.5</v>
      </c>
      <c r="T307" s="33">
        <v>6.5</v>
      </c>
      <c r="U307" s="33">
        <v>2.125</v>
      </c>
      <c r="V307" s="70">
        <v>9.5</v>
      </c>
      <c r="W307" s="44" t="s">
        <v>856</v>
      </c>
      <c r="X307" s="33" t="s">
        <v>856</v>
      </c>
      <c r="Y307" s="33" t="s">
        <v>856</v>
      </c>
      <c r="Z307" s="70" t="s">
        <v>856</v>
      </c>
      <c r="AA307" s="44" t="s">
        <v>856</v>
      </c>
      <c r="AB307" s="33" t="s">
        <v>856</v>
      </c>
      <c r="AC307" s="33" t="s">
        <v>856</v>
      </c>
      <c r="AD307" s="70" t="s">
        <v>856</v>
      </c>
      <c r="AE307" s="33"/>
      <c r="AF307" s="37" t="s">
        <v>156</v>
      </c>
      <c r="AG307" s="37" t="s">
        <v>157</v>
      </c>
      <c r="AH307" s="37" t="s">
        <v>475</v>
      </c>
      <c r="AI307" s="37" t="s">
        <v>476</v>
      </c>
      <c r="AJ307" s="37" t="s">
        <v>191</v>
      </c>
      <c r="AK307" s="37"/>
      <c r="AL307" s="37"/>
      <c r="AM307" s="37"/>
      <c r="AN307" s="37" t="s">
        <v>365</v>
      </c>
      <c r="AO307" s="18" t="s">
        <v>490</v>
      </c>
      <c r="AP307" s="13"/>
    </row>
    <row r="308" spans="1:42" s="18" customFormat="1" x14ac:dyDescent="0.2">
      <c r="A308" s="18" t="s">
        <v>594</v>
      </c>
      <c r="B308" s="19" t="s">
        <v>1572</v>
      </c>
      <c r="C308" s="18" t="s">
        <v>484</v>
      </c>
      <c r="D308" s="19" t="s">
        <v>1602</v>
      </c>
      <c r="E308" s="18" t="s">
        <v>484</v>
      </c>
      <c r="G308" s="28" t="s">
        <v>631</v>
      </c>
      <c r="H308" s="28"/>
      <c r="I308" s="28"/>
      <c r="J308" s="28" t="s">
        <v>1039</v>
      </c>
      <c r="K308" s="28" t="s">
        <v>976</v>
      </c>
      <c r="L308" s="5">
        <v>34.99</v>
      </c>
      <c r="M308" s="35">
        <v>6</v>
      </c>
      <c r="N308" s="35">
        <v>6</v>
      </c>
      <c r="O308" s="345"/>
      <c r="P308" s="35"/>
      <c r="Q308" s="35"/>
      <c r="R308" s="187"/>
      <c r="S308" s="33">
        <v>0.5</v>
      </c>
      <c r="T308" s="33">
        <v>6.5</v>
      </c>
      <c r="U308" s="33">
        <v>2.125</v>
      </c>
      <c r="V308" s="70">
        <v>9.5</v>
      </c>
      <c r="W308" s="44" t="s">
        <v>856</v>
      </c>
      <c r="X308" s="33" t="s">
        <v>856</v>
      </c>
      <c r="Y308" s="33" t="s">
        <v>856</v>
      </c>
      <c r="Z308" s="70" t="s">
        <v>856</v>
      </c>
      <c r="AA308" s="44" t="s">
        <v>856</v>
      </c>
      <c r="AB308" s="33" t="s">
        <v>856</v>
      </c>
      <c r="AC308" s="33" t="s">
        <v>856</v>
      </c>
      <c r="AD308" s="70" t="s">
        <v>856</v>
      </c>
      <c r="AE308" s="33"/>
      <c r="AF308" s="37" t="s">
        <v>156</v>
      </c>
      <c r="AG308" s="37" t="s">
        <v>157</v>
      </c>
      <c r="AH308" s="37" t="s">
        <v>475</v>
      </c>
      <c r="AI308" s="37" t="s">
        <v>476</v>
      </c>
      <c r="AJ308" s="37" t="s">
        <v>191</v>
      </c>
      <c r="AK308" s="37"/>
      <c r="AL308" s="37"/>
      <c r="AM308" s="37"/>
      <c r="AN308" s="37" t="s">
        <v>365</v>
      </c>
      <c r="AO308" s="18" t="s">
        <v>490</v>
      </c>
      <c r="AP308" s="13"/>
    </row>
    <row r="309" spans="1:42" s="18" customFormat="1" x14ac:dyDescent="0.2">
      <c r="A309" s="18" t="s">
        <v>594</v>
      </c>
      <c r="B309" s="19" t="s">
        <v>1572</v>
      </c>
      <c r="C309" s="18" t="s">
        <v>483</v>
      </c>
      <c r="D309" s="19" t="s">
        <v>1602</v>
      </c>
      <c r="E309" s="18" t="s">
        <v>483</v>
      </c>
      <c r="G309" s="28" t="s">
        <v>632</v>
      </c>
      <c r="H309" s="28"/>
      <c r="I309" s="28"/>
      <c r="J309" s="28" t="s">
        <v>1039</v>
      </c>
      <c r="K309" s="28" t="s">
        <v>976</v>
      </c>
      <c r="L309" s="5">
        <v>34.99</v>
      </c>
      <c r="M309" s="35">
        <v>6</v>
      </c>
      <c r="N309" s="35">
        <v>6</v>
      </c>
      <c r="O309" s="345"/>
      <c r="P309" s="35"/>
      <c r="Q309" s="35"/>
      <c r="R309" s="187"/>
      <c r="S309" s="33">
        <v>0.5</v>
      </c>
      <c r="T309" s="33">
        <v>6.5</v>
      </c>
      <c r="U309" s="33">
        <v>2.125</v>
      </c>
      <c r="V309" s="70">
        <v>9.5</v>
      </c>
      <c r="W309" s="44" t="s">
        <v>856</v>
      </c>
      <c r="X309" s="33" t="s">
        <v>856</v>
      </c>
      <c r="Y309" s="33" t="s">
        <v>856</v>
      </c>
      <c r="Z309" s="70" t="s">
        <v>856</v>
      </c>
      <c r="AA309" s="44" t="s">
        <v>856</v>
      </c>
      <c r="AB309" s="33" t="s">
        <v>856</v>
      </c>
      <c r="AC309" s="33" t="s">
        <v>856</v>
      </c>
      <c r="AD309" s="70" t="s">
        <v>856</v>
      </c>
      <c r="AE309" s="33"/>
      <c r="AF309" s="37" t="s">
        <v>156</v>
      </c>
      <c r="AG309" s="37" t="s">
        <v>157</v>
      </c>
      <c r="AH309" s="37" t="s">
        <v>475</v>
      </c>
      <c r="AI309" s="37" t="s">
        <v>476</v>
      </c>
      <c r="AJ309" s="37" t="s">
        <v>191</v>
      </c>
      <c r="AK309" s="37"/>
      <c r="AL309" s="37"/>
      <c r="AM309" s="37"/>
      <c r="AN309" s="37" t="s">
        <v>365</v>
      </c>
      <c r="AO309" s="18" t="s">
        <v>490</v>
      </c>
      <c r="AP309" s="13"/>
    </row>
    <row r="310" spans="1:42" s="18" customFormat="1" x14ac:dyDescent="0.2">
      <c r="A310" s="18" t="s">
        <v>594</v>
      </c>
      <c r="B310" s="19" t="s">
        <v>546</v>
      </c>
      <c r="C310" s="18" t="s">
        <v>119</v>
      </c>
      <c r="D310" s="19" t="s">
        <v>1602</v>
      </c>
      <c r="E310" s="18" t="s">
        <v>119</v>
      </c>
      <c r="G310" s="28" t="s">
        <v>633</v>
      </c>
      <c r="H310" s="28"/>
      <c r="I310" s="28"/>
      <c r="J310" s="28" t="s">
        <v>1039</v>
      </c>
      <c r="K310" s="28" t="s">
        <v>976</v>
      </c>
      <c r="L310" s="5">
        <v>39.99</v>
      </c>
      <c r="M310" s="35">
        <v>6</v>
      </c>
      <c r="N310" s="35">
        <v>6</v>
      </c>
      <c r="O310" s="345"/>
      <c r="P310" s="35"/>
      <c r="Q310" s="35"/>
      <c r="R310" s="187"/>
      <c r="S310" s="33">
        <v>0.5</v>
      </c>
      <c r="T310" s="33">
        <v>6.5</v>
      </c>
      <c r="U310" s="33">
        <v>2.125</v>
      </c>
      <c r="V310" s="70">
        <v>9.5</v>
      </c>
      <c r="W310" s="44" t="s">
        <v>856</v>
      </c>
      <c r="X310" s="33" t="s">
        <v>856</v>
      </c>
      <c r="Y310" s="33" t="s">
        <v>856</v>
      </c>
      <c r="Z310" s="70" t="s">
        <v>856</v>
      </c>
      <c r="AA310" s="44" t="s">
        <v>856</v>
      </c>
      <c r="AB310" s="33" t="s">
        <v>856</v>
      </c>
      <c r="AC310" s="33" t="s">
        <v>856</v>
      </c>
      <c r="AD310" s="70" t="s">
        <v>856</v>
      </c>
      <c r="AE310" s="33"/>
      <c r="AF310" s="37" t="s">
        <v>156</v>
      </c>
      <c r="AG310" s="37" t="s">
        <v>157</v>
      </c>
      <c r="AH310" s="37" t="s">
        <v>475</v>
      </c>
      <c r="AI310" s="37" t="s">
        <v>476</v>
      </c>
      <c r="AJ310" s="37" t="s">
        <v>191</v>
      </c>
      <c r="AK310" s="37"/>
      <c r="AL310" s="37"/>
      <c r="AM310" s="37"/>
      <c r="AN310" s="37" t="s">
        <v>365</v>
      </c>
      <c r="AO310" s="18" t="s">
        <v>490</v>
      </c>
      <c r="AP310" s="13"/>
    </row>
    <row r="311" spans="1:42" s="18" customFormat="1" x14ac:dyDescent="0.2">
      <c r="A311" s="18" t="s">
        <v>594</v>
      </c>
      <c r="B311" s="19" t="s">
        <v>528</v>
      </c>
      <c r="C311" s="18" t="s">
        <v>118</v>
      </c>
      <c r="D311" s="57" t="s">
        <v>1603</v>
      </c>
      <c r="E311" s="18" t="s">
        <v>118</v>
      </c>
      <c r="G311" s="28" t="s">
        <v>774</v>
      </c>
      <c r="H311" s="28"/>
      <c r="I311" s="28"/>
      <c r="J311" s="28" t="s">
        <v>1039</v>
      </c>
      <c r="K311" s="36" t="s">
        <v>975</v>
      </c>
      <c r="L311" s="5">
        <v>14.99</v>
      </c>
      <c r="M311" s="35">
        <v>6</v>
      </c>
      <c r="N311" s="35">
        <v>36</v>
      </c>
      <c r="O311" s="345"/>
      <c r="P311" s="35"/>
      <c r="Q311" s="35"/>
      <c r="R311" s="187"/>
      <c r="S311" s="33">
        <v>0.32</v>
      </c>
      <c r="T311" s="33">
        <v>7.75</v>
      </c>
      <c r="U311" s="33">
        <v>6.6</v>
      </c>
      <c r="V311" s="70">
        <v>2.1</v>
      </c>
      <c r="W311" s="44">
        <v>2.15</v>
      </c>
      <c r="X311" s="33">
        <v>7.25</v>
      </c>
      <c r="Y311" s="33">
        <v>8.5</v>
      </c>
      <c r="Z311" s="70">
        <v>8.5</v>
      </c>
      <c r="AA311" s="44">
        <v>14.9</v>
      </c>
      <c r="AB311" s="33">
        <v>18</v>
      </c>
      <c r="AC311" s="33">
        <v>22</v>
      </c>
      <c r="AD311" s="70">
        <v>9.25</v>
      </c>
      <c r="AE311" s="33">
        <f>AB311*AC311*AD311/(12^3)</f>
        <v>2.1197916666666665</v>
      </c>
      <c r="AF311" s="37" t="s">
        <v>705</v>
      </c>
      <c r="AG311" s="37" t="s">
        <v>706</v>
      </c>
      <c r="AH311" s="37" t="s">
        <v>708</v>
      </c>
      <c r="AI311" s="40" t="s">
        <v>707</v>
      </c>
      <c r="AJ311" s="37" t="s">
        <v>158</v>
      </c>
      <c r="AK311" s="37"/>
      <c r="AL311" s="37"/>
      <c r="AM311" s="37"/>
      <c r="AN311" s="37" t="s">
        <v>709</v>
      </c>
      <c r="AO311" s="18" t="s">
        <v>490</v>
      </c>
      <c r="AP311" s="13"/>
    </row>
    <row r="312" spans="1:42" s="18" customFormat="1" x14ac:dyDescent="0.2">
      <c r="A312" s="18" t="s">
        <v>594</v>
      </c>
      <c r="B312" s="19" t="s">
        <v>528</v>
      </c>
      <c r="C312" s="18" t="s">
        <v>484</v>
      </c>
      <c r="D312" s="57" t="s">
        <v>1603</v>
      </c>
      <c r="E312" s="18" t="s">
        <v>484</v>
      </c>
      <c r="G312" s="28" t="s">
        <v>832</v>
      </c>
      <c r="H312" s="28"/>
      <c r="I312" s="28"/>
      <c r="J312" s="28" t="s">
        <v>1039</v>
      </c>
      <c r="K312" s="36" t="s">
        <v>975</v>
      </c>
      <c r="L312" s="5">
        <v>14.99</v>
      </c>
      <c r="M312" s="35">
        <v>6</v>
      </c>
      <c r="N312" s="35">
        <v>36</v>
      </c>
      <c r="O312" s="345"/>
      <c r="P312" s="35"/>
      <c r="Q312" s="35"/>
      <c r="R312" s="187"/>
      <c r="S312" s="33">
        <v>0.32</v>
      </c>
      <c r="T312" s="33">
        <v>7.75</v>
      </c>
      <c r="U312" s="33">
        <v>6.6</v>
      </c>
      <c r="V312" s="70">
        <v>2.1</v>
      </c>
      <c r="W312" s="44">
        <v>2.15</v>
      </c>
      <c r="X312" s="33">
        <v>7.25</v>
      </c>
      <c r="Y312" s="33">
        <v>8.5</v>
      </c>
      <c r="Z312" s="70">
        <v>8.5</v>
      </c>
      <c r="AA312" s="44">
        <v>14.9</v>
      </c>
      <c r="AB312" s="33">
        <v>18</v>
      </c>
      <c r="AC312" s="33">
        <v>22</v>
      </c>
      <c r="AD312" s="70">
        <v>9.25</v>
      </c>
      <c r="AE312" s="33">
        <f>AB312*AC312*AD312/(12^3)</f>
        <v>2.1197916666666665</v>
      </c>
      <c r="AF312" s="37" t="s">
        <v>705</v>
      </c>
      <c r="AG312" s="37" t="s">
        <v>706</v>
      </c>
      <c r="AH312" s="37" t="s">
        <v>708</v>
      </c>
      <c r="AI312" s="40" t="s">
        <v>707</v>
      </c>
      <c r="AJ312" s="37" t="s">
        <v>158</v>
      </c>
      <c r="AK312" s="37"/>
      <c r="AL312" s="37"/>
      <c r="AM312" s="37"/>
      <c r="AN312" s="37" t="s">
        <v>709</v>
      </c>
      <c r="AO312" s="18" t="s">
        <v>490</v>
      </c>
      <c r="AP312" s="13"/>
    </row>
    <row r="313" spans="1:42" s="18" customFormat="1" x14ac:dyDescent="0.2">
      <c r="A313" s="18" t="s">
        <v>594</v>
      </c>
      <c r="B313" s="19" t="s">
        <v>528</v>
      </c>
      <c r="C313" s="18" t="s">
        <v>221</v>
      </c>
      <c r="D313" s="57" t="s">
        <v>1603</v>
      </c>
      <c r="E313" s="18" t="s">
        <v>221</v>
      </c>
      <c r="G313" s="28" t="s">
        <v>527</v>
      </c>
      <c r="H313" s="28"/>
      <c r="I313" s="28"/>
      <c r="J313" s="28" t="s">
        <v>1039</v>
      </c>
      <c r="K313" s="36" t="s">
        <v>975</v>
      </c>
      <c r="L313" s="5">
        <v>14.99</v>
      </c>
      <c r="M313" s="35">
        <v>6</v>
      </c>
      <c r="N313" s="35">
        <v>36</v>
      </c>
      <c r="O313" s="345"/>
      <c r="P313" s="35"/>
      <c r="Q313" s="35"/>
      <c r="R313" s="187"/>
      <c r="S313" s="33">
        <v>0.32</v>
      </c>
      <c r="T313" s="33">
        <v>7.75</v>
      </c>
      <c r="U313" s="33">
        <v>6.6</v>
      </c>
      <c r="V313" s="70">
        <v>2.1</v>
      </c>
      <c r="W313" s="44">
        <v>2.15</v>
      </c>
      <c r="X313" s="33">
        <v>7.25</v>
      </c>
      <c r="Y313" s="33">
        <v>8.5</v>
      </c>
      <c r="Z313" s="70">
        <v>8.5</v>
      </c>
      <c r="AA313" s="44">
        <v>14.9</v>
      </c>
      <c r="AB313" s="33">
        <v>18</v>
      </c>
      <c r="AC313" s="33">
        <v>22</v>
      </c>
      <c r="AD313" s="70">
        <v>9.25</v>
      </c>
      <c r="AE313" s="33">
        <f>AB313*AC313*AD313/(12^3)</f>
        <v>2.1197916666666665</v>
      </c>
      <c r="AF313" s="37" t="s">
        <v>705</v>
      </c>
      <c r="AG313" s="37" t="s">
        <v>706</v>
      </c>
      <c r="AH313" s="37" t="s">
        <v>708</v>
      </c>
      <c r="AI313" s="40" t="s">
        <v>707</v>
      </c>
      <c r="AJ313" s="37" t="s">
        <v>158</v>
      </c>
      <c r="AK313" s="37"/>
      <c r="AL313" s="37"/>
      <c r="AM313" s="37"/>
      <c r="AN313" s="37" t="s">
        <v>709</v>
      </c>
      <c r="AO313" s="18" t="s">
        <v>490</v>
      </c>
      <c r="AP313" s="13"/>
    </row>
    <row r="314" spans="1:42" s="18" customFormat="1" x14ac:dyDescent="0.2">
      <c r="A314" s="18" t="s">
        <v>594</v>
      </c>
      <c r="B314" s="19" t="s">
        <v>528</v>
      </c>
      <c r="C314" s="18" t="s">
        <v>483</v>
      </c>
      <c r="D314" s="57" t="s">
        <v>1603</v>
      </c>
      <c r="E314" s="18" t="s">
        <v>483</v>
      </c>
      <c r="G314" s="28" t="s">
        <v>525</v>
      </c>
      <c r="H314" s="28"/>
      <c r="I314" s="28"/>
      <c r="J314" s="28" t="s">
        <v>1039</v>
      </c>
      <c r="K314" s="36" t="s">
        <v>975</v>
      </c>
      <c r="L314" s="5">
        <v>14.99</v>
      </c>
      <c r="M314" s="35">
        <v>6</v>
      </c>
      <c r="N314" s="35">
        <v>36</v>
      </c>
      <c r="O314" s="345"/>
      <c r="P314" s="35"/>
      <c r="Q314" s="35"/>
      <c r="R314" s="187"/>
      <c r="S314" s="33">
        <v>0.32</v>
      </c>
      <c r="T314" s="33">
        <v>7.75</v>
      </c>
      <c r="U314" s="33">
        <v>6.6</v>
      </c>
      <c r="V314" s="70">
        <v>2.1</v>
      </c>
      <c r="W314" s="44">
        <v>2.15</v>
      </c>
      <c r="X314" s="33">
        <v>7.25</v>
      </c>
      <c r="Y314" s="33">
        <v>8.5</v>
      </c>
      <c r="Z314" s="70">
        <v>8.5</v>
      </c>
      <c r="AA314" s="44">
        <v>14.9</v>
      </c>
      <c r="AB314" s="33">
        <v>18</v>
      </c>
      <c r="AC314" s="33">
        <v>22</v>
      </c>
      <c r="AD314" s="70">
        <v>9.25</v>
      </c>
      <c r="AE314" s="33">
        <f>AB314*AC314*AD314/(12^3)</f>
        <v>2.1197916666666665</v>
      </c>
      <c r="AF314" s="37" t="s">
        <v>705</v>
      </c>
      <c r="AG314" s="37" t="s">
        <v>706</v>
      </c>
      <c r="AH314" s="37" t="s">
        <v>708</v>
      </c>
      <c r="AI314" s="40" t="s">
        <v>707</v>
      </c>
      <c r="AJ314" s="37" t="s">
        <v>158</v>
      </c>
      <c r="AK314" s="37"/>
      <c r="AL314" s="37"/>
      <c r="AM314" s="37"/>
      <c r="AN314" s="37" t="s">
        <v>709</v>
      </c>
      <c r="AO314" s="18" t="s">
        <v>490</v>
      </c>
      <c r="AP314" s="13"/>
    </row>
    <row r="315" spans="1:42" s="18" customFormat="1" x14ac:dyDescent="0.2">
      <c r="A315" s="18" t="s">
        <v>594</v>
      </c>
      <c r="B315" s="33" t="s">
        <v>1781</v>
      </c>
      <c r="C315" s="33" t="s">
        <v>383</v>
      </c>
      <c r="D315" s="34" t="s">
        <v>1782</v>
      </c>
      <c r="E315" s="33" t="s">
        <v>383</v>
      </c>
      <c r="F315" s="33"/>
      <c r="G315" s="28" t="s">
        <v>1783</v>
      </c>
      <c r="H315" s="28"/>
      <c r="I315" s="28"/>
      <c r="J315" s="36" t="s">
        <v>458</v>
      </c>
      <c r="K315" s="36" t="s">
        <v>975</v>
      </c>
      <c r="L315" s="5">
        <v>9.99</v>
      </c>
      <c r="M315" s="35">
        <v>6</v>
      </c>
      <c r="N315" s="35">
        <v>36</v>
      </c>
      <c r="O315" s="345"/>
      <c r="P315" s="35"/>
      <c r="Q315" s="35"/>
      <c r="R315" s="187"/>
      <c r="S315" s="33">
        <v>0.2</v>
      </c>
      <c r="T315" s="33">
        <v>6.5</v>
      </c>
      <c r="U315" s="33">
        <v>5.5</v>
      </c>
      <c r="V315" s="70">
        <v>2</v>
      </c>
      <c r="W315" s="44">
        <v>1.35</v>
      </c>
      <c r="X315" s="33">
        <v>6</v>
      </c>
      <c r="Y315" s="33">
        <v>7</v>
      </c>
      <c r="Z315" s="70">
        <v>7</v>
      </c>
      <c r="AA315" s="44">
        <v>9.1</v>
      </c>
      <c r="AB315" s="33">
        <v>21</v>
      </c>
      <c r="AC315" s="33">
        <v>15</v>
      </c>
      <c r="AD315" s="70">
        <v>7</v>
      </c>
      <c r="AE315" s="33">
        <f>AB315*AC315*AD315/(12^3)</f>
        <v>1.2760416666666667</v>
      </c>
      <c r="AF315" s="24" t="s">
        <v>1784</v>
      </c>
      <c r="AG315" s="19" t="s">
        <v>1785</v>
      </c>
      <c r="AH315" s="18" t="s">
        <v>1786</v>
      </c>
      <c r="AI315" s="24" t="s">
        <v>1787</v>
      </c>
      <c r="AJ315" s="96" t="s">
        <v>1788</v>
      </c>
      <c r="AK315" s="96"/>
      <c r="AL315" s="96"/>
      <c r="AM315" s="96"/>
      <c r="AN315" s="85" t="s">
        <v>1789</v>
      </c>
      <c r="AO315" s="18" t="s">
        <v>490</v>
      </c>
    </row>
    <row r="316" spans="1:42" s="18" customFormat="1" x14ac:dyDescent="0.2">
      <c r="A316" s="18" t="s">
        <v>594</v>
      </c>
      <c r="B316" s="19" t="s">
        <v>1571</v>
      </c>
      <c r="C316" s="18" t="s">
        <v>222</v>
      </c>
      <c r="D316" s="19" t="s">
        <v>2126</v>
      </c>
      <c r="E316" s="18" t="s">
        <v>222</v>
      </c>
      <c r="G316" s="28" t="s">
        <v>617</v>
      </c>
      <c r="H316" s="28"/>
      <c r="I316" s="28"/>
      <c r="J316" s="28" t="s">
        <v>1039</v>
      </c>
      <c r="K316" s="28" t="s">
        <v>976</v>
      </c>
      <c r="L316" s="5">
        <v>27.99</v>
      </c>
      <c r="M316" s="35">
        <v>6</v>
      </c>
      <c r="N316" s="35">
        <v>6</v>
      </c>
      <c r="O316" s="345"/>
      <c r="P316" s="35"/>
      <c r="Q316" s="35"/>
      <c r="R316" s="187"/>
      <c r="S316" s="33">
        <v>0.5</v>
      </c>
      <c r="T316" s="33">
        <v>2.125</v>
      </c>
      <c r="U316" s="33">
        <v>6.5</v>
      </c>
      <c r="V316" s="70">
        <v>9.5</v>
      </c>
      <c r="W316" s="44" t="s">
        <v>856</v>
      </c>
      <c r="X316" s="33" t="s">
        <v>856</v>
      </c>
      <c r="Y316" s="33" t="s">
        <v>856</v>
      </c>
      <c r="Z316" s="70" t="s">
        <v>856</v>
      </c>
      <c r="AA316" s="44" t="s">
        <v>856</v>
      </c>
      <c r="AB316" s="33" t="s">
        <v>856</v>
      </c>
      <c r="AC316" s="33" t="s">
        <v>856</v>
      </c>
      <c r="AD316" s="70" t="s">
        <v>856</v>
      </c>
      <c r="AE316" s="33"/>
      <c r="AF316" s="63" t="s">
        <v>2127</v>
      </c>
      <c r="AG316" s="63" t="s">
        <v>2128</v>
      </c>
      <c r="AH316" s="104" t="s">
        <v>2129</v>
      </c>
      <c r="AI316" s="63" t="s">
        <v>2108</v>
      </c>
      <c r="AJ316" s="63" t="s">
        <v>2109</v>
      </c>
      <c r="AK316" s="104" t="s">
        <v>2110</v>
      </c>
      <c r="AL316" s="104" t="s">
        <v>2111</v>
      </c>
      <c r="AM316" s="63" t="s">
        <v>2112</v>
      </c>
      <c r="AN316" s="558" t="s">
        <v>2130</v>
      </c>
      <c r="AO316" s="18" t="s">
        <v>456</v>
      </c>
      <c r="AP316" s="37" t="s">
        <v>2114</v>
      </c>
    </row>
    <row r="317" spans="1:42" s="18" customFormat="1" x14ac:dyDescent="0.2">
      <c r="A317" s="18" t="s">
        <v>594</v>
      </c>
      <c r="B317" s="19" t="s">
        <v>1571</v>
      </c>
      <c r="C317" s="18" t="s">
        <v>218</v>
      </c>
      <c r="D317" s="19" t="s">
        <v>2126</v>
      </c>
      <c r="E317" s="18" t="s">
        <v>218</v>
      </c>
      <c r="G317" s="28" t="s">
        <v>618</v>
      </c>
      <c r="H317" s="28"/>
      <c r="I317" s="28"/>
      <c r="J317" s="28" t="s">
        <v>1039</v>
      </c>
      <c r="K317" s="28" t="s">
        <v>976</v>
      </c>
      <c r="L317" s="5">
        <v>27.99</v>
      </c>
      <c r="M317" s="35">
        <v>6</v>
      </c>
      <c r="N317" s="35">
        <v>6</v>
      </c>
      <c r="O317" s="345"/>
      <c r="P317" s="35"/>
      <c r="Q317" s="35"/>
      <c r="R317" s="187"/>
      <c r="S317" s="33">
        <v>0.5</v>
      </c>
      <c r="T317" s="33">
        <v>2.125</v>
      </c>
      <c r="U317" s="33">
        <v>6.5</v>
      </c>
      <c r="V317" s="70">
        <v>9.5</v>
      </c>
      <c r="W317" s="44" t="s">
        <v>856</v>
      </c>
      <c r="X317" s="33" t="s">
        <v>856</v>
      </c>
      <c r="Y317" s="33" t="s">
        <v>856</v>
      </c>
      <c r="Z317" s="70" t="s">
        <v>856</v>
      </c>
      <c r="AA317" s="44" t="s">
        <v>856</v>
      </c>
      <c r="AB317" s="33" t="s">
        <v>856</v>
      </c>
      <c r="AC317" s="33" t="s">
        <v>856</v>
      </c>
      <c r="AD317" s="70" t="s">
        <v>856</v>
      </c>
      <c r="AE317" s="33"/>
      <c r="AF317" s="63" t="s">
        <v>2127</v>
      </c>
      <c r="AG317" s="63" t="s">
        <v>2128</v>
      </c>
      <c r="AH317" s="104" t="s">
        <v>2129</v>
      </c>
      <c r="AI317" s="63" t="s">
        <v>2108</v>
      </c>
      <c r="AJ317" s="63" t="s">
        <v>2109</v>
      </c>
      <c r="AK317" s="104" t="s">
        <v>2110</v>
      </c>
      <c r="AL317" s="104" t="s">
        <v>2111</v>
      </c>
      <c r="AM317" s="63" t="s">
        <v>2112</v>
      </c>
      <c r="AN317" s="558" t="s">
        <v>2130</v>
      </c>
      <c r="AO317" s="18" t="s">
        <v>456</v>
      </c>
      <c r="AP317" s="37" t="s">
        <v>2114</v>
      </c>
    </row>
    <row r="318" spans="1:42" s="18" customFormat="1" x14ac:dyDescent="0.2">
      <c r="A318" s="18" t="s">
        <v>594</v>
      </c>
      <c r="B318" s="19" t="s">
        <v>1571</v>
      </c>
      <c r="C318" s="18" t="s">
        <v>217</v>
      </c>
      <c r="D318" s="19" t="s">
        <v>2126</v>
      </c>
      <c r="E318" s="18" t="s">
        <v>217</v>
      </c>
      <c r="G318" s="28" t="s">
        <v>619</v>
      </c>
      <c r="H318" s="28"/>
      <c r="I318" s="28"/>
      <c r="J318" s="28" t="s">
        <v>1039</v>
      </c>
      <c r="K318" s="28" t="s">
        <v>976</v>
      </c>
      <c r="L318" s="5">
        <v>27.99</v>
      </c>
      <c r="M318" s="35">
        <v>6</v>
      </c>
      <c r="N318" s="35">
        <v>6</v>
      </c>
      <c r="O318" s="345"/>
      <c r="P318" s="35"/>
      <c r="Q318" s="35"/>
      <c r="R318" s="187"/>
      <c r="S318" s="33">
        <v>0.5</v>
      </c>
      <c r="T318" s="33">
        <v>2.125</v>
      </c>
      <c r="U318" s="33">
        <v>6.5</v>
      </c>
      <c r="V318" s="70">
        <v>9.5</v>
      </c>
      <c r="W318" s="44" t="s">
        <v>856</v>
      </c>
      <c r="X318" s="33" t="s">
        <v>856</v>
      </c>
      <c r="Y318" s="33" t="s">
        <v>856</v>
      </c>
      <c r="Z318" s="70" t="s">
        <v>856</v>
      </c>
      <c r="AA318" s="44" t="s">
        <v>856</v>
      </c>
      <c r="AB318" s="33" t="s">
        <v>856</v>
      </c>
      <c r="AC318" s="33" t="s">
        <v>856</v>
      </c>
      <c r="AD318" s="70" t="s">
        <v>856</v>
      </c>
      <c r="AE318" s="33"/>
      <c r="AF318" s="63" t="s">
        <v>2127</v>
      </c>
      <c r="AG318" s="63" t="s">
        <v>2128</v>
      </c>
      <c r="AH318" s="104" t="s">
        <v>2129</v>
      </c>
      <c r="AI318" s="63" t="s">
        <v>2108</v>
      </c>
      <c r="AJ318" s="63" t="s">
        <v>2109</v>
      </c>
      <c r="AK318" s="104" t="s">
        <v>2110</v>
      </c>
      <c r="AL318" s="104" t="s">
        <v>2111</v>
      </c>
      <c r="AM318" s="63" t="s">
        <v>2112</v>
      </c>
      <c r="AN318" s="558" t="s">
        <v>2130</v>
      </c>
      <c r="AO318" s="18" t="s">
        <v>456</v>
      </c>
      <c r="AP318" s="37" t="s">
        <v>2114</v>
      </c>
    </row>
    <row r="319" spans="1:42" s="18" customFormat="1" x14ac:dyDescent="0.2">
      <c r="A319" s="18" t="s">
        <v>594</v>
      </c>
      <c r="B319" s="19" t="s">
        <v>1571</v>
      </c>
      <c r="C319" s="18" t="s">
        <v>484</v>
      </c>
      <c r="D319" s="19" t="s">
        <v>2126</v>
      </c>
      <c r="E319" s="18" t="s">
        <v>484</v>
      </c>
      <c r="G319" s="28" t="s">
        <v>620</v>
      </c>
      <c r="H319" s="28"/>
      <c r="I319" s="28"/>
      <c r="J319" s="28" t="s">
        <v>1039</v>
      </c>
      <c r="K319" s="28" t="s">
        <v>976</v>
      </c>
      <c r="L319" s="5">
        <v>27.99</v>
      </c>
      <c r="M319" s="35">
        <v>6</v>
      </c>
      <c r="N319" s="35">
        <v>6</v>
      </c>
      <c r="O319" s="345"/>
      <c r="P319" s="35"/>
      <c r="Q319" s="35"/>
      <c r="R319" s="187"/>
      <c r="S319" s="33">
        <v>0.5</v>
      </c>
      <c r="T319" s="33">
        <v>2.125</v>
      </c>
      <c r="U319" s="33">
        <v>6.5</v>
      </c>
      <c r="V319" s="70">
        <v>9.5</v>
      </c>
      <c r="W319" s="44" t="s">
        <v>856</v>
      </c>
      <c r="X319" s="33" t="s">
        <v>856</v>
      </c>
      <c r="Y319" s="33" t="s">
        <v>856</v>
      </c>
      <c r="Z319" s="70" t="s">
        <v>856</v>
      </c>
      <c r="AA319" s="44" t="s">
        <v>856</v>
      </c>
      <c r="AB319" s="33" t="s">
        <v>856</v>
      </c>
      <c r="AC319" s="33" t="s">
        <v>856</v>
      </c>
      <c r="AD319" s="70" t="s">
        <v>856</v>
      </c>
      <c r="AE319" s="33"/>
      <c r="AF319" s="63" t="s">
        <v>2127</v>
      </c>
      <c r="AG319" s="63" t="s">
        <v>2128</v>
      </c>
      <c r="AH319" s="104" t="s">
        <v>2129</v>
      </c>
      <c r="AI319" s="63" t="s">
        <v>2108</v>
      </c>
      <c r="AJ319" s="63" t="s">
        <v>2109</v>
      </c>
      <c r="AK319" s="104" t="s">
        <v>2110</v>
      </c>
      <c r="AL319" s="104" t="s">
        <v>2111</v>
      </c>
      <c r="AM319" s="63" t="s">
        <v>2112</v>
      </c>
      <c r="AN319" s="558" t="s">
        <v>2130</v>
      </c>
      <c r="AO319" s="18" t="s">
        <v>456</v>
      </c>
      <c r="AP319" s="37" t="s">
        <v>2114</v>
      </c>
    </row>
    <row r="320" spans="1:42" s="18" customFormat="1" x14ac:dyDescent="0.2">
      <c r="A320" s="18" t="s">
        <v>594</v>
      </c>
      <c r="B320" s="19" t="s">
        <v>1571</v>
      </c>
      <c r="C320" s="18" t="s">
        <v>483</v>
      </c>
      <c r="D320" s="19" t="s">
        <v>2126</v>
      </c>
      <c r="E320" s="18" t="s">
        <v>483</v>
      </c>
      <c r="G320" s="28" t="s">
        <v>621</v>
      </c>
      <c r="H320" s="28"/>
      <c r="I320" s="28"/>
      <c r="J320" s="28" t="s">
        <v>1039</v>
      </c>
      <c r="K320" s="28" t="s">
        <v>976</v>
      </c>
      <c r="L320" s="5">
        <v>27.99</v>
      </c>
      <c r="M320" s="35">
        <v>6</v>
      </c>
      <c r="N320" s="35">
        <v>6</v>
      </c>
      <c r="O320" s="345"/>
      <c r="P320" s="35"/>
      <c r="Q320" s="35"/>
      <c r="R320" s="187"/>
      <c r="S320" s="33">
        <v>0.5</v>
      </c>
      <c r="T320" s="33">
        <v>2.125</v>
      </c>
      <c r="U320" s="33">
        <v>6.5</v>
      </c>
      <c r="V320" s="70">
        <v>9.5</v>
      </c>
      <c r="W320" s="44" t="s">
        <v>856</v>
      </c>
      <c r="X320" s="33" t="s">
        <v>856</v>
      </c>
      <c r="Y320" s="33" t="s">
        <v>856</v>
      </c>
      <c r="Z320" s="70" t="s">
        <v>856</v>
      </c>
      <c r="AA320" s="44" t="s">
        <v>856</v>
      </c>
      <c r="AB320" s="33" t="s">
        <v>856</v>
      </c>
      <c r="AC320" s="33" t="s">
        <v>856</v>
      </c>
      <c r="AD320" s="70" t="s">
        <v>856</v>
      </c>
      <c r="AE320" s="33"/>
      <c r="AF320" s="63" t="s">
        <v>2127</v>
      </c>
      <c r="AG320" s="63" t="s">
        <v>2128</v>
      </c>
      <c r="AH320" s="104" t="s">
        <v>2129</v>
      </c>
      <c r="AI320" s="63" t="s">
        <v>2108</v>
      </c>
      <c r="AJ320" s="63" t="s">
        <v>2109</v>
      </c>
      <c r="AK320" s="104" t="s">
        <v>2110</v>
      </c>
      <c r="AL320" s="104" t="s">
        <v>2111</v>
      </c>
      <c r="AM320" s="63" t="s">
        <v>2112</v>
      </c>
      <c r="AN320" s="558" t="s">
        <v>2130</v>
      </c>
      <c r="AO320" s="18" t="s">
        <v>456</v>
      </c>
      <c r="AP320" s="37" t="s">
        <v>2114</v>
      </c>
    </row>
    <row r="321" spans="1:42" s="18" customFormat="1" x14ac:dyDescent="0.2">
      <c r="A321" s="18" t="s">
        <v>594</v>
      </c>
      <c r="B321" s="19" t="s">
        <v>544</v>
      </c>
      <c r="C321" s="18" t="s">
        <v>119</v>
      </c>
      <c r="D321" s="19" t="s">
        <v>2126</v>
      </c>
      <c r="E321" s="18" t="s">
        <v>119</v>
      </c>
      <c r="G321" s="28" t="s">
        <v>622</v>
      </c>
      <c r="H321" s="28"/>
      <c r="I321" s="28"/>
      <c r="J321" s="28" t="s">
        <v>1039</v>
      </c>
      <c r="K321" s="28" t="s">
        <v>976</v>
      </c>
      <c r="L321" s="5">
        <v>34.99</v>
      </c>
      <c r="M321" s="35">
        <v>6</v>
      </c>
      <c r="N321" s="35">
        <v>6</v>
      </c>
      <c r="O321" s="345"/>
      <c r="P321" s="35"/>
      <c r="Q321" s="35"/>
      <c r="R321" s="187"/>
      <c r="S321" s="33">
        <v>0.5</v>
      </c>
      <c r="T321" s="33">
        <v>2.125</v>
      </c>
      <c r="U321" s="33">
        <v>6.5</v>
      </c>
      <c r="V321" s="70">
        <v>9.5</v>
      </c>
      <c r="W321" s="44" t="s">
        <v>856</v>
      </c>
      <c r="X321" s="33" t="s">
        <v>856</v>
      </c>
      <c r="Y321" s="33" t="s">
        <v>856</v>
      </c>
      <c r="Z321" s="70" t="s">
        <v>856</v>
      </c>
      <c r="AA321" s="44" t="s">
        <v>856</v>
      </c>
      <c r="AB321" s="33" t="s">
        <v>856</v>
      </c>
      <c r="AC321" s="33" t="s">
        <v>856</v>
      </c>
      <c r="AD321" s="70" t="s">
        <v>856</v>
      </c>
      <c r="AE321" s="33"/>
      <c r="AF321" s="63" t="s">
        <v>2127</v>
      </c>
      <c r="AG321" s="63" t="s">
        <v>2128</v>
      </c>
      <c r="AH321" s="104" t="s">
        <v>2129</v>
      </c>
      <c r="AI321" s="63" t="s">
        <v>2115</v>
      </c>
      <c r="AJ321" s="63" t="s">
        <v>2109</v>
      </c>
      <c r="AK321" s="104" t="s">
        <v>2110</v>
      </c>
      <c r="AL321" s="104" t="s">
        <v>2111</v>
      </c>
      <c r="AM321" s="63" t="s">
        <v>2112</v>
      </c>
      <c r="AN321" s="558" t="s">
        <v>2130</v>
      </c>
      <c r="AO321" s="18" t="s">
        <v>456</v>
      </c>
      <c r="AP321" s="37" t="s">
        <v>2114</v>
      </c>
    </row>
    <row r="322" spans="1:42" s="18" customFormat="1" ht="14.25" customHeight="1" x14ac:dyDescent="0.2">
      <c r="A322" s="18" t="s">
        <v>594</v>
      </c>
      <c r="B322" s="33" t="s">
        <v>912</v>
      </c>
      <c r="C322" s="33" t="s">
        <v>372</v>
      </c>
      <c r="D322" s="34" t="s">
        <v>2222</v>
      </c>
      <c r="E322" s="33" t="s">
        <v>483</v>
      </c>
      <c r="F322" s="33"/>
      <c r="G322" s="75" t="s">
        <v>915</v>
      </c>
      <c r="H322" s="75"/>
      <c r="I322" s="75"/>
      <c r="J322" s="36" t="s">
        <v>458</v>
      </c>
      <c r="K322" s="36" t="s">
        <v>975</v>
      </c>
      <c r="L322" s="5">
        <v>29.99</v>
      </c>
      <c r="M322" s="35">
        <v>6</v>
      </c>
      <c r="N322" s="35">
        <v>36</v>
      </c>
      <c r="O322" s="345"/>
      <c r="P322" s="35"/>
      <c r="Q322" s="35"/>
      <c r="R322" s="187"/>
      <c r="S322" s="33">
        <v>0.4</v>
      </c>
      <c r="T322" s="33">
        <v>7.25</v>
      </c>
      <c r="U322" s="33">
        <v>2.5499999999999998</v>
      </c>
      <c r="V322" s="70">
        <v>8</v>
      </c>
      <c r="W322" s="33">
        <v>2.75</v>
      </c>
      <c r="X322" s="33">
        <v>8.25</v>
      </c>
      <c r="Y322" s="33">
        <v>8.5</v>
      </c>
      <c r="Z322" s="70">
        <v>8</v>
      </c>
      <c r="AA322" s="44">
        <v>18.3</v>
      </c>
      <c r="AB322" s="33">
        <v>24.5</v>
      </c>
      <c r="AC322" s="33">
        <v>9.25</v>
      </c>
      <c r="AD322" s="70">
        <v>17.5</v>
      </c>
      <c r="AE322" s="33">
        <f>AB322*AC322*AD322/(12^3)</f>
        <v>2.2951027199074074</v>
      </c>
      <c r="AF322" s="37" t="s">
        <v>2383</v>
      </c>
      <c r="AG322" s="37" t="s">
        <v>2384</v>
      </c>
      <c r="AH322" s="37" t="s">
        <v>2387</v>
      </c>
      <c r="AI322" s="37" t="s">
        <v>2385</v>
      </c>
      <c r="AJ322" s="37" t="s">
        <v>2386</v>
      </c>
      <c r="AK322" s="37" t="s">
        <v>2388</v>
      </c>
      <c r="AL322" s="37" t="s">
        <v>2389</v>
      </c>
      <c r="AM322" s="96" t="s">
        <v>2382</v>
      </c>
      <c r="AN322" s="37" t="s">
        <v>2390</v>
      </c>
      <c r="AO322" s="138" t="s">
        <v>2255</v>
      </c>
      <c r="AP322" s="96"/>
    </row>
    <row r="323" spans="1:42" s="18" customFormat="1" x14ac:dyDescent="0.2">
      <c r="A323" s="18" t="s">
        <v>594</v>
      </c>
      <c r="B323" s="78" t="s">
        <v>1026</v>
      </c>
      <c r="C323" s="19"/>
      <c r="D323" s="37" t="s">
        <v>2211</v>
      </c>
      <c r="F323" s="18" t="s">
        <v>2557</v>
      </c>
      <c r="G323" s="68" t="s">
        <v>1028</v>
      </c>
      <c r="H323" s="68"/>
      <c r="I323" s="68"/>
      <c r="J323" s="28" t="s">
        <v>2216</v>
      </c>
      <c r="K323" s="257" t="s">
        <v>979</v>
      </c>
      <c r="L323" s="5">
        <v>1.29</v>
      </c>
      <c r="M323" s="35">
        <v>10</v>
      </c>
      <c r="N323" s="187">
        <v>100</v>
      </c>
      <c r="O323" s="33">
        <v>0.15</v>
      </c>
      <c r="P323" s="33">
        <v>1.6</v>
      </c>
      <c r="Q323" s="33"/>
      <c r="R323" s="70"/>
      <c r="S323" s="33">
        <v>0.15</v>
      </c>
      <c r="T323" s="33">
        <v>2.125</v>
      </c>
      <c r="U323" s="33">
        <v>2.625</v>
      </c>
      <c r="V323" s="70">
        <v>2.875</v>
      </c>
      <c r="W323" s="33">
        <v>1.6</v>
      </c>
      <c r="X323" s="33">
        <v>10.5</v>
      </c>
      <c r="Y323" s="33">
        <v>2.625</v>
      </c>
      <c r="Z323" s="70">
        <v>5.75</v>
      </c>
      <c r="AA323" s="44">
        <v>15.38</v>
      </c>
      <c r="AB323" s="33">
        <v>11.81</v>
      </c>
      <c r="AC323" s="33">
        <v>10.74</v>
      </c>
      <c r="AD323" s="70">
        <v>12.59</v>
      </c>
      <c r="AE323" s="33">
        <f>AB323*AC323*AD323/(12^3)</f>
        <v>0.92413660069444459</v>
      </c>
      <c r="AF323" s="37" t="s">
        <v>2325</v>
      </c>
      <c r="AG323" s="37" t="s">
        <v>2306</v>
      </c>
      <c r="AH323" s="37" t="s">
        <v>2320</v>
      </c>
      <c r="AI323" s="37" t="s">
        <v>2326</v>
      </c>
      <c r="AJ323" s="313" t="s">
        <v>2337</v>
      </c>
      <c r="AK323" s="138"/>
      <c r="AL323" s="96"/>
      <c r="AM323" s="135"/>
      <c r="AN323" s="37" t="s">
        <v>1109</v>
      </c>
      <c r="AO323" s="138" t="s">
        <v>2255</v>
      </c>
      <c r="AP323" s="96"/>
    </row>
    <row r="324" spans="1:42" s="18" customFormat="1" x14ac:dyDescent="0.2">
      <c r="A324" s="18" t="s">
        <v>594</v>
      </c>
      <c r="B324" s="33" t="s">
        <v>2725</v>
      </c>
      <c r="C324" s="33" t="s">
        <v>2218</v>
      </c>
      <c r="D324" s="37" t="s">
        <v>2214</v>
      </c>
      <c r="E324" s="18" t="s">
        <v>486</v>
      </c>
      <c r="F324" s="18" t="s">
        <v>2522</v>
      </c>
      <c r="G324" s="28" t="s">
        <v>2219</v>
      </c>
      <c r="H324" s="28" t="s">
        <v>2735</v>
      </c>
      <c r="I324" s="28" t="s">
        <v>2736</v>
      </c>
      <c r="J324" s="28" t="s">
        <v>2216</v>
      </c>
      <c r="K324" s="257" t="s">
        <v>979</v>
      </c>
      <c r="L324" s="5">
        <v>7.99</v>
      </c>
      <c r="M324" s="35">
        <v>24</v>
      </c>
      <c r="N324" s="187"/>
      <c r="O324" s="44">
        <f>CONVERT(48,"g","lbm")</f>
        <v>0.10582188584874123</v>
      </c>
      <c r="P324" s="33">
        <v>1.5</v>
      </c>
      <c r="Q324" s="33">
        <v>1.5</v>
      </c>
      <c r="R324" s="70">
        <v>3.125</v>
      </c>
      <c r="S324" s="44"/>
      <c r="T324" s="33"/>
      <c r="U324" s="33"/>
      <c r="V324" s="70"/>
      <c r="W324" s="44"/>
      <c r="X324" s="33"/>
      <c r="Y324" s="33"/>
      <c r="Z324" s="70"/>
      <c r="AA324" s="44"/>
      <c r="AB324" s="33"/>
      <c r="AC324" s="33"/>
      <c r="AD324" s="70"/>
      <c r="AE324" s="44">
        <f>AB324*AC324*AD324/(12^3)</f>
        <v>0</v>
      </c>
      <c r="AF324" s="138" t="s">
        <v>2289</v>
      </c>
      <c r="AG324" s="138" t="s">
        <v>2290</v>
      </c>
      <c r="AH324" s="96"/>
      <c r="AI324" s="96"/>
      <c r="AJ324" s="96"/>
      <c r="AK324" s="96"/>
      <c r="AL324" s="96"/>
      <c r="AM324" s="96"/>
      <c r="AN324" s="96"/>
      <c r="AO324" s="138"/>
      <c r="AP324" s="96"/>
    </row>
    <row r="325" spans="1:42" s="18" customFormat="1" x14ac:dyDescent="0.2">
      <c r="A325" s="18" t="s">
        <v>594</v>
      </c>
      <c r="B325" s="33" t="s">
        <v>553</v>
      </c>
      <c r="C325" s="33"/>
      <c r="D325" s="34" t="s">
        <v>2353</v>
      </c>
      <c r="F325" s="18" t="s">
        <v>2568</v>
      </c>
      <c r="G325" s="28" t="s">
        <v>65</v>
      </c>
      <c r="H325" s="28" t="s">
        <v>259</v>
      </c>
      <c r="I325" s="28" t="s">
        <v>259</v>
      </c>
      <c r="J325" s="36" t="s">
        <v>1041</v>
      </c>
      <c r="K325" s="219" t="s">
        <v>980</v>
      </c>
      <c r="L325" s="6">
        <v>14.99</v>
      </c>
      <c r="M325" s="35">
        <v>1</v>
      </c>
      <c r="N325" s="187" t="s">
        <v>259</v>
      </c>
      <c r="O325" s="44">
        <f>CONVERT(26,"g","lbm")</f>
        <v>5.7320188168068172E-2</v>
      </c>
      <c r="P325" s="33">
        <v>1.625</v>
      </c>
      <c r="Q325" s="33">
        <v>1.625</v>
      </c>
      <c r="R325" s="70">
        <v>3.875</v>
      </c>
      <c r="S325" s="228">
        <v>0.1</v>
      </c>
      <c r="T325" s="129">
        <v>4</v>
      </c>
      <c r="U325" s="129">
        <v>1.5</v>
      </c>
      <c r="V325" s="130">
        <v>7</v>
      </c>
      <c r="W325" s="44" t="s">
        <v>259</v>
      </c>
      <c r="X325" s="33" t="s">
        <v>259</v>
      </c>
      <c r="Y325" s="33" t="s">
        <v>259</v>
      </c>
      <c r="Z325" s="70" t="s">
        <v>259</v>
      </c>
      <c r="AA325" s="44" t="s">
        <v>259</v>
      </c>
      <c r="AB325" s="33" t="s">
        <v>259</v>
      </c>
      <c r="AC325" s="33" t="s">
        <v>259</v>
      </c>
      <c r="AD325" s="70" t="s">
        <v>259</v>
      </c>
      <c r="AE325" s="44"/>
      <c r="AF325" s="137" t="s">
        <v>2177</v>
      </c>
      <c r="AG325" s="137" t="s">
        <v>149</v>
      </c>
      <c r="AH325" s="564" t="s">
        <v>2178</v>
      </c>
      <c r="AI325" s="138" t="s">
        <v>150</v>
      </c>
      <c r="AJ325" s="96" t="s">
        <v>2370</v>
      </c>
      <c r="AK325" s="138"/>
      <c r="AL325" s="138"/>
      <c r="AM325" s="138"/>
      <c r="AN325" s="565" t="s">
        <v>2179</v>
      </c>
      <c r="AO325" s="138" t="s">
        <v>2255</v>
      </c>
      <c r="AP325" s="96"/>
    </row>
    <row r="326" spans="1:42" s="18" customFormat="1" x14ac:dyDescent="0.2">
      <c r="A326" s="18" t="s">
        <v>594</v>
      </c>
      <c r="B326" s="19" t="s">
        <v>528</v>
      </c>
      <c r="C326" s="18" t="s">
        <v>370</v>
      </c>
      <c r="D326" s="57" t="s">
        <v>2343</v>
      </c>
      <c r="E326" s="18" t="s">
        <v>217</v>
      </c>
      <c r="F326" s="18" t="s">
        <v>2547</v>
      </c>
      <c r="G326" s="28" t="s">
        <v>523</v>
      </c>
      <c r="H326" s="28" t="s">
        <v>3715</v>
      </c>
      <c r="I326" s="28" t="s">
        <v>3716</v>
      </c>
      <c r="J326" s="28" t="s">
        <v>1039</v>
      </c>
      <c r="K326" s="219" t="s">
        <v>975</v>
      </c>
      <c r="L326" s="504">
        <v>14.99</v>
      </c>
      <c r="M326" s="35">
        <v>6</v>
      </c>
      <c r="N326" s="187">
        <v>36</v>
      </c>
      <c r="O326" s="484">
        <f>CONVERT(111,"g","lbm")</f>
        <v>0.24471311102521409</v>
      </c>
      <c r="P326" s="485">
        <v>2.25</v>
      </c>
      <c r="Q326" s="485">
        <v>2.25</v>
      </c>
      <c r="R326" s="486" t="s">
        <v>2683</v>
      </c>
      <c r="S326" s="44">
        <v>0.3</v>
      </c>
      <c r="T326" s="33">
        <v>6</v>
      </c>
      <c r="U326" s="33">
        <v>2.5</v>
      </c>
      <c r="V326" s="70">
        <v>6.25</v>
      </c>
      <c r="W326" s="44">
        <v>2.1</v>
      </c>
      <c r="X326" s="33">
        <v>8.5</v>
      </c>
      <c r="Y326" s="33">
        <v>7.875</v>
      </c>
      <c r="Z326" s="70">
        <v>6.5</v>
      </c>
      <c r="AA326" s="44">
        <v>13.67</v>
      </c>
      <c r="AB326" s="33">
        <v>24.25</v>
      </c>
      <c r="AC326" s="33">
        <v>17.64</v>
      </c>
      <c r="AD326" s="70">
        <v>7.24</v>
      </c>
      <c r="AE326" s="44">
        <f t="shared" ref="AE326:AE331" si="14">AB326*AC326*AD326/(12^3)</f>
        <v>1.7922770833333335</v>
      </c>
      <c r="AF326" s="138" t="s">
        <v>2131</v>
      </c>
      <c r="AG326" s="138" t="s">
        <v>2123</v>
      </c>
      <c r="AH326" s="138" t="s">
        <v>158</v>
      </c>
      <c r="AI326" s="138" t="s">
        <v>2132</v>
      </c>
      <c r="AJ326" s="138" t="s">
        <v>2133</v>
      </c>
      <c r="AK326" s="138" t="s">
        <v>2338</v>
      </c>
      <c r="AL326" s="138"/>
      <c r="AM326" s="138"/>
      <c r="AN326" s="138" t="s">
        <v>2134</v>
      </c>
      <c r="AO326" s="138" t="s">
        <v>2255</v>
      </c>
      <c r="AP326" s="135"/>
    </row>
    <row r="327" spans="1:42" s="18" customFormat="1" x14ac:dyDescent="0.2">
      <c r="A327" s="18" t="s">
        <v>594</v>
      </c>
      <c r="B327" s="19" t="s">
        <v>528</v>
      </c>
      <c r="C327" s="18" t="s">
        <v>371</v>
      </c>
      <c r="D327" s="57" t="s">
        <v>2343</v>
      </c>
      <c r="E327" s="18" t="s">
        <v>218</v>
      </c>
      <c r="F327" s="18" t="s">
        <v>2547</v>
      </c>
      <c r="G327" s="28" t="s">
        <v>524</v>
      </c>
      <c r="H327" s="28" t="s">
        <v>3717</v>
      </c>
      <c r="I327" s="28" t="s">
        <v>3718</v>
      </c>
      <c r="J327" s="28" t="s">
        <v>1039</v>
      </c>
      <c r="K327" s="219" t="s">
        <v>975</v>
      </c>
      <c r="L327" s="504">
        <v>14.99</v>
      </c>
      <c r="M327" s="35">
        <v>6</v>
      </c>
      <c r="N327" s="187">
        <v>36</v>
      </c>
      <c r="O327" s="484">
        <f>CONVERT(111,"g","lbm")</f>
        <v>0.24471311102521409</v>
      </c>
      <c r="P327" s="485">
        <v>2.25</v>
      </c>
      <c r="Q327" s="485">
        <v>2.25</v>
      </c>
      <c r="R327" s="486" t="s">
        <v>2683</v>
      </c>
      <c r="S327" s="44">
        <v>0.3</v>
      </c>
      <c r="T327" s="33">
        <v>6</v>
      </c>
      <c r="U327" s="33">
        <v>2.5</v>
      </c>
      <c r="V327" s="70">
        <v>6.25</v>
      </c>
      <c r="W327" s="44">
        <v>2.1</v>
      </c>
      <c r="X327" s="33">
        <v>8.5</v>
      </c>
      <c r="Y327" s="33">
        <v>7.875</v>
      </c>
      <c r="Z327" s="70">
        <v>6.5</v>
      </c>
      <c r="AA327" s="44">
        <v>13.67</v>
      </c>
      <c r="AB327" s="33">
        <v>24.25</v>
      </c>
      <c r="AC327" s="33">
        <v>17.64</v>
      </c>
      <c r="AD327" s="70">
        <v>7.24</v>
      </c>
      <c r="AE327" s="44">
        <f t="shared" si="14"/>
        <v>1.7922770833333335</v>
      </c>
      <c r="AF327" s="138" t="s">
        <v>2131</v>
      </c>
      <c r="AG327" s="138" t="s">
        <v>2123</v>
      </c>
      <c r="AH327" s="138" t="s">
        <v>158</v>
      </c>
      <c r="AI327" s="138" t="s">
        <v>2132</v>
      </c>
      <c r="AJ327" s="138" t="s">
        <v>2133</v>
      </c>
      <c r="AK327" s="138" t="s">
        <v>2338</v>
      </c>
      <c r="AL327" s="138"/>
      <c r="AM327" s="138"/>
      <c r="AN327" s="138" t="s">
        <v>2134</v>
      </c>
      <c r="AO327" s="138" t="s">
        <v>2255</v>
      </c>
      <c r="AP327" s="135"/>
    </row>
    <row r="328" spans="1:42" s="18" customFormat="1" x14ac:dyDescent="0.2">
      <c r="A328" s="18" t="s">
        <v>594</v>
      </c>
      <c r="B328" s="19" t="s">
        <v>528</v>
      </c>
      <c r="C328" s="18" t="s">
        <v>374</v>
      </c>
      <c r="D328" s="57" t="s">
        <v>2343</v>
      </c>
      <c r="E328" s="18" t="s">
        <v>219</v>
      </c>
      <c r="F328" s="18" t="s">
        <v>2547</v>
      </c>
      <c r="G328" s="28" t="s">
        <v>526</v>
      </c>
      <c r="H328" s="28" t="s">
        <v>3719</v>
      </c>
      <c r="I328" s="28" t="s">
        <v>3720</v>
      </c>
      <c r="J328" s="28" t="s">
        <v>1039</v>
      </c>
      <c r="K328" s="219" t="s">
        <v>975</v>
      </c>
      <c r="L328" s="504">
        <v>14.99</v>
      </c>
      <c r="M328" s="35">
        <v>6</v>
      </c>
      <c r="N328" s="187">
        <v>36</v>
      </c>
      <c r="O328" s="484">
        <f>CONVERT(111,"g","lbm")</f>
        <v>0.24471311102521409</v>
      </c>
      <c r="P328" s="485">
        <v>2.25</v>
      </c>
      <c r="Q328" s="485">
        <v>2.25</v>
      </c>
      <c r="R328" s="486" t="s">
        <v>2683</v>
      </c>
      <c r="S328" s="44">
        <v>0.3</v>
      </c>
      <c r="T328" s="33">
        <v>6</v>
      </c>
      <c r="U328" s="33">
        <v>2.5</v>
      </c>
      <c r="V328" s="70">
        <v>6.25</v>
      </c>
      <c r="W328" s="44">
        <v>2.1</v>
      </c>
      <c r="X328" s="33">
        <v>8.5</v>
      </c>
      <c r="Y328" s="33">
        <v>7.875</v>
      </c>
      <c r="Z328" s="70">
        <v>6.5</v>
      </c>
      <c r="AA328" s="44">
        <v>13.67</v>
      </c>
      <c r="AB328" s="33">
        <v>24.25</v>
      </c>
      <c r="AC328" s="33">
        <v>17.64</v>
      </c>
      <c r="AD328" s="70">
        <v>7.24</v>
      </c>
      <c r="AE328" s="44">
        <f t="shared" si="14"/>
        <v>1.7922770833333335</v>
      </c>
      <c r="AF328" s="138" t="s">
        <v>2131</v>
      </c>
      <c r="AG328" s="138" t="s">
        <v>2123</v>
      </c>
      <c r="AH328" s="138" t="s">
        <v>158</v>
      </c>
      <c r="AI328" s="138" t="s">
        <v>2132</v>
      </c>
      <c r="AJ328" s="138" t="s">
        <v>2133</v>
      </c>
      <c r="AK328" s="138" t="s">
        <v>2338</v>
      </c>
      <c r="AL328" s="138"/>
      <c r="AM328" s="138"/>
      <c r="AN328" s="138" t="s">
        <v>2134</v>
      </c>
      <c r="AO328" s="138" t="s">
        <v>2255</v>
      </c>
      <c r="AP328" s="135"/>
    </row>
    <row r="329" spans="1:42" s="18" customFormat="1" x14ac:dyDescent="0.2">
      <c r="A329" s="18" t="s">
        <v>594</v>
      </c>
      <c r="B329" s="19" t="s">
        <v>1880</v>
      </c>
      <c r="C329" s="18" t="s">
        <v>370</v>
      </c>
      <c r="D329" s="19" t="s">
        <v>2344</v>
      </c>
      <c r="E329" s="18" t="s">
        <v>217</v>
      </c>
      <c r="F329" s="18" t="s">
        <v>2547</v>
      </c>
      <c r="G329" s="28" t="s">
        <v>613</v>
      </c>
      <c r="H329" s="28"/>
      <c r="I329" s="28"/>
      <c r="J329" s="28" t="s">
        <v>1039</v>
      </c>
      <c r="K329" s="257" t="s">
        <v>976</v>
      </c>
      <c r="L329" s="504">
        <v>14.99</v>
      </c>
      <c r="M329" s="35">
        <v>1</v>
      </c>
      <c r="N329" s="187">
        <v>50</v>
      </c>
      <c r="O329" s="484">
        <f>CONVERT(99,"g","lbm")</f>
        <v>0.21825763956302879</v>
      </c>
      <c r="P329" s="485">
        <v>2.25</v>
      </c>
      <c r="Q329" s="485">
        <v>2.25</v>
      </c>
      <c r="R329" s="487">
        <v>4</v>
      </c>
      <c r="S329" s="44">
        <v>0.3</v>
      </c>
      <c r="T329" s="33">
        <v>6.5</v>
      </c>
      <c r="U329" s="33">
        <v>2.5</v>
      </c>
      <c r="V329" s="70">
        <v>6.875</v>
      </c>
      <c r="W329" s="44" t="s">
        <v>259</v>
      </c>
      <c r="X329" s="33" t="s">
        <v>259</v>
      </c>
      <c r="Y329" s="33" t="s">
        <v>259</v>
      </c>
      <c r="Z329" s="70" t="s">
        <v>259</v>
      </c>
      <c r="AA329" s="44">
        <v>15.85</v>
      </c>
      <c r="AB329" s="33">
        <v>20.125</v>
      </c>
      <c r="AC329" s="33">
        <v>20.125</v>
      </c>
      <c r="AD329" s="70">
        <v>10.5</v>
      </c>
      <c r="AE329" s="44">
        <f t="shared" si="14"/>
        <v>2.4610324435763888</v>
      </c>
      <c r="AF329" s="138" t="s">
        <v>2123</v>
      </c>
      <c r="AG329" s="138" t="s">
        <v>2124</v>
      </c>
      <c r="AH329" s="138" t="s">
        <v>158</v>
      </c>
      <c r="AI329" s="137" t="s">
        <v>2640</v>
      </c>
      <c r="AJ329" s="96"/>
      <c r="AK329" s="138"/>
      <c r="AL329" s="138"/>
      <c r="AM329" s="138"/>
      <c r="AN329" s="138" t="s">
        <v>2125</v>
      </c>
      <c r="AO329" s="96" t="s">
        <v>456</v>
      </c>
      <c r="AP329" s="138" t="s">
        <v>2255</v>
      </c>
    </row>
    <row r="330" spans="1:42" s="18" customFormat="1" x14ac:dyDescent="0.2">
      <c r="A330" s="18" t="s">
        <v>594</v>
      </c>
      <c r="B330" s="19" t="s">
        <v>1880</v>
      </c>
      <c r="C330" s="18" t="s">
        <v>383</v>
      </c>
      <c r="D330" s="19" t="s">
        <v>2344</v>
      </c>
      <c r="E330" s="18" t="s">
        <v>484</v>
      </c>
      <c r="F330" s="18" t="s">
        <v>2547</v>
      </c>
      <c r="G330" s="28" t="s">
        <v>614</v>
      </c>
      <c r="H330" s="28"/>
      <c r="I330" s="28"/>
      <c r="J330" s="28" t="s">
        <v>1039</v>
      </c>
      <c r="K330" s="257" t="s">
        <v>976</v>
      </c>
      <c r="L330" s="504">
        <v>14.99</v>
      </c>
      <c r="M330" s="35">
        <v>1</v>
      </c>
      <c r="N330" s="187">
        <v>50</v>
      </c>
      <c r="O330" s="484">
        <f>CONVERT(99,"g","lbm")</f>
        <v>0.21825763956302879</v>
      </c>
      <c r="P330" s="485">
        <v>2.25</v>
      </c>
      <c r="Q330" s="485">
        <v>2.25</v>
      </c>
      <c r="R330" s="487">
        <v>4</v>
      </c>
      <c r="S330" s="44">
        <v>0.3</v>
      </c>
      <c r="T330" s="33">
        <v>6.5</v>
      </c>
      <c r="U330" s="33">
        <v>2.5</v>
      </c>
      <c r="V330" s="70">
        <v>6.875</v>
      </c>
      <c r="W330" s="44" t="s">
        <v>259</v>
      </c>
      <c r="X330" s="33" t="s">
        <v>259</v>
      </c>
      <c r="Y330" s="33" t="s">
        <v>259</v>
      </c>
      <c r="Z330" s="70" t="s">
        <v>259</v>
      </c>
      <c r="AA330" s="44">
        <v>15.85</v>
      </c>
      <c r="AB330" s="33">
        <v>20.125</v>
      </c>
      <c r="AC330" s="33">
        <v>20.125</v>
      </c>
      <c r="AD330" s="70">
        <v>10.5</v>
      </c>
      <c r="AE330" s="44">
        <f t="shared" si="14"/>
        <v>2.4610324435763888</v>
      </c>
      <c r="AF330" s="138" t="s">
        <v>2123</v>
      </c>
      <c r="AG330" s="138" t="s">
        <v>2124</v>
      </c>
      <c r="AH330" s="138" t="s">
        <v>158</v>
      </c>
      <c r="AI330" s="137" t="s">
        <v>2640</v>
      </c>
      <c r="AJ330" s="96"/>
      <c r="AK330" s="138"/>
      <c r="AL330" s="138"/>
      <c r="AM330" s="138"/>
      <c r="AN330" s="138" t="s">
        <v>2125</v>
      </c>
      <c r="AO330" s="96" t="s">
        <v>456</v>
      </c>
      <c r="AP330" s="138" t="s">
        <v>2255</v>
      </c>
    </row>
    <row r="331" spans="1:42" s="18" customFormat="1" x14ac:dyDescent="0.2">
      <c r="A331" s="18" t="s">
        <v>594</v>
      </c>
      <c r="B331" s="19" t="s">
        <v>528</v>
      </c>
      <c r="C331" s="18" t="s">
        <v>369</v>
      </c>
      <c r="D331" s="57" t="s">
        <v>2343</v>
      </c>
      <c r="E331" s="18" t="s">
        <v>222</v>
      </c>
      <c r="F331" s="18" t="s">
        <v>2547</v>
      </c>
      <c r="G331" s="28" t="s">
        <v>522</v>
      </c>
      <c r="H331" s="28" t="s">
        <v>3713</v>
      </c>
      <c r="I331" s="28" t="s">
        <v>3714</v>
      </c>
      <c r="J331" s="28" t="s">
        <v>1039</v>
      </c>
      <c r="K331" s="219" t="s">
        <v>975</v>
      </c>
      <c r="L331" s="504">
        <v>14.99</v>
      </c>
      <c r="M331" s="35">
        <v>6</v>
      </c>
      <c r="N331" s="187">
        <v>36</v>
      </c>
      <c r="O331" s="484">
        <f>CONVERT(111,"g","lbm")</f>
        <v>0.24471311102521409</v>
      </c>
      <c r="P331" s="485">
        <v>2.25</v>
      </c>
      <c r="Q331" s="485">
        <v>2.25</v>
      </c>
      <c r="R331" s="486" t="s">
        <v>2683</v>
      </c>
      <c r="S331" s="44">
        <v>0.3</v>
      </c>
      <c r="T331" s="33">
        <v>6</v>
      </c>
      <c r="U331" s="33">
        <v>2.5</v>
      </c>
      <c r="V331" s="70">
        <v>6.25</v>
      </c>
      <c r="W331" s="44">
        <v>2.1</v>
      </c>
      <c r="X331" s="33">
        <v>8.5</v>
      </c>
      <c r="Y331" s="33">
        <v>7.875</v>
      </c>
      <c r="Z331" s="70">
        <v>6.5</v>
      </c>
      <c r="AA331" s="44">
        <v>13.67</v>
      </c>
      <c r="AB331" s="33">
        <v>24.25</v>
      </c>
      <c r="AC331" s="33">
        <v>17.64</v>
      </c>
      <c r="AD331" s="70">
        <v>7.24</v>
      </c>
      <c r="AE331" s="44">
        <f t="shared" si="14"/>
        <v>1.7922770833333335</v>
      </c>
      <c r="AF331" s="138" t="s">
        <v>2131</v>
      </c>
      <c r="AG331" s="138" t="s">
        <v>2123</v>
      </c>
      <c r="AH331" s="138" t="s">
        <v>158</v>
      </c>
      <c r="AI331" s="138" t="s">
        <v>2132</v>
      </c>
      <c r="AJ331" s="138" t="s">
        <v>2133</v>
      </c>
      <c r="AK331" s="138" t="s">
        <v>2338</v>
      </c>
      <c r="AL331" s="138"/>
      <c r="AM331" s="138"/>
      <c r="AN331" s="138" t="s">
        <v>2134</v>
      </c>
      <c r="AO331" s="138" t="s">
        <v>2255</v>
      </c>
      <c r="AP331" s="135"/>
    </row>
    <row r="332" spans="1:42" s="18" customFormat="1" x14ac:dyDescent="0.2">
      <c r="A332" s="18" t="s">
        <v>594</v>
      </c>
      <c r="B332" s="19" t="s">
        <v>1573</v>
      </c>
      <c r="C332" s="18" t="s">
        <v>370</v>
      </c>
      <c r="D332" s="19" t="s">
        <v>2349</v>
      </c>
      <c r="E332" s="18" t="s">
        <v>217</v>
      </c>
      <c r="F332" s="18" t="s">
        <v>2558</v>
      </c>
      <c r="G332" s="28" t="s">
        <v>637</v>
      </c>
      <c r="H332" s="28" t="s">
        <v>259</v>
      </c>
      <c r="I332" s="28" t="s">
        <v>259</v>
      </c>
      <c r="J332" s="28" t="s">
        <v>1039</v>
      </c>
      <c r="K332" s="257" t="s">
        <v>976</v>
      </c>
      <c r="L332" s="504">
        <v>39.99</v>
      </c>
      <c r="M332" s="35">
        <v>1</v>
      </c>
      <c r="N332" s="187" t="s">
        <v>259</v>
      </c>
      <c r="O332" s="484">
        <f>CONVERT(510,"g","lbm")</f>
        <v>1.1243575371428756</v>
      </c>
      <c r="P332" s="485">
        <v>4</v>
      </c>
      <c r="Q332" s="485">
        <v>4</v>
      </c>
      <c r="R332" s="487">
        <v>8</v>
      </c>
      <c r="S332" s="44">
        <v>1.4</v>
      </c>
      <c r="T332" s="33">
        <v>4.25</v>
      </c>
      <c r="U332" s="33">
        <v>4.25</v>
      </c>
      <c r="V332" s="70">
        <v>9.5</v>
      </c>
      <c r="W332" s="44" t="s">
        <v>259</v>
      </c>
      <c r="X332" s="33" t="s">
        <v>259</v>
      </c>
      <c r="Y332" s="33" t="s">
        <v>259</v>
      </c>
      <c r="Z332" s="70" t="s">
        <v>259</v>
      </c>
      <c r="AA332" s="44" t="s">
        <v>259</v>
      </c>
      <c r="AB332" s="33" t="s">
        <v>259</v>
      </c>
      <c r="AC332" s="33" t="s">
        <v>259</v>
      </c>
      <c r="AD332" s="70" t="s">
        <v>259</v>
      </c>
      <c r="AE332" s="44"/>
      <c r="AF332" s="138" t="s">
        <v>2135</v>
      </c>
      <c r="AG332" s="138" t="s">
        <v>2108</v>
      </c>
      <c r="AH332" s="138" t="s">
        <v>2136</v>
      </c>
      <c r="AI332" s="138" t="s">
        <v>2137</v>
      </c>
      <c r="AJ332" s="138" t="s">
        <v>2138</v>
      </c>
      <c r="AK332" s="138" t="s">
        <v>2112</v>
      </c>
      <c r="AL332" s="138" t="s">
        <v>2366</v>
      </c>
      <c r="AM332" s="138"/>
      <c r="AN332" s="138" t="s">
        <v>2139</v>
      </c>
      <c r="AO332" s="96" t="s">
        <v>456</v>
      </c>
      <c r="AP332" s="138" t="s">
        <v>2255</v>
      </c>
    </row>
    <row r="333" spans="1:42" s="18" customFormat="1" x14ac:dyDescent="0.2">
      <c r="A333" s="18" t="s">
        <v>594</v>
      </c>
      <c r="B333" s="33" t="s">
        <v>1036</v>
      </c>
      <c r="C333" s="33" t="s">
        <v>374</v>
      </c>
      <c r="D333" s="34" t="s">
        <v>2359</v>
      </c>
      <c r="E333" s="33" t="s">
        <v>219</v>
      </c>
      <c r="F333" s="33" t="s">
        <v>3619</v>
      </c>
      <c r="G333" s="75" t="s">
        <v>1037</v>
      </c>
      <c r="H333" s="311" t="s">
        <v>259</v>
      </c>
      <c r="I333" s="311" t="s">
        <v>259</v>
      </c>
      <c r="J333" s="36" t="s">
        <v>458</v>
      </c>
      <c r="K333" s="219" t="s">
        <v>975</v>
      </c>
      <c r="L333" s="504">
        <v>19.989999999999998</v>
      </c>
      <c r="M333" s="35">
        <v>4</v>
      </c>
      <c r="N333" s="187">
        <v>16</v>
      </c>
      <c r="O333" s="484">
        <f>CONVERT(81,"g","lbm")</f>
        <v>0.17857443236975085</v>
      </c>
      <c r="P333" s="485">
        <v>2</v>
      </c>
      <c r="Q333" s="485">
        <v>2</v>
      </c>
      <c r="R333" s="486" t="s">
        <v>2686</v>
      </c>
      <c r="S333" s="44">
        <v>0.2</v>
      </c>
      <c r="T333" s="33">
        <v>4.375</v>
      </c>
      <c r="U333" s="33">
        <v>2.25</v>
      </c>
      <c r="V333" s="70">
        <v>7.125</v>
      </c>
      <c r="W333" s="44">
        <v>1</v>
      </c>
      <c r="X333" s="33">
        <v>6.5</v>
      </c>
      <c r="Y333" s="33">
        <v>5.75</v>
      </c>
      <c r="Z333" s="70">
        <v>7.375</v>
      </c>
      <c r="AA333" s="44">
        <v>5.07</v>
      </c>
      <c r="AB333" s="33">
        <v>13.35</v>
      </c>
      <c r="AC333" s="33">
        <v>12.01</v>
      </c>
      <c r="AD333" s="70">
        <v>7.87</v>
      </c>
      <c r="AE333" s="44">
        <f t="shared" ref="AE333:AE343" si="15">AB333*AC333*AD333/(12^3)</f>
        <v>0.73022259548611101</v>
      </c>
      <c r="AF333" s="37" t="s">
        <v>2373</v>
      </c>
      <c r="AG333" s="37" t="s">
        <v>2374</v>
      </c>
      <c r="AH333" s="37" t="s">
        <v>2375</v>
      </c>
      <c r="AI333" s="37" t="s">
        <v>2376</v>
      </c>
      <c r="AJ333" s="37" t="s">
        <v>2460</v>
      </c>
      <c r="AK333" s="37" t="s">
        <v>2377</v>
      </c>
      <c r="AL333" s="37" t="s">
        <v>2378</v>
      </c>
      <c r="AM333" s="96" t="s">
        <v>3778</v>
      </c>
      <c r="AN333" s="37" t="s">
        <v>2379</v>
      </c>
      <c r="AO333" s="138" t="s">
        <v>2255</v>
      </c>
      <c r="AP333" s="96"/>
    </row>
    <row r="334" spans="1:42" s="18" customFormat="1" x14ac:dyDescent="0.2">
      <c r="A334" s="18" t="s">
        <v>594</v>
      </c>
      <c r="B334" s="33" t="s">
        <v>912</v>
      </c>
      <c r="C334" s="33" t="s">
        <v>370</v>
      </c>
      <c r="D334" s="34" t="s">
        <v>2222</v>
      </c>
      <c r="E334" s="33" t="s">
        <v>217</v>
      </c>
      <c r="F334" s="33" t="s">
        <v>3619</v>
      </c>
      <c r="G334" s="36" t="s">
        <v>917</v>
      </c>
      <c r="H334" s="311" t="s">
        <v>259</v>
      </c>
      <c r="I334" s="311" t="s">
        <v>259</v>
      </c>
      <c r="J334" s="36" t="s">
        <v>458</v>
      </c>
      <c r="K334" s="219" t="s">
        <v>975</v>
      </c>
      <c r="L334" s="504">
        <v>29.99</v>
      </c>
      <c r="M334" s="35">
        <v>6</v>
      </c>
      <c r="N334" s="187">
        <v>36</v>
      </c>
      <c r="O334" s="484">
        <f>CONVERT(137,"g","lbm")</f>
        <v>0.30203329919328226</v>
      </c>
      <c r="P334" s="485">
        <v>2.5</v>
      </c>
      <c r="Q334" s="485">
        <v>2.5</v>
      </c>
      <c r="R334" s="486" t="s">
        <v>2686</v>
      </c>
      <c r="S334" s="44">
        <v>0.4</v>
      </c>
      <c r="T334" s="33">
        <v>7.25</v>
      </c>
      <c r="U334" s="33">
        <v>2.6749999999999998</v>
      </c>
      <c r="V334" s="70">
        <v>8.375</v>
      </c>
      <c r="W334" s="44">
        <v>2.65</v>
      </c>
      <c r="X334" s="33">
        <v>10.75</v>
      </c>
      <c r="Y334" s="33">
        <v>8.25</v>
      </c>
      <c r="Z334" s="70">
        <v>8.6750000000000007</v>
      </c>
      <c r="AA334" s="44">
        <v>18.3</v>
      </c>
      <c r="AB334" s="33">
        <v>25.39</v>
      </c>
      <c r="AC334" s="33">
        <v>11.26</v>
      </c>
      <c r="AD334" s="70">
        <v>17.760000000000002</v>
      </c>
      <c r="AE334" s="44">
        <f t="shared" si="15"/>
        <v>2.9383282777777775</v>
      </c>
      <c r="AF334" s="37" t="s">
        <v>3790</v>
      </c>
      <c r="AG334" s="37" t="s">
        <v>2384</v>
      </c>
      <c r="AH334" s="37" t="s">
        <v>2387</v>
      </c>
      <c r="AI334" s="37" t="s">
        <v>2385</v>
      </c>
      <c r="AJ334" s="37" t="s">
        <v>2386</v>
      </c>
      <c r="AK334" s="37" t="s">
        <v>2388</v>
      </c>
      <c r="AL334" s="37" t="s">
        <v>2389</v>
      </c>
      <c r="AM334" s="96" t="s">
        <v>3780</v>
      </c>
      <c r="AN334" s="37" t="s">
        <v>2390</v>
      </c>
      <c r="AO334" s="138" t="s">
        <v>2255</v>
      </c>
      <c r="AP334" s="96"/>
    </row>
    <row r="335" spans="1:42" s="18" customFormat="1" x14ac:dyDescent="0.2">
      <c r="A335" s="18" t="s">
        <v>594</v>
      </c>
      <c r="B335" s="33" t="s">
        <v>912</v>
      </c>
      <c r="C335" s="33" t="s">
        <v>371</v>
      </c>
      <c r="D335" s="34" t="s">
        <v>2222</v>
      </c>
      <c r="E335" s="33" t="s">
        <v>218</v>
      </c>
      <c r="F335" s="33" t="s">
        <v>3619</v>
      </c>
      <c r="G335" s="36" t="s">
        <v>916</v>
      </c>
      <c r="H335" s="311" t="s">
        <v>259</v>
      </c>
      <c r="I335" s="311" t="s">
        <v>259</v>
      </c>
      <c r="J335" s="36" t="s">
        <v>458</v>
      </c>
      <c r="K335" s="219" t="s">
        <v>975</v>
      </c>
      <c r="L335" s="504">
        <v>29.99</v>
      </c>
      <c r="M335" s="35">
        <v>6</v>
      </c>
      <c r="N335" s="187">
        <v>36</v>
      </c>
      <c r="O335" s="484">
        <f>CONVERT(137,"g","lbm")</f>
        <v>0.30203329919328226</v>
      </c>
      <c r="P335" s="485">
        <v>2.5</v>
      </c>
      <c r="Q335" s="485">
        <v>2.5</v>
      </c>
      <c r="R335" s="486" t="s">
        <v>2686</v>
      </c>
      <c r="S335" s="44">
        <v>0.4</v>
      </c>
      <c r="T335" s="33">
        <v>7.25</v>
      </c>
      <c r="U335" s="33">
        <v>2.6749999999999998</v>
      </c>
      <c r="V335" s="70">
        <v>8.375</v>
      </c>
      <c r="W335" s="44">
        <v>2.65</v>
      </c>
      <c r="X335" s="33">
        <v>10.75</v>
      </c>
      <c r="Y335" s="33">
        <v>8.25</v>
      </c>
      <c r="Z335" s="70">
        <v>8.6750000000000007</v>
      </c>
      <c r="AA335" s="44">
        <v>18.3</v>
      </c>
      <c r="AB335" s="33">
        <v>25.39</v>
      </c>
      <c r="AC335" s="33">
        <v>11.26</v>
      </c>
      <c r="AD335" s="70">
        <v>17.760000000000002</v>
      </c>
      <c r="AE335" s="44">
        <f t="shared" si="15"/>
        <v>2.9383282777777775</v>
      </c>
      <c r="AF335" s="37" t="s">
        <v>3790</v>
      </c>
      <c r="AG335" s="37" t="s">
        <v>2384</v>
      </c>
      <c r="AH335" s="37" t="s">
        <v>2387</v>
      </c>
      <c r="AI335" s="37" t="s">
        <v>2385</v>
      </c>
      <c r="AJ335" s="37" t="s">
        <v>2386</v>
      </c>
      <c r="AK335" s="37" t="s">
        <v>2388</v>
      </c>
      <c r="AL335" s="37" t="s">
        <v>2389</v>
      </c>
      <c r="AM335" s="96" t="s">
        <v>3780</v>
      </c>
      <c r="AN335" s="37" t="s">
        <v>2390</v>
      </c>
      <c r="AO335" s="138" t="s">
        <v>2255</v>
      </c>
      <c r="AP335" s="96"/>
    </row>
    <row r="336" spans="1:42" s="18" customFormat="1" x14ac:dyDescent="0.2">
      <c r="A336" s="18" t="s">
        <v>594</v>
      </c>
      <c r="B336" s="33" t="s">
        <v>1509</v>
      </c>
      <c r="C336" s="33"/>
      <c r="D336" s="34" t="s">
        <v>2360</v>
      </c>
      <c r="E336" s="33" t="s">
        <v>218</v>
      </c>
      <c r="F336" s="33" t="s">
        <v>3619</v>
      </c>
      <c r="G336" s="75" t="s">
        <v>1510</v>
      </c>
      <c r="H336" s="311" t="s">
        <v>259</v>
      </c>
      <c r="I336" s="311" t="s">
        <v>259</v>
      </c>
      <c r="J336" s="36" t="s">
        <v>458</v>
      </c>
      <c r="K336" s="219" t="s">
        <v>975</v>
      </c>
      <c r="L336" s="504">
        <v>39.99</v>
      </c>
      <c r="M336" s="35"/>
      <c r="N336" s="187"/>
      <c r="O336" s="484">
        <f>CONVERT(181,"g","lbm")</f>
        <v>0.39903669455462842</v>
      </c>
      <c r="P336" s="485"/>
      <c r="Q336" s="485"/>
      <c r="R336" s="487"/>
      <c r="S336" s="44">
        <f>9.2/16</f>
        <v>0.57499999999999996</v>
      </c>
      <c r="T336" s="33">
        <v>9.25</v>
      </c>
      <c r="U336" s="33">
        <v>2</v>
      </c>
      <c r="V336" s="70">
        <v>10.875</v>
      </c>
      <c r="W336" s="44">
        <v>5</v>
      </c>
      <c r="X336" s="33">
        <v>10</v>
      </c>
      <c r="Y336" s="33">
        <v>8.5</v>
      </c>
      <c r="Z336" s="70">
        <v>11</v>
      </c>
      <c r="AA336" s="44"/>
      <c r="AB336" s="33"/>
      <c r="AC336" s="33"/>
      <c r="AD336" s="70"/>
      <c r="AE336" s="44">
        <f t="shared" si="15"/>
        <v>0</v>
      </c>
      <c r="AF336" s="37" t="s">
        <v>3789</v>
      </c>
      <c r="AG336" s="37" t="s">
        <v>2391</v>
      </c>
      <c r="AH336" s="37" t="s">
        <v>2392</v>
      </c>
      <c r="AI336" s="37" t="s">
        <v>2393</v>
      </c>
      <c r="AJ336" s="37" t="s">
        <v>2394</v>
      </c>
      <c r="AK336" s="37" t="s">
        <v>2395</v>
      </c>
      <c r="AL336" s="37" t="s">
        <v>2396</v>
      </c>
      <c r="AM336" s="96" t="s">
        <v>3781</v>
      </c>
      <c r="AN336" s="96"/>
      <c r="AO336" s="138" t="s">
        <v>2255</v>
      </c>
      <c r="AP336" s="96"/>
    </row>
    <row r="337" spans="1:42" s="18" customFormat="1" x14ac:dyDescent="0.2">
      <c r="A337" s="18" t="s">
        <v>594</v>
      </c>
      <c r="B337" s="33" t="s">
        <v>1087</v>
      </c>
      <c r="C337" s="33"/>
      <c r="D337" s="34" t="s">
        <v>2223</v>
      </c>
      <c r="E337" s="18" t="s">
        <v>222</v>
      </c>
      <c r="F337" s="18" t="s">
        <v>2558</v>
      </c>
      <c r="G337" s="28" t="s">
        <v>1088</v>
      </c>
      <c r="H337" s="311" t="s">
        <v>259</v>
      </c>
      <c r="I337" s="311" t="s">
        <v>259</v>
      </c>
      <c r="J337" s="36" t="s">
        <v>458</v>
      </c>
      <c r="K337" s="219" t="s">
        <v>975</v>
      </c>
      <c r="L337" s="504">
        <v>59.99</v>
      </c>
      <c r="M337" s="35">
        <v>6</v>
      </c>
      <c r="N337" s="187">
        <v>24</v>
      </c>
      <c r="O337" s="484">
        <f>CONVERT(241,"g","lbm")</f>
        <v>0.53131405186555491</v>
      </c>
      <c r="P337" s="485">
        <v>2.5</v>
      </c>
      <c r="Q337" s="485">
        <v>2.5</v>
      </c>
      <c r="R337" s="486" t="s">
        <v>2688</v>
      </c>
      <c r="S337" s="44">
        <v>0.83699999999999997</v>
      </c>
      <c r="T337" s="33">
        <v>5</v>
      </c>
      <c r="U337" s="33">
        <v>2.75</v>
      </c>
      <c r="V337" s="70">
        <v>9</v>
      </c>
      <c r="W337" s="44">
        <v>5.4</v>
      </c>
      <c r="X337" s="33">
        <v>10.25</v>
      </c>
      <c r="Y337" s="33">
        <v>8.5</v>
      </c>
      <c r="Z337" s="70">
        <v>8.25</v>
      </c>
      <c r="AA337" s="44">
        <f>CONVERT(10900,"g","lbm")</f>
        <v>24.030386578151656</v>
      </c>
      <c r="AB337" s="33">
        <f>CONVERT(0.535,"m","in")</f>
        <v>21.062992125984252</v>
      </c>
      <c r="AC337" s="33">
        <f>CONVERT(0.45,"m","in")</f>
        <v>17.716535433070867</v>
      </c>
      <c r="AD337" s="70">
        <f>CONVERT(0.22,"m","in")</f>
        <v>8.6614173228346463</v>
      </c>
      <c r="AE337" s="44">
        <f t="shared" si="15"/>
        <v>1.8704413229036432</v>
      </c>
      <c r="AF337" s="37" t="s">
        <v>3786</v>
      </c>
      <c r="AG337" s="138" t="s">
        <v>3301</v>
      </c>
      <c r="AH337" s="96" t="s">
        <v>2439</v>
      </c>
      <c r="AI337" s="37" t="s">
        <v>2440</v>
      </c>
      <c r="AJ337" s="37" t="s">
        <v>2441</v>
      </c>
      <c r="AK337" s="615" t="s">
        <v>2442</v>
      </c>
      <c r="AL337" s="37" t="s">
        <v>3305</v>
      </c>
      <c r="AM337" s="96" t="s">
        <v>3785</v>
      </c>
      <c r="AN337" s="37" t="s">
        <v>2443</v>
      </c>
      <c r="AO337" s="138" t="s">
        <v>2255</v>
      </c>
      <c r="AP337" s="96"/>
    </row>
    <row r="338" spans="1:42" s="18" customFormat="1" x14ac:dyDescent="0.2">
      <c r="A338" s="18" t="s">
        <v>594</v>
      </c>
      <c r="B338" s="33" t="s">
        <v>1790</v>
      </c>
      <c r="C338" s="33"/>
      <c r="D338" s="34" t="s">
        <v>2227</v>
      </c>
      <c r="E338" s="18" t="s">
        <v>222</v>
      </c>
      <c r="F338" s="18" t="s">
        <v>2558</v>
      </c>
      <c r="G338" s="28" t="s">
        <v>1792</v>
      </c>
      <c r="H338" s="311" t="s">
        <v>259</v>
      </c>
      <c r="I338" s="311" t="s">
        <v>259</v>
      </c>
      <c r="J338" s="36" t="s">
        <v>458</v>
      </c>
      <c r="K338" s="219" t="s">
        <v>975</v>
      </c>
      <c r="L338" s="504">
        <v>69.989999999999995</v>
      </c>
      <c r="M338" s="35">
        <v>6</v>
      </c>
      <c r="N338" s="187">
        <v>24</v>
      </c>
      <c r="O338" s="484">
        <f>12.9/16</f>
        <v>0.80625000000000002</v>
      </c>
      <c r="P338" s="485">
        <v>2.5</v>
      </c>
      <c r="Q338" s="485">
        <v>2.5</v>
      </c>
      <c r="R338" s="486" t="s">
        <v>2688</v>
      </c>
      <c r="S338" s="44">
        <v>1</v>
      </c>
      <c r="T338" s="33">
        <v>5</v>
      </c>
      <c r="U338" s="33">
        <v>2.75</v>
      </c>
      <c r="V338" s="70">
        <v>9</v>
      </c>
      <c r="W338" s="44">
        <v>6.2</v>
      </c>
      <c r="X338" s="33">
        <v>10.25</v>
      </c>
      <c r="Y338" s="33">
        <v>8.5</v>
      </c>
      <c r="Z338" s="70">
        <v>8.25</v>
      </c>
      <c r="AA338" s="44">
        <f>CONVERT(12100,"g","lbm")</f>
        <v>26.675933724370186</v>
      </c>
      <c r="AB338" s="33">
        <f>CONVERT(0.535,"m","in")</f>
        <v>21.062992125984252</v>
      </c>
      <c r="AC338" s="33">
        <f>CONVERT(0.45,"m","in")</f>
        <v>17.716535433070867</v>
      </c>
      <c r="AD338" s="70">
        <f>CONVERT(0.22,"m","in")</f>
        <v>8.6614173228346463</v>
      </c>
      <c r="AE338" s="44">
        <f t="shared" si="15"/>
        <v>1.8704413229036432</v>
      </c>
      <c r="AF338" s="37" t="s">
        <v>3786</v>
      </c>
      <c r="AG338" s="138" t="s">
        <v>3301</v>
      </c>
      <c r="AH338" s="96" t="s">
        <v>2439</v>
      </c>
      <c r="AI338" s="37" t="s">
        <v>2440</v>
      </c>
      <c r="AJ338" s="37" t="s">
        <v>2441</v>
      </c>
      <c r="AK338" s="615" t="s">
        <v>2442</v>
      </c>
      <c r="AL338" s="37" t="s">
        <v>3306</v>
      </c>
      <c r="AM338" s="96" t="s">
        <v>3785</v>
      </c>
      <c r="AN338" s="37" t="s">
        <v>2443</v>
      </c>
      <c r="AO338" s="138" t="s">
        <v>2255</v>
      </c>
      <c r="AP338" s="96"/>
    </row>
    <row r="339" spans="1:42" s="18" customFormat="1" x14ac:dyDescent="0.2">
      <c r="A339" s="18" t="s">
        <v>594</v>
      </c>
      <c r="B339" s="33" t="s">
        <v>1791</v>
      </c>
      <c r="C339" s="33"/>
      <c r="D339" s="34" t="s">
        <v>2228</v>
      </c>
      <c r="E339" s="18" t="s">
        <v>222</v>
      </c>
      <c r="F339" s="18" t="s">
        <v>2522</v>
      </c>
      <c r="G339" s="28" t="s">
        <v>1792</v>
      </c>
      <c r="H339" s="311" t="s">
        <v>259</v>
      </c>
      <c r="I339" s="311" t="s">
        <v>259</v>
      </c>
      <c r="J339" s="36" t="s">
        <v>458</v>
      </c>
      <c r="K339" s="219" t="s">
        <v>975</v>
      </c>
      <c r="L339" s="504">
        <v>299.95</v>
      </c>
      <c r="M339" s="35">
        <v>1</v>
      </c>
      <c r="N339" s="187">
        <v>1</v>
      </c>
      <c r="O339" s="484">
        <f>CONVERT(241,"g","lbm")</f>
        <v>0.53131405186555491</v>
      </c>
      <c r="P339" s="485">
        <v>2.5</v>
      </c>
      <c r="Q339" s="485">
        <v>2.5</v>
      </c>
      <c r="R339" s="486" t="s">
        <v>2688</v>
      </c>
      <c r="S339" s="44">
        <v>5.65</v>
      </c>
      <c r="T339" s="33">
        <v>13.5</v>
      </c>
      <c r="U339" s="33">
        <v>6.375</v>
      </c>
      <c r="V339" s="70">
        <v>16.625</v>
      </c>
      <c r="W339" s="44" t="s">
        <v>259</v>
      </c>
      <c r="X339" s="33" t="s">
        <v>259</v>
      </c>
      <c r="Y339" s="33" t="s">
        <v>259</v>
      </c>
      <c r="Z339" s="70" t="s">
        <v>259</v>
      </c>
      <c r="AA339" s="44">
        <v>6.75</v>
      </c>
      <c r="AB339" s="33">
        <v>14</v>
      </c>
      <c r="AC339" s="33">
        <v>9</v>
      </c>
      <c r="AD339" s="70">
        <v>8.75</v>
      </c>
      <c r="AE339" s="44">
        <f t="shared" si="15"/>
        <v>0.63802083333333337</v>
      </c>
      <c r="AF339" s="37" t="s">
        <v>3786</v>
      </c>
      <c r="AG339" s="138" t="s">
        <v>3301</v>
      </c>
      <c r="AH339" s="96" t="s">
        <v>2439</v>
      </c>
      <c r="AI339" s="37" t="s">
        <v>2440</v>
      </c>
      <c r="AJ339" s="37" t="s">
        <v>2441</v>
      </c>
      <c r="AK339" s="615" t="s">
        <v>2442</v>
      </c>
      <c r="AL339" s="37" t="s">
        <v>3305</v>
      </c>
      <c r="AM339" s="96" t="s">
        <v>3785</v>
      </c>
      <c r="AN339" s="37" t="s">
        <v>2443</v>
      </c>
      <c r="AO339" s="138" t="s">
        <v>2255</v>
      </c>
      <c r="AP339" s="96"/>
    </row>
    <row r="340" spans="1:42" s="18" customFormat="1" x14ac:dyDescent="0.2">
      <c r="A340" s="18" t="s">
        <v>594</v>
      </c>
      <c r="B340" s="33" t="s">
        <v>1505</v>
      </c>
      <c r="C340" s="33"/>
      <c r="D340" s="34" t="s">
        <v>2361</v>
      </c>
      <c r="F340" s="18" t="s">
        <v>2547</v>
      </c>
      <c r="G340" s="36" t="s">
        <v>1507</v>
      </c>
      <c r="H340" s="36"/>
      <c r="I340" s="36"/>
      <c r="J340" s="36" t="s">
        <v>458</v>
      </c>
      <c r="K340" s="219" t="s">
        <v>975</v>
      </c>
      <c r="L340" s="504">
        <v>5.99</v>
      </c>
      <c r="M340" s="35">
        <v>12</v>
      </c>
      <c r="N340" s="187">
        <v>72</v>
      </c>
      <c r="O340" s="484">
        <f>CONVERT(36,"g","lbm")</f>
        <v>7.9366414386555922E-2</v>
      </c>
      <c r="P340" s="485">
        <v>9</v>
      </c>
      <c r="Q340" s="485">
        <v>1</v>
      </c>
      <c r="R340" s="487">
        <v>0.875</v>
      </c>
      <c r="S340" s="44">
        <v>0.08</v>
      </c>
      <c r="T340" s="33">
        <v>2.5</v>
      </c>
      <c r="U340" s="33">
        <v>1</v>
      </c>
      <c r="V340" s="70">
        <v>10.25</v>
      </c>
      <c r="W340" s="44">
        <v>1.35</v>
      </c>
      <c r="X340" s="33">
        <v>11.875</v>
      </c>
      <c r="Y340" s="33">
        <v>9.875</v>
      </c>
      <c r="Z340" s="70">
        <v>2.5</v>
      </c>
      <c r="AA340" s="44">
        <v>9.25</v>
      </c>
      <c r="AB340" s="33">
        <f>CONVERT(0.4,"m","in")</f>
        <v>15.748031496062993</v>
      </c>
      <c r="AC340" s="33">
        <f>CONVERT(0.31,"m","in")</f>
        <v>12.204724409448819</v>
      </c>
      <c r="AD340" s="70">
        <f>CONVERT(0.265,"m","in")</f>
        <v>10.433070866141732</v>
      </c>
      <c r="AE340" s="44">
        <f t="shared" si="15"/>
        <v>1.1604399484681149</v>
      </c>
      <c r="AF340" s="96" t="s">
        <v>2449</v>
      </c>
      <c r="AG340" s="96" t="s">
        <v>3302</v>
      </c>
      <c r="AH340" s="96" t="s">
        <v>2444</v>
      </c>
      <c r="AI340" s="96" t="s">
        <v>2445</v>
      </c>
      <c r="AJ340" s="96" t="s">
        <v>2446</v>
      </c>
      <c r="AK340" s="96" t="s">
        <v>2447</v>
      </c>
      <c r="AL340" s="96" t="s">
        <v>2451</v>
      </c>
      <c r="AM340" s="96"/>
      <c r="AN340" s="96" t="s">
        <v>2448</v>
      </c>
      <c r="AO340" s="138" t="s">
        <v>2255</v>
      </c>
      <c r="AP340" s="96"/>
    </row>
    <row r="341" spans="1:42" s="18" customFormat="1" x14ac:dyDescent="0.2">
      <c r="A341" s="18" t="s">
        <v>594</v>
      </c>
      <c r="B341" s="19" t="s">
        <v>2238</v>
      </c>
      <c r="C341" s="19" t="s">
        <v>2246</v>
      </c>
      <c r="D341" s="19" t="s">
        <v>2363</v>
      </c>
      <c r="E341" s="18" t="s">
        <v>2249</v>
      </c>
      <c r="F341" s="18" t="s">
        <v>3619</v>
      </c>
      <c r="G341" s="28" t="s">
        <v>2252</v>
      </c>
      <c r="H341" s="28" t="s">
        <v>2551</v>
      </c>
      <c r="I341" s="28" t="s">
        <v>2552</v>
      </c>
      <c r="J341" s="36" t="s">
        <v>458</v>
      </c>
      <c r="K341" s="219" t="s">
        <v>975</v>
      </c>
      <c r="L341" s="504">
        <v>39.99</v>
      </c>
      <c r="M341" s="35">
        <v>3</v>
      </c>
      <c r="N341" s="187">
        <v>24</v>
      </c>
      <c r="O341" s="484">
        <f>3.7/16</f>
        <v>0.23125000000000001</v>
      </c>
      <c r="P341" s="488" t="s">
        <v>2720</v>
      </c>
      <c r="Q341" s="488" t="s">
        <v>2719</v>
      </c>
      <c r="R341" s="487"/>
      <c r="S341" s="44">
        <v>0.3</v>
      </c>
      <c r="T341" s="33">
        <v>7.0625</v>
      </c>
      <c r="U341" s="33">
        <v>2.75</v>
      </c>
      <c r="V341" s="70">
        <v>3.75</v>
      </c>
      <c r="W341" s="44">
        <f>16.8/16</f>
        <v>1.05</v>
      </c>
      <c r="X341" s="33">
        <v>7.375</v>
      </c>
      <c r="Y341" s="33">
        <v>7.25</v>
      </c>
      <c r="Z341" s="70">
        <v>4.25</v>
      </c>
      <c r="AA341" s="44">
        <f>CONVERT(4080,"g","lbm")</f>
        <v>8.9948602971430045</v>
      </c>
      <c r="AB341" s="33">
        <f>CONVERT(0.395,"m","in")</f>
        <v>15.551181102362206</v>
      </c>
      <c r="AC341" s="33">
        <f>CONVERT(0.378,"m","in")</f>
        <v>14.881889763779528</v>
      </c>
      <c r="AD341" s="70">
        <f>CONVERT(0.235,"m","in")</f>
        <v>9.2519685039370074</v>
      </c>
      <c r="AE341" s="44">
        <f t="shared" si="15"/>
        <v>1.2391157287235832</v>
      </c>
      <c r="AF341" s="616" t="s">
        <v>2455</v>
      </c>
      <c r="AG341" s="616" t="s">
        <v>2487</v>
      </c>
      <c r="AH341" s="616" t="s">
        <v>2488</v>
      </c>
      <c r="AI341" s="141" t="s">
        <v>2457</v>
      </c>
      <c r="AJ341" s="483" t="s">
        <v>2489</v>
      </c>
      <c r="AK341" s="483" t="s">
        <v>2458</v>
      </c>
      <c r="AL341" s="96" t="s">
        <v>3058</v>
      </c>
      <c r="AM341" s="135"/>
      <c r="AN341" s="96" t="s">
        <v>2459</v>
      </c>
      <c r="AO341" s="138" t="s">
        <v>2255</v>
      </c>
      <c r="AP341" s="96"/>
    </row>
    <row r="342" spans="1:42" s="18" customFormat="1" x14ac:dyDescent="0.2">
      <c r="A342" s="18" t="s">
        <v>594</v>
      </c>
      <c r="B342" s="19" t="s">
        <v>2238</v>
      </c>
      <c r="C342" s="19" t="s">
        <v>2247</v>
      </c>
      <c r="D342" s="19" t="s">
        <v>2363</v>
      </c>
      <c r="E342" s="18" t="s">
        <v>2250</v>
      </c>
      <c r="F342" s="18" t="s">
        <v>3619</v>
      </c>
      <c r="G342" s="28" t="s">
        <v>2253</v>
      </c>
      <c r="H342" s="28" t="s">
        <v>2553</v>
      </c>
      <c r="I342" s="28" t="s">
        <v>2555</v>
      </c>
      <c r="J342" s="36" t="s">
        <v>458</v>
      </c>
      <c r="K342" s="219" t="s">
        <v>975</v>
      </c>
      <c r="L342" s="504">
        <v>39.99</v>
      </c>
      <c r="M342" s="35">
        <v>3</v>
      </c>
      <c r="N342" s="187">
        <v>24</v>
      </c>
      <c r="O342" s="484">
        <f>3.7/16</f>
        <v>0.23125000000000001</v>
      </c>
      <c r="P342" s="488" t="s">
        <v>2720</v>
      </c>
      <c r="Q342" s="488" t="s">
        <v>2719</v>
      </c>
      <c r="R342" s="487"/>
      <c r="S342" s="44">
        <v>0.3</v>
      </c>
      <c r="T342" s="33">
        <v>7.0625</v>
      </c>
      <c r="U342" s="33">
        <v>2.75</v>
      </c>
      <c r="V342" s="70">
        <v>3.75</v>
      </c>
      <c r="W342" s="44">
        <f>16.8/16</f>
        <v>1.05</v>
      </c>
      <c r="X342" s="33">
        <v>7.375</v>
      </c>
      <c r="Y342" s="33">
        <v>7.25</v>
      </c>
      <c r="Z342" s="70">
        <v>4.25</v>
      </c>
      <c r="AA342" s="44">
        <f>CONVERT(4080,"g","lbm")</f>
        <v>8.9948602971430045</v>
      </c>
      <c r="AB342" s="33">
        <f>CONVERT(0.395,"m","in")</f>
        <v>15.551181102362206</v>
      </c>
      <c r="AC342" s="33">
        <f>CONVERT(0.378,"m","in")</f>
        <v>14.881889763779528</v>
      </c>
      <c r="AD342" s="70">
        <f>CONVERT(0.235,"m","in")</f>
        <v>9.2519685039370074</v>
      </c>
      <c r="AE342" s="44">
        <f t="shared" si="15"/>
        <v>1.2391157287235832</v>
      </c>
      <c r="AF342" s="616" t="s">
        <v>2455</v>
      </c>
      <c r="AG342" s="616" t="s">
        <v>2487</v>
      </c>
      <c r="AH342" s="616" t="s">
        <v>2488</v>
      </c>
      <c r="AI342" s="141" t="s">
        <v>2457</v>
      </c>
      <c r="AJ342" s="483" t="s">
        <v>2489</v>
      </c>
      <c r="AK342" s="483" t="s">
        <v>2458</v>
      </c>
      <c r="AL342" s="96" t="s">
        <v>3058</v>
      </c>
      <c r="AM342" s="135"/>
      <c r="AN342" s="96" t="s">
        <v>2459</v>
      </c>
      <c r="AO342" s="138" t="s">
        <v>2255</v>
      </c>
      <c r="AP342" s="96"/>
    </row>
    <row r="343" spans="1:42" s="18" customFormat="1" x14ac:dyDescent="0.2">
      <c r="A343" s="18" t="s">
        <v>594</v>
      </c>
      <c r="B343" s="19" t="s">
        <v>2238</v>
      </c>
      <c r="C343" s="19" t="s">
        <v>2248</v>
      </c>
      <c r="D343" s="19" t="s">
        <v>2363</v>
      </c>
      <c r="E343" s="18" t="s">
        <v>2251</v>
      </c>
      <c r="F343" s="18" t="s">
        <v>3619</v>
      </c>
      <c r="G343" s="28" t="s">
        <v>2254</v>
      </c>
      <c r="H343" s="28" t="s">
        <v>2554</v>
      </c>
      <c r="I343" s="28" t="s">
        <v>2556</v>
      </c>
      <c r="J343" s="36" t="s">
        <v>458</v>
      </c>
      <c r="K343" s="219" t="s">
        <v>975</v>
      </c>
      <c r="L343" s="504">
        <v>39.99</v>
      </c>
      <c r="M343" s="35">
        <v>3</v>
      </c>
      <c r="N343" s="187">
        <v>24</v>
      </c>
      <c r="O343" s="484">
        <f>3.7/16</f>
        <v>0.23125000000000001</v>
      </c>
      <c r="P343" s="488" t="s">
        <v>2720</v>
      </c>
      <c r="Q343" s="488" t="s">
        <v>2719</v>
      </c>
      <c r="R343" s="487"/>
      <c r="S343" s="44">
        <v>0.3</v>
      </c>
      <c r="T343" s="33">
        <v>7.0625</v>
      </c>
      <c r="U343" s="33">
        <v>2.75</v>
      </c>
      <c r="V343" s="70">
        <v>3.75</v>
      </c>
      <c r="W343" s="44">
        <f>16.8/16</f>
        <v>1.05</v>
      </c>
      <c r="X343" s="33">
        <v>7.375</v>
      </c>
      <c r="Y343" s="33">
        <v>7.25</v>
      </c>
      <c r="Z343" s="70">
        <v>4.25</v>
      </c>
      <c r="AA343" s="44">
        <f>CONVERT(4080,"g","lbm")</f>
        <v>8.9948602971430045</v>
      </c>
      <c r="AB343" s="33">
        <f>CONVERT(0.395,"m","in")</f>
        <v>15.551181102362206</v>
      </c>
      <c r="AC343" s="33">
        <f>CONVERT(0.378,"m","in")</f>
        <v>14.881889763779528</v>
      </c>
      <c r="AD343" s="70">
        <f>CONVERT(0.235,"m","in")</f>
        <v>9.2519685039370074</v>
      </c>
      <c r="AE343" s="44">
        <f t="shared" si="15"/>
        <v>1.2391157287235832</v>
      </c>
      <c r="AF343" s="616" t="s">
        <v>2455</v>
      </c>
      <c r="AG343" s="616" t="s">
        <v>2487</v>
      </c>
      <c r="AH343" s="616" t="s">
        <v>2488</v>
      </c>
      <c r="AI343" s="141" t="s">
        <v>2457</v>
      </c>
      <c r="AJ343" s="483" t="s">
        <v>2489</v>
      </c>
      <c r="AK343" s="483" t="s">
        <v>2458</v>
      </c>
      <c r="AL343" s="96" t="s">
        <v>3058</v>
      </c>
      <c r="AM343" s="135"/>
      <c r="AN343" s="96" t="s">
        <v>2459</v>
      </c>
      <c r="AO343" s="138" t="s">
        <v>2255</v>
      </c>
      <c r="AP343" s="96"/>
    </row>
    <row r="344" spans="1:42" s="18" customFormat="1" x14ac:dyDescent="0.2">
      <c r="B344" s="19"/>
      <c r="D344" s="19"/>
      <c r="G344" s="28"/>
      <c r="H344" s="28"/>
      <c r="I344" s="28"/>
      <c r="J344" s="28"/>
      <c r="K344" s="28"/>
      <c r="L344" s="5"/>
      <c r="M344" s="35"/>
      <c r="N344" s="35"/>
      <c r="O344" s="345"/>
      <c r="P344" s="35"/>
      <c r="Q344" s="35"/>
      <c r="R344" s="187"/>
      <c r="S344" s="33"/>
      <c r="T344" s="33"/>
      <c r="U344" s="33"/>
      <c r="V344" s="33"/>
      <c r="W344" s="44"/>
      <c r="X344" s="33"/>
      <c r="Y344" s="33"/>
      <c r="Z344" s="70"/>
      <c r="AA344" s="44"/>
      <c r="AB344" s="33"/>
      <c r="AC344" s="33"/>
      <c r="AD344" s="70"/>
      <c r="AE344" s="33"/>
      <c r="AF344" s="63"/>
      <c r="AG344" s="63"/>
      <c r="AH344" s="104"/>
      <c r="AI344" s="63"/>
      <c r="AJ344" s="63"/>
      <c r="AK344" s="104"/>
      <c r="AL344" s="104"/>
      <c r="AM344" s="63"/>
      <c r="AN344" s="558"/>
      <c r="AP344" s="37"/>
    </row>
    <row r="345" spans="1:42" s="18" customFormat="1" x14ac:dyDescent="0.2">
      <c r="B345" s="19"/>
      <c r="C345" s="19"/>
      <c r="D345" s="24"/>
      <c r="G345" s="55"/>
      <c r="H345" s="55"/>
      <c r="I345" s="55"/>
      <c r="J345" s="55"/>
      <c r="K345" s="36"/>
      <c r="L345" s="5"/>
      <c r="M345" s="35"/>
      <c r="N345" s="35"/>
      <c r="O345" s="345"/>
      <c r="P345" s="35"/>
      <c r="Q345" s="35"/>
      <c r="R345" s="187"/>
      <c r="S345" s="33"/>
      <c r="T345" s="33"/>
      <c r="U345" s="33"/>
      <c r="V345" s="33"/>
      <c r="W345" s="44"/>
      <c r="X345" s="33"/>
      <c r="Y345" s="33"/>
      <c r="Z345" s="70"/>
      <c r="AA345" s="44"/>
      <c r="AB345" s="33"/>
      <c r="AC345" s="33"/>
      <c r="AD345" s="70"/>
      <c r="AE345" s="33"/>
      <c r="AF345" s="24"/>
      <c r="AG345" s="19"/>
      <c r="AH345" s="19"/>
      <c r="AI345" s="19"/>
      <c r="AJ345" s="19"/>
      <c r="AK345" s="19"/>
      <c r="AL345" s="19"/>
      <c r="AM345" s="19"/>
      <c r="AN345" s="38"/>
      <c r="AO345" s="37"/>
    </row>
    <row r="346" spans="1:42" s="18" customFormat="1" x14ac:dyDescent="0.2">
      <c r="A346" s="18" t="s">
        <v>886</v>
      </c>
      <c r="B346" s="33" t="s">
        <v>384</v>
      </c>
      <c r="C346" s="33" t="s">
        <v>217</v>
      </c>
      <c r="D346" s="34" t="s">
        <v>899</v>
      </c>
      <c r="E346" s="34" t="s">
        <v>217</v>
      </c>
      <c r="F346" s="34"/>
      <c r="G346" s="28" t="s">
        <v>202</v>
      </c>
      <c r="H346" s="28"/>
      <c r="I346" s="28"/>
      <c r="J346" s="36" t="s">
        <v>261</v>
      </c>
      <c r="K346" s="36" t="s">
        <v>975</v>
      </c>
      <c r="L346" s="5">
        <v>34.99</v>
      </c>
      <c r="M346" s="35">
        <v>4</v>
      </c>
      <c r="N346" s="35">
        <v>4</v>
      </c>
      <c r="O346" s="345"/>
      <c r="P346" s="35"/>
      <c r="Q346" s="35"/>
      <c r="R346" s="187"/>
      <c r="S346" s="33">
        <v>2.2999999999999998</v>
      </c>
      <c r="T346" s="33">
        <v>8</v>
      </c>
      <c r="U346" s="33">
        <v>8</v>
      </c>
      <c r="V346" s="70">
        <v>8</v>
      </c>
      <c r="W346" s="44" t="s">
        <v>856</v>
      </c>
      <c r="X346" s="33" t="s">
        <v>856</v>
      </c>
      <c r="Y346" s="33" t="s">
        <v>856</v>
      </c>
      <c r="Z346" s="70" t="s">
        <v>856</v>
      </c>
      <c r="AA346" s="44">
        <v>11</v>
      </c>
      <c r="AB346" s="33">
        <v>16.75</v>
      </c>
      <c r="AC346" s="33">
        <v>16.25</v>
      </c>
      <c r="AD346" s="70">
        <v>9.25</v>
      </c>
      <c r="AE346" s="33">
        <f t="shared" ref="AE346:AE361" si="16">AB346*AC346*AD346/(12^3)</f>
        <v>1.4570222077546295</v>
      </c>
      <c r="AF346" s="37" t="s">
        <v>1004</v>
      </c>
      <c r="AG346" s="18" t="s">
        <v>1001</v>
      </c>
      <c r="AH346" s="37" t="s">
        <v>576</v>
      </c>
      <c r="AI346" s="37" t="s">
        <v>577</v>
      </c>
      <c r="AJ346" s="18" t="s">
        <v>1002</v>
      </c>
      <c r="AN346" s="37" t="s">
        <v>1148</v>
      </c>
      <c r="AO346" s="12"/>
      <c r="AP346" s="18" t="s">
        <v>490</v>
      </c>
    </row>
    <row r="347" spans="1:42" s="18" customFormat="1" x14ac:dyDescent="0.2">
      <c r="A347" s="18" t="s">
        <v>886</v>
      </c>
      <c r="B347" s="33" t="s">
        <v>384</v>
      </c>
      <c r="C347" s="33" t="s">
        <v>655</v>
      </c>
      <c r="D347" s="19" t="s">
        <v>900</v>
      </c>
      <c r="E347" s="33" t="s">
        <v>655</v>
      </c>
      <c r="F347" s="33"/>
      <c r="G347" s="28" t="s">
        <v>985</v>
      </c>
      <c r="H347" s="28"/>
      <c r="I347" s="28"/>
      <c r="J347" s="28" t="s">
        <v>261</v>
      </c>
      <c r="K347" s="36" t="s">
        <v>975</v>
      </c>
      <c r="L347" s="5">
        <v>34.99</v>
      </c>
      <c r="M347" s="35">
        <v>1</v>
      </c>
      <c r="N347" s="35">
        <v>8</v>
      </c>
      <c r="O347" s="345"/>
      <c r="P347" s="35"/>
      <c r="Q347" s="35"/>
      <c r="R347" s="187"/>
      <c r="S347" s="33">
        <v>2.2999999999999998</v>
      </c>
      <c r="T347" s="33">
        <v>8</v>
      </c>
      <c r="U347" s="33">
        <v>8</v>
      </c>
      <c r="V347" s="70">
        <v>8</v>
      </c>
      <c r="W347" s="44" t="s">
        <v>856</v>
      </c>
      <c r="X347" s="33" t="s">
        <v>856</v>
      </c>
      <c r="Y347" s="33" t="s">
        <v>856</v>
      </c>
      <c r="Z347" s="70" t="s">
        <v>856</v>
      </c>
      <c r="AA347" s="44">
        <v>22</v>
      </c>
      <c r="AB347" s="33">
        <v>16.7</v>
      </c>
      <c r="AC347" s="33">
        <v>16.25</v>
      </c>
      <c r="AD347" s="70">
        <v>17.600000000000001</v>
      </c>
      <c r="AE347" s="33">
        <f t="shared" si="16"/>
        <v>2.7640046296296301</v>
      </c>
      <c r="AF347" s="37" t="s">
        <v>1004</v>
      </c>
      <c r="AG347" s="18" t="s">
        <v>1001</v>
      </c>
      <c r="AH347" s="37" t="s">
        <v>576</v>
      </c>
      <c r="AI347" s="37" t="s">
        <v>577</v>
      </c>
      <c r="AJ347" s="18" t="s">
        <v>1002</v>
      </c>
      <c r="AN347" s="37" t="s">
        <v>1148</v>
      </c>
      <c r="AO347" s="12"/>
      <c r="AP347" s="18" t="s">
        <v>490</v>
      </c>
    </row>
    <row r="348" spans="1:42" s="18" customFormat="1" x14ac:dyDescent="0.2">
      <c r="A348" s="18" t="s">
        <v>886</v>
      </c>
      <c r="B348" s="33" t="s">
        <v>384</v>
      </c>
      <c r="C348" s="33" t="s">
        <v>217</v>
      </c>
      <c r="D348" s="19" t="s">
        <v>901</v>
      </c>
      <c r="E348" s="33" t="s">
        <v>217</v>
      </c>
      <c r="F348" s="33"/>
      <c r="G348" s="28" t="s">
        <v>202</v>
      </c>
      <c r="H348" s="28"/>
      <c r="I348" s="28"/>
      <c r="J348" s="28" t="s">
        <v>261</v>
      </c>
      <c r="K348" s="36" t="s">
        <v>975</v>
      </c>
      <c r="L348" s="5">
        <v>34.99</v>
      </c>
      <c r="M348" s="35">
        <v>1</v>
      </c>
      <c r="N348" s="35">
        <v>8</v>
      </c>
      <c r="O348" s="345"/>
      <c r="P348" s="35"/>
      <c r="Q348" s="35"/>
      <c r="R348" s="187"/>
      <c r="S348" s="33">
        <v>2.2999999999999998</v>
      </c>
      <c r="T348" s="33">
        <v>8</v>
      </c>
      <c r="U348" s="33">
        <v>8</v>
      </c>
      <c r="V348" s="70">
        <v>8</v>
      </c>
      <c r="W348" s="44" t="s">
        <v>856</v>
      </c>
      <c r="X348" s="33" t="s">
        <v>856</v>
      </c>
      <c r="Y348" s="33" t="s">
        <v>856</v>
      </c>
      <c r="Z348" s="70" t="s">
        <v>856</v>
      </c>
      <c r="AA348" s="44">
        <v>22</v>
      </c>
      <c r="AB348" s="33">
        <v>16.7</v>
      </c>
      <c r="AC348" s="33">
        <v>16.25</v>
      </c>
      <c r="AD348" s="70">
        <v>17.600000000000001</v>
      </c>
      <c r="AE348" s="33">
        <f t="shared" si="16"/>
        <v>2.7640046296296301</v>
      </c>
      <c r="AF348" s="37" t="s">
        <v>1004</v>
      </c>
      <c r="AG348" s="18" t="s">
        <v>1001</v>
      </c>
      <c r="AH348" s="37" t="s">
        <v>576</v>
      </c>
      <c r="AI348" s="37" t="s">
        <v>577</v>
      </c>
      <c r="AJ348" s="18" t="s">
        <v>1002</v>
      </c>
      <c r="AN348" s="37" t="s">
        <v>1148</v>
      </c>
      <c r="AO348" s="12"/>
      <c r="AP348" s="18" t="s">
        <v>490</v>
      </c>
    </row>
    <row r="349" spans="1:42" s="18" customFormat="1" x14ac:dyDescent="0.2">
      <c r="A349" s="18" t="s">
        <v>886</v>
      </c>
      <c r="B349" s="33" t="s">
        <v>384</v>
      </c>
      <c r="C349" s="19" t="s">
        <v>218</v>
      </c>
      <c r="D349" s="19" t="s">
        <v>902</v>
      </c>
      <c r="E349" s="19" t="s">
        <v>218</v>
      </c>
      <c r="F349" s="19"/>
      <c r="G349" s="28" t="s">
        <v>203</v>
      </c>
      <c r="H349" s="28"/>
      <c r="I349" s="28"/>
      <c r="J349" s="28" t="s">
        <v>261</v>
      </c>
      <c r="K349" s="36" t="s">
        <v>975</v>
      </c>
      <c r="L349" s="5">
        <v>34.99</v>
      </c>
      <c r="M349" s="35">
        <v>1</v>
      </c>
      <c r="N349" s="35">
        <v>8</v>
      </c>
      <c r="O349" s="345"/>
      <c r="P349" s="35"/>
      <c r="Q349" s="35"/>
      <c r="R349" s="187"/>
      <c r="S349" s="33">
        <v>2.2999999999999998</v>
      </c>
      <c r="T349" s="33">
        <v>8</v>
      </c>
      <c r="U349" s="33">
        <v>8</v>
      </c>
      <c r="V349" s="70">
        <v>8</v>
      </c>
      <c r="W349" s="44" t="s">
        <v>856</v>
      </c>
      <c r="X349" s="33" t="s">
        <v>856</v>
      </c>
      <c r="Y349" s="33" t="s">
        <v>856</v>
      </c>
      <c r="Z349" s="70" t="s">
        <v>856</v>
      </c>
      <c r="AA349" s="44">
        <v>22</v>
      </c>
      <c r="AB349" s="33">
        <v>16.7</v>
      </c>
      <c r="AC349" s="33">
        <v>16.25</v>
      </c>
      <c r="AD349" s="70">
        <v>17.600000000000001</v>
      </c>
      <c r="AE349" s="33">
        <f t="shared" si="16"/>
        <v>2.7640046296296301</v>
      </c>
      <c r="AF349" s="37" t="s">
        <v>1004</v>
      </c>
      <c r="AG349" s="18" t="s">
        <v>1001</v>
      </c>
      <c r="AH349" s="37" t="s">
        <v>576</v>
      </c>
      <c r="AI349" s="37" t="s">
        <v>577</v>
      </c>
      <c r="AJ349" s="18" t="s">
        <v>1002</v>
      </c>
      <c r="AN349" s="37" t="s">
        <v>1148</v>
      </c>
      <c r="AO349" s="12"/>
      <c r="AP349" s="18" t="s">
        <v>490</v>
      </c>
    </row>
    <row r="350" spans="1:42" s="18" customFormat="1" x14ac:dyDescent="0.2">
      <c r="A350" s="18" t="s">
        <v>886</v>
      </c>
      <c r="B350" s="33" t="s">
        <v>384</v>
      </c>
      <c r="C350" s="19" t="s">
        <v>219</v>
      </c>
      <c r="D350" s="19" t="s">
        <v>903</v>
      </c>
      <c r="E350" s="19" t="s">
        <v>219</v>
      </c>
      <c r="F350" s="19"/>
      <c r="G350" s="28" t="s">
        <v>204</v>
      </c>
      <c r="H350" s="28"/>
      <c r="I350" s="28"/>
      <c r="J350" s="28" t="s">
        <v>261</v>
      </c>
      <c r="K350" s="36" t="s">
        <v>975</v>
      </c>
      <c r="L350" s="5">
        <v>34.99</v>
      </c>
      <c r="M350" s="35">
        <v>1</v>
      </c>
      <c r="N350" s="35">
        <v>8</v>
      </c>
      <c r="O350" s="345"/>
      <c r="P350" s="35"/>
      <c r="Q350" s="35"/>
      <c r="R350" s="187"/>
      <c r="S350" s="33">
        <v>2.2999999999999998</v>
      </c>
      <c r="T350" s="33">
        <v>8</v>
      </c>
      <c r="U350" s="33">
        <v>8</v>
      </c>
      <c r="V350" s="70">
        <v>8</v>
      </c>
      <c r="W350" s="44" t="s">
        <v>856</v>
      </c>
      <c r="X350" s="33" t="s">
        <v>856</v>
      </c>
      <c r="Y350" s="33" t="s">
        <v>856</v>
      </c>
      <c r="Z350" s="70" t="s">
        <v>856</v>
      </c>
      <c r="AA350" s="44">
        <v>22</v>
      </c>
      <c r="AB350" s="33">
        <v>16.7</v>
      </c>
      <c r="AC350" s="33">
        <v>16.25</v>
      </c>
      <c r="AD350" s="70">
        <v>17.600000000000001</v>
      </c>
      <c r="AE350" s="33">
        <f t="shared" si="16"/>
        <v>2.7640046296296301</v>
      </c>
      <c r="AF350" s="37" t="s">
        <v>1004</v>
      </c>
      <c r="AG350" s="18" t="s">
        <v>1001</v>
      </c>
      <c r="AH350" s="37" t="s">
        <v>576</v>
      </c>
      <c r="AI350" s="37" t="s">
        <v>577</v>
      </c>
      <c r="AJ350" s="18" t="s">
        <v>1002</v>
      </c>
      <c r="AN350" s="37" t="s">
        <v>1148</v>
      </c>
      <c r="AO350" s="12"/>
      <c r="AP350" s="18" t="s">
        <v>490</v>
      </c>
    </row>
    <row r="351" spans="1:42" s="18" customFormat="1" x14ac:dyDescent="0.2">
      <c r="A351" s="18" t="s">
        <v>886</v>
      </c>
      <c r="B351" s="33" t="s">
        <v>384</v>
      </c>
      <c r="C351" s="19" t="s">
        <v>220</v>
      </c>
      <c r="D351" s="19" t="s">
        <v>904</v>
      </c>
      <c r="E351" s="19" t="s">
        <v>220</v>
      </c>
      <c r="F351" s="19"/>
      <c r="G351" s="28" t="s">
        <v>205</v>
      </c>
      <c r="H351" s="28"/>
      <c r="I351" s="28"/>
      <c r="J351" s="28" t="s">
        <v>261</v>
      </c>
      <c r="K351" s="36" t="s">
        <v>975</v>
      </c>
      <c r="L351" s="5">
        <v>34.99</v>
      </c>
      <c r="M351" s="35">
        <v>1</v>
      </c>
      <c r="N351" s="35">
        <v>8</v>
      </c>
      <c r="O351" s="345"/>
      <c r="P351" s="35"/>
      <c r="Q351" s="35"/>
      <c r="R351" s="187"/>
      <c r="S351" s="33">
        <v>2.2999999999999998</v>
      </c>
      <c r="T351" s="33">
        <v>8</v>
      </c>
      <c r="U351" s="33">
        <v>8</v>
      </c>
      <c r="V351" s="70">
        <v>8</v>
      </c>
      <c r="W351" s="44" t="s">
        <v>856</v>
      </c>
      <c r="X351" s="33" t="s">
        <v>856</v>
      </c>
      <c r="Y351" s="33" t="s">
        <v>856</v>
      </c>
      <c r="Z351" s="70" t="s">
        <v>856</v>
      </c>
      <c r="AA351" s="44">
        <v>22</v>
      </c>
      <c r="AB351" s="33">
        <v>16.7</v>
      </c>
      <c r="AC351" s="33">
        <v>16.25</v>
      </c>
      <c r="AD351" s="70">
        <v>17.600000000000001</v>
      </c>
      <c r="AE351" s="33">
        <f t="shared" si="16"/>
        <v>2.7640046296296301</v>
      </c>
      <c r="AF351" s="37" t="s">
        <v>1004</v>
      </c>
      <c r="AG351" s="18" t="s">
        <v>1001</v>
      </c>
      <c r="AH351" s="37" t="s">
        <v>576</v>
      </c>
      <c r="AI351" s="37" t="s">
        <v>577</v>
      </c>
      <c r="AJ351" s="18" t="s">
        <v>1002</v>
      </c>
      <c r="AN351" s="37" t="s">
        <v>1148</v>
      </c>
      <c r="AO351" s="12"/>
      <c r="AP351" s="18" t="s">
        <v>490</v>
      </c>
    </row>
    <row r="352" spans="1:42" s="18" customFormat="1" x14ac:dyDescent="0.2">
      <c r="A352" s="18" t="s">
        <v>886</v>
      </c>
      <c r="B352" s="33" t="s">
        <v>384</v>
      </c>
      <c r="C352" s="19" t="s">
        <v>221</v>
      </c>
      <c r="D352" s="19" t="s">
        <v>905</v>
      </c>
      <c r="E352" s="19" t="s">
        <v>221</v>
      </c>
      <c r="F352" s="19"/>
      <c r="G352" s="28" t="s">
        <v>206</v>
      </c>
      <c r="H352" s="28"/>
      <c r="I352" s="28"/>
      <c r="J352" s="28" t="s">
        <v>261</v>
      </c>
      <c r="K352" s="36" t="s">
        <v>975</v>
      </c>
      <c r="L352" s="5">
        <v>34.99</v>
      </c>
      <c r="M352" s="35">
        <v>1</v>
      </c>
      <c r="N352" s="35">
        <v>8</v>
      </c>
      <c r="O352" s="345"/>
      <c r="P352" s="35"/>
      <c r="Q352" s="35"/>
      <c r="R352" s="187"/>
      <c r="S352" s="33">
        <v>2.2999999999999998</v>
      </c>
      <c r="T352" s="33">
        <v>8</v>
      </c>
      <c r="U352" s="33">
        <v>8</v>
      </c>
      <c r="V352" s="70">
        <v>8</v>
      </c>
      <c r="W352" s="44" t="s">
        <v>856</v>
      </c>
      <c r="X352" s="33" t="s">
        <v>856</v>
      </c>
      <c r="Y352" s="33" t="s">
        <v>856</v>
      </c>
      <c r="Z352" s="70" t="s">
        <v>856</v>
      </c>
      <c r="AA352" s="44">
        <v>22</v>
      </c>
      <c r="AB352" s="33">
        <v>16.7</v>
      </c>
      <c r="AC352" s="33">
        <v>16.25</v>
      </c>
      <c r="AD352" s="70">
        <v>17.600000000000001</v>
      </c>
      <c r="AE352" s="33">
        <f t="shared" si="16"/>
        <v>2.7640046296296301</v>
      </c>
      <c r="AF352" s="37" t="s">
        <v>1004</v>
      </c>
      <c r="AG352" s="18" t="s">
        <v>1001</v>
      </c>
      <c r="AH352" s="37" t="s">
        <v>576</v>
      </c>
      <c r="AI352" s="37" t="s">
        <v>577</v>
      </c>
      <c r="AJ352" s="18" t="s">
        <v>1002</v>
      </c>
      <c r="AN352" s="37" t="s">
        <v>1148</v>
      </c>
      <c r="AO352" s="12"/>
      <c r="AP352" s="18" t="s">
        <v>490</v>
      </c>
    </row>
    <row r="353" spans="1:42" s="18" customFormat="1" x14ac:dyDescent="0.2">
      <c r="A353" s="18" t="s">
        <v>886</v>
      </c>
      <c r="B353" s="33" t="s">
        <v>384</v>
      </c>
      <c r="C353" s="19" t="s">
        <v>222</v>
      </c>
      <c r="D353" s="19" t="s">
        <v>906</v>
      </c>
      <c r="E353" s="19" t="s">
        <v>222</v>
      </c>
      <c r="F353" s="19"/>
      <c r="G353" s="28" t="s">
        <v>207</v>
      </c>
      <c r="H353" s="28"/>
      <c r="I353" s="28"/>
      <c r="J353" s="28" t="s">
        <v>261</v>
      </c>
      <c r="K353" s="36" t="s">
        <v>975</v>
      </c>
      <c r="L353" s="5">
        <v>34.99</v>
      </c>
      <c r="M353" s="35">
        <v>1</v>
      </c>
      <c r="N353" s="35">
        <v>8</v>
      </c>
      <c r="O353" s="345"/>
      <c r="P353" s="35"/>
      <c r="Q353" s="35"/>
      <c r="R353" s="187"/>
      <c r="S353" s="33">
        <v>2.2999999999999998</v>
      </c>
      <c r="T353" s="33">
        <v>8</v>
      </c>
      <c r="U353" s="33">
        <v>8</v>
      </c>
      <c r="V353" s="70">
        <v>8</v>
      </c>
      <c r="W353" s="44" t="s">
        <v>856</v>
      </c>
      <c r="X353" s="33" t="s">
        <v>856</v>
      </c>
      <c r="Y353" s="33" t="s">
        <v>856</v>
      </c>
      <c r="Z353" s="70" t="s">
        <v>856</v>
      </c>
      <c r="AA353" s="44">
        <v>22</v>
      </c>
      <c r="AB353" s="33">
        <v>16.7</v>
      </c>
      <c r="AC353" s="33">
        <v>16.25</v>
      </c>
      <c r="AD353" s="70">
        <v>17.600000000000001</v>
      </c>
      <c r="AE353" s="33">
        <f t="shared" si="16"/>
        <v>2.7640046296296301</v>
      </c>
      <c r="AF353" s="37" t="s">
        <v>1004</v>
      </c>
      <c r="AG353" s="18" t="s">
        <v>1001</v>
      </c>
      <c r="AH353" s="37" t="s">
        <v>576</v>
      </c>
      <c r="AI353" s="37" t="s">
        <v>577</v>
      </c>
      <c r="AJ353" s="18" t="s">
        <v>1002</v>
      </c>
      <c r="AN353" s="37" t="s">
        <v>1148</v>
      </c>
      <c r="AO353" s="12"/>
      <c r="AP353" s="18" t="s">
        <v>490</v>
      </c>
    </row>
    <row r="354" spans="1:42" s="18" customFormat="1" x14ac:dyDescent="0.2">
      <c r="A354" s="18" t="s">
        <v>886</v>
      </c>
      <c r="B354" s="33" t="s">
        <v>384</v>
      </c>
      <c r="C354" s="19" t="s">
        <v>667</v>
      </c>
      <c r="D354" s="19" t="s">
        <v>907</v>
      </c>
      <c r="E354" s="19" t="s">
        <v>667</v>
      </c>
      <c r="F354" s="19"/>
      <c r="G354" s="28" t="s">
        <v>742</v>
      </c>
      <c r="H354" s="28"/>
      <c r="I354" s="28"/>
      <c r="J354" s="28" t="s">
        <v>261</v>
      </c>
      <c r="K354" s="36" t="s">
        <v>975</v>
      </c>
      <c r="L354" s="5">
        <v>34.99</v>
      </c>
      <c r="M354" s="35">
        <v>1</v>
      </c>
      <c r="N354" s="35">
        <v>8</v>
      </c>
      <c r="O354" s="345"/>
      <c r="P354" s="35"/>
      <c r="Q354" s="35"/>
      <c r="R354" s="187"/>
      <c r="S354" s="33">
        <v>2.2999999999999998</v>
      </c>
      <c r="T354" s="33">
        <v>8</v>
      </c>
      <c r="U354" s="33">
        <v>8</v>
      </c>
      <c r="V354" s="70">
        <v>8</v>
      </c>
      <c r="W354" s="44" t="s">
        <v>856</v>
      </c>
      <c r="X354" s="33" t="s">
        <v>856</v>
      </c>
      <c r="Y354" s="33" t="s">
        <v>856</v>
      </c>
      <c r="Z354" s="70" t="s">
        <v>856</v>
      </c>
      <c r="AA354" s="44">
        <v>22</v>
      </c>
      <c r="AB354" s="33">
        <v>16.7</v>
      </c>
      <c r="AC354" s="33">
        <v>16.25</v>
      </c>
      <c r="AD354" s="70">
        <v>17.600000000000001</v>
      </c>
      <c r="AE354" s="33">
        <f t="shared" si="16"/>
        <v>2.7640046296296301</v>
      </c>
      <c r="AF354" s="37" t="s">
        <v>1004</v>
      </c>
      <c r="AG354" s="18" t="s">
        <v>1001</v>
      </c>
      <c r="AH354" s="37" t="s">
        <v>576</v>
      </c>
      <c r="AI354" s="37" t="s">
        <v>577</v>
      </c>
      <c r="AJ354" s="18" t="s">
        <v>1002</v>
      </c>
      <c r="AN354" s="37" t="s">
        <v>1148</v>
      </c>
      <c r="AO354" s="12"/>
      <c r="AP354" s="18" t="s">
        <v>490</v>
      </c>
    </row>
    <row r="355" spans="1:42" s="18" customFormat="1" x14ac:dyDescent="0.2">
      <c r="A355" s="18" t="s">
        <v>2727</v>
      </c>
      <c r="B355" s="19" t="s">
        <v>961</v>
      </c>
      <c r="C355" s="19" t="s">
        <v>370</v>
      </c>
      <c r="D355" s="18" t="s">
        <v>1556</v>
      </c>
      <c r="E355" s="19" t="s">
        <v>370</v>
      </c>
      <c r="F355" s="19"/>
      <c r="G355" s="28" t="s">
        <v>962</v>
      </c>
      <c r="H355" s="28"/>
      <c r="I355" s="28"/>
      <c r="J355" s="28" t="s">
        <v>261</v>
      </c>
      <c r="K355" s="36" t="s">
        <v>975</v>
      </c>
      <c r="L355" s="5">
        <v>34.99</v>
      </c>
      <c r="M355" s="35">
        <v>1</v>
      </c>
      <c r="N355" s="35">
        <v>4</v>
      </c>
      <c r="O355" s="345"/>
      <c r="P355" s="35"/>
      <c r="Q355" s="35"/>
      <c r="R355" s="187"/>
      <c r="S355" s="33">
        <v>2.15</v>
      </c>
      <c r="T355" s="33">
        <v>8.5</v>
      </c>
      <c r="U355" s="33">
        <v>8.5</v>
      </c>
      <c r="V355" s="70">
        <v>10</v>
      </c>
      <c r="W355" s="33"/>
      <c r="X355" s="33"/>
      <c r="Y355" s="33"/>
      <c r="Z355" s="70"/>
      <c r="AA355" s="33">
        <v>11.3</v>
      </c>
      <c r="AB355" s="33">
        <v>19</v>
      </c>
      <c r="AC355" s="33">
        <v>19</v>
      </c>
      <c r="AD355" s="70">
        <v>11</v>
      </c>
      <c r="AE355" s="33">
        <f t="shared" si="16"/>
        <v>2.2980324074074074</v>
      </c>
      <c r="AF355" s="37" t="s">
        <v>1004</v>
      </c>
      <c r="AG355" s="18" t="s">
        <v>1001</v>
      </c>
      <c r="AH355" s="37" t="s">
        <v>576</v>
      </c>
      <c r="AI355" s="37" t="s">
        <v>577</v>
      </c>
      <c r="AJ355" s="18" t="s">
        <v>1002</v>
      </c>
      <c r="AL355" s="12"/>
      <c r="AN355" s="37" t="s">
        <v>1146</v>
      </c>
      <c r="AO355" s="18" t="s">
        <v>490</v>
      </c>
    </row>
    <row r="356" spans="1:42" s="18" customFormat="1" x14ac:dyDescent="0.2">
      <c r="A356" s="18" t="s">
        <v>2727</v>
      </c>
      <c r="B356" s="19" t="s">
        <v>961</v>
      </c>
      <c r="C356" s="19" t="s">
        <v>373</v>
      </c>
      <c r="D356" s="18" t="s">
        <v>1556</v>
      </c>
      <c r="E356" s="19" t="s">
        <v>373</v>
      </c>
      <c r="F356" s="19"/>
      <c r="G356" s="28" t="s">
        <v>964</v>
      </c>
      <c r="H356" s="28"/>
      <c r="I356" s="28"/>
      <c r="J356" s="28" t="s">
        <v>261</v>
      </c>
      <c r="K356" s="36" t="s">
        <v>975</v>
      </c>
      <c r="L356" s="5">
        <v>34.99</v>
      </c>
      <c r="M356" s="35">
        <v>1</v>
      </c>
      <c r="N356" s="35">
        <v>4</v>
      </c>
      <c r="O356" s="345"/>
      <c r="P356" s="35"/>
      <c r="Q356" s="35"/>
      <c r="R356" s="187"/>
      <c r="S356" s="33">
        <v>2.15</v>
      </c>
      <c r="T356" s="33">
        <v>8.5</v>
      </c>
      <c r="U356" s="33">
        <v>8.5</v>
      </c>
      <c r="V356" s="70">
        <v>10</v>
      </c>
      <c r="W356" s="33"/>
      <c r="X356" s="33"/>
      <c r="Y356" s="33"/>
      <c r="Z356" s="70"/>
      <c r="AA356" s="33">
        <v>11.3</v>
      </c>
      <c r="AB356" s="33">
        <v>19</v>
      </c>
      <c r="AC356" s="33">
        <v>19</v>
      </c>
      <c r="AD356" s="70">
        <v>11</v>
      </c>
      <c r="AE356" s="33">
        <f t="shared" si="16"/>
        <v>2.2980324074074074</v>
      </c>
      <c r="AF356" s="37" t="s">
        <v>1004</v>
      </c>
      <c r="AG356" s="18" t="s">
        <v>1001</v>
      </c>
      <c r="AH356" s="37" t="s">
        <v>576</v>
      </c>
      <c r="AI356" s="37" t="s">
        <v>577</v>
      </c>
      <c r="AJ356" s="18" t="s">
        <v>1002</v>
      </c>
      <c r="AL356" s="12"/>
      <c r="AN356" s="37" t="s">
        <v>1146</v>
      </c>
      <c r="AO356" s="18" t="s">
        <v>490</v>
      </c>
    </row>
    <row r="357" spans="1:42" s="18" customFormat="1" x14ac:dyDescent="0.2">
      <c r="A357" s="18" t="s">
        <v>2727</v>
      </c>
      <c r="B357" s="19" t="s">
        <v>961</v>
      </c>
      <c r="C357" s="19" t="s">
        <v>960</v>
      </c>
      <c r="D357" s="18" t="s">
        <v>1556</v>
      </c>
      <c r="E357" s="19" t="s">
        <v>960</v>
      </c>
      <c r="F357" s="19"/>
      <c r="G357" s="28" t="s">
        <v>965</v>
      </c>
      <c r="H357" s="28"/>
      <c r="I357" s="28"/>
      <c r="J357" s="28" t="s">
        <v>261</v>
      </c>
      <c r="K357" s="36" t="s">
        <v>975</v>
      </c>
      <c r="L357" s="5">
        <v>34.99</v>
      </c>
      <c r="M357" s="35">
        <v>1</v>
      </c>
      <c r="N357" s="35">
        <v>4</v>
      </c>
      <c r="O357" s="345"/>
      <c r="P357" s="35"/>
      <c r="Q357" s="35"/>
      <c r="R357" s="187"/>
      <c r="S357" s="33">
        <v>2.15</v>
      </c>
      <c r="T357" s="33">
        <v>8.5</v>
      </c>
      <c r="U357" s="33">
        <v>8.5</v>
      </c>
      <c r="V357" s="70">
        <v>10</v>
      </c>
      <c r="W357" s="33"/>
      <c r="X357" s="33"/>
      <c r="Y357" s="33"/>
      <c r="Z357" s="70"/>
      <c r="AA357" s="33">
        <v>11.3</v>
      </c>
      <c r="AB357" s="33">
        <v>19</v>
      </c>
      <c r="AC357" s="33">
        <v>19</v>
      </c>
      <c r="AD357" s="70">
        <v>11</v>
      </c>
      <c r="AE357" s="33">
        <f t="shared" si="16"/>
        <v>2.2980324074074074</v>
      </c>
      <c r="AF357" s="37" t="s">
        <v>1004</v>
      </c>
      <c r="AG357" s="18" t="s">
        <v>1001</v>
      </c>
      <c r="AH357" s="37" t="s">
        <v>576</v>
      </c>
      <c r="AI357" s="37" t="s">
        <v>577</v>
      </c>
      <c r="AJ357" s="18" t="s">
        <v>1002</v>
      </c>
      <c r="AL357" s="12"/>
      <c r="AN357" s="37" t="s">
        <v>1146</v>
      </c>
      <c r="AO357" s="18" t="s">
        <v>490</v>
      </c>
    </row>
    <row r="358" spans="1:42" s="18" customFormat="1" x14ac:dyDescent="0.2">
      <c r="A358" s="18" t="s">
        <v>2727</v>
      </c>
      <c r="B358" s="19" t="s">
        <v>961</v>
      </c>
      <c r="C358" s="19" t="s">
        <v>369</v>
      </c>
      <c r="D358" s="18" t="s">
        <v>1557</v>
      </c>
      <c r="E358" s="19" t="s">
        <v>369</v>
      </c>
      <c r="F358" s="19"/>
      <c r="G358" s="28" t="s">
        <v>966</v>
      </c>
      <c r="H358" s="28"/>
      <c r="I358" s="28"/>
      <c r="J358" s="28" t="s">
        <v>261</v>
      </c>
      <c r="K358" s="36" t="s">
        <v>975</v>
      </c>
      <c r="L358" s="5">
        <v>34.99</v>
      </c>
      <c r="M358" s="35">
        <v>1</v>
      </c>
      <c r="N358" s="35">
        <v>4</v>
      </c>
      <c r="O358" s="345"/>
      <c r="P358" s="35"/>
      <c r="Q358" s="35"/>
      <c r="R358" s="187"/>
      <c r="S358" s="33">
        <v>2.15</v>
      </c>
      <c r="T358" s="33">
        <v>8.5</v>
      </c>
      <c r="U358" s="33">
        <v>8.5</v>
      </c>
      <c r="V358" s="70">
        <v>10</v>
      </c>
      <c r="W358" s="33"/>
      <c r="X358" s="33"/>
      <c r="Y358" s="33"/>
      <c r="Z358" s="70"/>
      <c r="AA358" s="33">
        <v>11.3</v>
      </c>
      <c r="AB358" s="33">
        <v>19</v>
      </c>
      <c r="AC358" s="33">
        <v>19</v>
      </c>
      <c r="AD358" s="70">
        <v>11</v>
      </c>
      <c r="AE358" s="33">
        <f t="shared" si="16"/>
        <v>2.2980324074074074</v>
      </c>
      <c r="AF358" s="37" t="s">
        <v>1004</v>
      </c>
      <c r="AG358" s="18" t="s">
        <v>1001</v>
      </c>
      <c r="AH358" s="37" t="s">
        <v>576</v>
      </c>
      <c r="AI358" s="37" t="s">
        <v>577</v>
      </c>
      <c r="AJ358" s="18" t="s">
        <v>1002</v>
      </c>
      <c r="AL358" s="12"/>
      <c r="AN358" s="37" t="s">
        <v>1146</v>
      </c>
      <c r="AO358" s="18" t="s">
        <v>490</v>
      </c>
    </row>
    <row r="359" spans="1:42" s="18" customFormat="1" ht="12.75" customHeight="1" x14ac:dyDescent="0.2">
      <c r="A359" s="18" t="s">
        <v>2727</v>
      </c>
      <c r="B359" s="19" t="s">
        <v>961</v>
      </c>
      <c r="C359" s="19" t="s">
        <v>371</v>
      </c>
      <c r="D359" s="37" t="s">
        <v>3078</v>
      </c>
      <c r="E359" s="19" t="s">
        <v>218</v>
      </c>
      <c r="F359" s="19" t="s">
        <v>2524</v>
      </c>
      <c r="G359" s="28" t="s">
        <v>963</v>
      </c>
      <c r="H359" s="476" t="s">
        <v>259</v>
      </c>
      <c r="I359" s="476" t="s">
        <v>259</v>
      </c>
      <c r="J359" s="28" t="s">
        <v>568</v>
      </c>
      <c r="K359" s="36" t="s">
        <v>975</v>
      </c>
      <c r="L359" s="5">
        <v>34.99</v>
      </c>
      <c r="M359" s="35">
        <v>1</v>
      </c>
      <c r="N359" s="187">
        <v>4</v>
      </c>
      <c r="O359" s="33">
        <f>30.4/16</f>
        <v>1.9</v>
      </c>
      <c r="P359" s="33">
        <v>6.25</v>
      </c>
      <c r="Q359" s="33">
        <v>6.25</v>
      </c>
      <c r="R359" s="70">
        <v>6.75</v>
      </c>
      <c r="S359" s="33">
        <v>2.15</v>
      </c>
      <c r="T359" s="33">
        <v>8.5</v>
      </c>
      <c r="U359" s="33">
        <v>8.5</v>
      </c>
      <c r="V359" s="70">
        <v>10</v>
      </c>
      <c r="W359" s="44" t="s">
        <v>259</v>
      </c>
      <c r="X359" s="33" t="s">
        <v>259</v>
      </c>
      <c r="Y359" s="33" t="s">
        <v>259</v>
      </c>
      <c r="Z359" s="70" t="s">
        <v>259</v>
      </c>
      <c r="AA359" s="44">
        <v>11.3</v>
      </c>
      <c r="AB359" s="33">
        <v>19</v>
      </c>
      <c r="AC359" s="33">
        <v>19</v>
      </c>
      <c r="AD359" s="70">
        <v>11</v>
      </c>
      <c r="AE359" s="44">
        <f>AB359*AC359*AD359/(12^3)</f>
        <v>2.2980324074074074</v>
      </c>
      <c r="AF359" s="37" t="s">
        <v>3094</v>
      </c>
      <c r="AG359" s="37" t="s">
        <v>3082</v>
      </c>
      <c r="AH359" s="37" t="s">
        <v>3095</v>
      </c>
      <c r="AI359" s="18" t="s">
        <v>1001</v>
      </c>
      <c r="AJ359" s="18" t="s">
        <v>1002</v>
      </c>
      <c r="AK359" s="404" t="s">
        <v>3096</v>
      </c>
      <c r="AN359" s="37" t="s">
        <v>3097</v>
      </c>
      <c r="AO359" s="18" t="s">
        <v>3089</v>
      </c>
    </row>
    <row r="360" spans="1:42" s="18" customFormat="1" x14ac:dyDescent="0.2">
      <c r="A360" s="18" t="s">
        <v>2727</v>
      </c>
      <c r="B360" s="19" t="s">
        <v>1545</v>
      </c>
      <c r="C360" s="19" t="s">
        <v>370</v>
      </c>
      <c r="D360" s="18" t="s">
        <v>1546</v>
      </c>
      <c r="E360" s="19" t="s">
        <v>370</v>
      </c>
      <c r="F360" s="19"/>
      <c r="G360" s="75" t="s">
        <v>1547</v>
      </c>
      <c r="H360" s="75"/>
      <c r="I360" s="75"/>
      <c r="J360" s="28" t="s">
        <v>261</v>
      </c>
      <c r="K360" s="36" t="s">
        <v>975</v>
      </c>
      <c r="L360" s="5">
        <v>34.99</v>
      </c>
      <c r="M360" s="35">
        <v>1</v>
      </c>
      <c r="N360" s="35">
        <v>8</v>
      </c>
      <c r="O360" s="345"/>
      <c r="P360" s="35"/>
      <c r="Q360" s="35"/>
      <c r="R360" s="187"/>
      <c r="S360" s="33">
        <v>2.2999999999999998</v>
      </c>
      <c r="T360" s="33">
        <v>8</v>
      </c>
      <c r="U360" s="33">
        <v>8</v>
      </c>
      <c r="V360" s="70">
        <v>8</v>
      </c>
      <c r="W360" s="33"/>
      <c r="X360" s="33"/>
      <c r="Y360" s="33"/>
      <c r="Z360" s="70"/>
      <c r="AA360" s="33">
        <v>22</v>
      </c>
      <c r="AB360" s="33">
        <v>16.7</v>
      </c>
      <c r="AC360" s="33">
        <v>16.25</v>
      </c>
      <c r="AD360" s="70">
        <v>17.600000000000001</v>
      </c>
      <c r="AE360" s="33">
        <f t="shared" si="16"/>
        <v>2.7640046296296301</v>
      </c>
      <c r="AF360" s="37" t="s">
        <v>1004</v>
      </c>
      <c r="AG360" s="18" t="s">
        <v>1001</v>
      </c>
      <c r="AH360" s="37" t="s">
        <v>576</v>
      </c>
      <c r="AI360" s="37" t="s">
        <v>577</v>
      </c>
      <c r="AJ360" s="18" t="s">
        <v>1002</v>
      </c>
      <c r="AL360" s="12"/>
      <c r="AN360" s="37" t="s">
        <v>1146</v>
      </c>
      <c r="AO360" s="18" t="s">
        <v>490</v>
      </c>
    </row>
    <row r="361" spans="1:42" s="18" customFormat="1" x14ac:dyDescent="0.2">
      <c r="A361" s="18" t="s">
        <v>2727</v>
      </c>
      <c r="B361" s="19" t="s">
        <v>1545</v>
      </c>
      <c r="C361" s="19" t="s">
        <v>371</v>
      </c>
      <c r="D361" s="18" t="s">
        <v>1546</v>
      </c>
      <c r="E361" s="19" t="s">
        <v>371</v>
      </c>
      <c r="F361" s="19"/>
      <c r="G361" s="75" t="s">
        <v>1548</v>
      </c>
      <c r="H361" s="75"/>
      <c r="I361" s="75"/>
      <c r="J361" s="28" t="s">
        <v>261</v>
      </c>
      <c r="K361" s="36" t="s">
        <v>975</v>
      </c>
      <c r="L361" s="5">
        <v>34.99</v>
      </c>
      <c r="M361" s="35">
        <v>1</v>
      </c>
      <c r="N361" s="35">
        <v>8</v>
      </c>
      <c r="O361" s="345"/>
      <c r="P361" s="35"/>
      <c r="Q361" s="35"/>
      <c r="R361" s="187"/>
      <c r="S361" s="33">
        <v>2.2999999999999998</v>
      </c>
      <c r="T361" s="33">
        <v>8</v>
      </c>
      <c r="U361" s="33">
        <v>8</v>
      </c>
      <c r="V361" s="70">
        <v>8</v>
      </c>
      <c r="W361" s="33"/>
      <c r="X361" s="33"/>
      <c r="Y361" s="33"/>
      <c r="Z361" s="70"/>
      <c r="AA361" s="33">
        <v>22</v>
      </c>
      <c r="AB361" s="33">
        <v>16.7</v>
      </c>
      <c r="AC361" s="33">
        <v>16.25</v>
      </c>
      <c r="AD361" s="70">
        <v>17.600000000000001</v>
      </c>
      <c r="AE361" s="33">
        <f t="shared" si="16"/>
        <v>2.7640046296296301</v>
      </c>
      <c r="AF361" s="37" t="s">
        <v>1004</v>
      </c>
      <c r="AG361" s="18" t="s">
        <v>1001</v>
      </c>
      <c r="AH361" s="37" t="s">
        <v>576</v>
      </c>
      <c r="AI361" s="37" t="s">
        <v>577</v>
      </c>
      <c r="AJ361" s="18" t="s">
        <v>1002</v>
      </c>
      <c r="AL361" s="12"/>
      <c r="AN361" s="37" t="s">
        <v>1146</v>
      </c>
      <c r="AO361" s="18" t="s">
        <v>490</v>
      </c>
    </row>
    <row r="362" spans="1:42" s="18" customFormat="1" x14ac:dyDescent="0.2">
      <c r="A362" s="18" t="s">
        <v>886</v>
      </c>
      <c r="B362" s="19" t="s">
        <v>385</v>
      </c>
      <c r="C362" s="33" t="s">
        <v>655</v>
      </c>
      <c r="D362" s="19" t="s">
        <v>891</v>
      </c>
      <c r="E362" s="33" t="s">
        <v>655</v>
      </c>
      <c r="F362" s="33"/>
      <c r="G362" s="28" t="s">
        <v>208</v>
      </c>
      <c r="H362" s="28"/>
      <c r="I362" s="28"/>
      <c r="J362" s="28" t="s">
        <v>261</v>
      </c>
      <c r="K362" s="36" t="s">
        <v>975</v>
      </c>
      <c r="L362" s="5">
        <v>39.950000000000003</v>
      </c>
      <c r="M362" s="35">
        <v>1</v>
      </c>
      <c r="N362" s="35">
        <v>6</v>
      </c>
      <c r="O362" s="345"/>
      <c r="P362" s="35"/>
      <c r="Q362" s="35"/>
      <c r="R362" s="187"/>
      <c r="S362" s="33">
        <v>3.4</v>
      </c>
      <c r="T362" s="33">
        <v>9.25</v>
      </c>
      <c r="U362" s="33">
        <v>8.75</v>
      </c>
      <c r="V362" s="70">
        <v>9.5</v>
      </c>
      <c r="W362" s="44" t="s">
        <v>856</v>
      </c>
      <c r="X362" s="33" t="s">
        <v>856</v>
      </c>
      <c r="Y362" s="33" t="s">
        <v>856</v>
      </c>
      <c r="Z362" s="70" t="s">
        <v>856</v>
      </c>
      <c r="AA362" s="44">
        <v>24</v>
      </c>
      <c r="AB362" s="33">
        <v>24</v>
      </c>
      <c r="AC362" s="33">
        <v>20</v>
      </c>
      <c r="AD362" s="70">
        <v>10</v>
      </c>
      <c r="AE362" s="33">
        <f t="shared" ref="AE362:AE376" si="17">AB362*AC362*AD362/(12^3)</f>
        <v>2.7777777777777777</v>
      </c>
      <c r="AF362" s="19" t="s">
        <v>743</v>
      </c>
      <c r="AG362" s="37" t="s">
        <v>1003</v>
      </c>
      <c r="AH362" s="37" t="s">
        <v>578</v>
      </c>
      <c r="AI362" s="18" t="s">
        <v>1001</v>
      </c>
      <c r="AJ362" s="18" t="s">
        <v>1002</v>
      </c>
      <c r="AN362" s="37" t="s">
        <v>1147</v>
      </c>
      <c r="AP362" s="18" t="s">
        <v>490</v>
      </c>
    </row>
    <row r="363" spans="1:42" s="18" customFormat="1" x14ac:dyDescent="0.2">
      <c r="A363" s="18" t="s">
        <v>886</v>
      </c>
      <c r="B363" s="19" t="s">
        <v>385</v>
      </c>
      <c r="C363" s="33" t="s">
        <v>217</v>
      </c>
      <c r="D363" s="19" t="s">
        <v>892</v>
      </c>
      <c r="E363" s="33" t="s">
        <v>217</v>
      </c>
      <c r="F363" s="33"/>
      <c r="G363" s="28" t="s">
        <v>208</v>
      </c>
      <c r="H363" s="28"/>
      <c r="I363" s="28"/>
      <c r="J363" s="28" t="s">
        <v>261</v>
      </c>
      <c r="K363" s="36" t="s">
        <v>975</v>
      </c>
      <c r="L363" s="5">
        <v>39.950000000000003</v>
      </c>
      <c r="M363" s="35">
        <v>1</v>
      </c>
      <c r="N363" s="35">
        <v>6</v>
      </c>
      <c r="O363" s="345"/>
      <c r="P363" s="35"/>
      <c r="Q363" s="35"/>
      <c r="R363" s="187"/>
      <c r="S363" s="33">
        <v>3.4</v>
      </c>
      <c r="T363" s="33">
        <v>9.25</v>
      </c>
      <c r="U363" s="33">
        <v>8.75</v>
      </c>
      <c r="V363" s="70">
        <v>9.5</v>
      </c>
      <c r="W363" s="44" t="s">
        <v>856</v>
      </c>
      <c r="X363" s="33" t="s">
        <v>856</v>
      </c>
      <c r="Y363" s="33" t="s">
        <v>856</v>
      </c>
      <c r="Z363" s="70" t="s">
        <v>856</v>
      </c>
      <c r="AA363" s="44">
        <v>24</v>
      </c>
      <c r="AB363" s="33">
        <v>24</v>
      </c>
      <c r="AC363" s="33">
        <v>20</v>
      </c>
      <c r="AD363" s="70">
        <v>10</v>
      </c>
      <c r="AE363" s="33">
        <f t="shared" si="17"/>
        <v>2.7777777777777777</v>
      </c>
      <c r="AF363" s="19" t="s">
        <v>743</v>
      </c>
      <c r="AG363" s="37" t="s">
        <v>1003</v>
      </c>
      <c r="AH363" s="37" t="s">
        <v>578</v>
      </c>
      <c r="AI363" s="18" t="s">
        <v>1001</v>
      </c>
      <c r="AJ363" s="18" t="s">
        <v>1002</v>
      </c>
      <c r="AN363" s="37" t="s">
        <v>1147</v>
      </c>
      <c r="AP363" s="18" t="s">
        <v>490</v>
      </c>
    </row>
    <row r="364" spans="1:42" s="18" customFormat="1" x14ac:dyDescent="0.2">
      <c r="A364" s="18" t="s">
        <v>886</v>
      </c>
      <c r="B364" s="19" t="s">
        <v>385</v>
      </c>
      <c r="C364" s="19" t="s">
        <v>218</v>
      </c>
      <c r="D364" s="19" t="s">
        <v>893</v>
      </c>
      <c r="E364" s="19" t="s">
        <v>218</v>
      </c>
      <c r="F364" s="19"/>
      <c r="G364" s="28" t="s">
        <v>210</v>
      </c>
      <c r="H364" s="28"/>
      <c r="I364" s="28"/>
      <c r="J364" s="28" t="s">
        <v>261</v>
      </c>
      <c r="K364" s="36" t="s">
        <v>975</v>
      </c>
      <c r="L364" s="5">
        <v>39.950000000000003</v>
      </c>
      <c r="M364" s="35">
        <v>1</v>
      </c>
      <c r="N364" s="35">
        <v>6</v>
      </c>
      <c r="O364" s="345"/>
      <c r="P364" s="35"/>
      <c r="Q364" s="35"/>
      <c r="R364" s="187"/>
      <c r="S364" s="33">
        <v>3.4</v>
      </c>
      <c r="T364" s="33">
        <v>9.25</v>
      </c>
      <c r="U364" s="33">
        <v>8.75</v>
      </c>
      <c r="V364" s="70">
        <v>9.5</v>
      </c>
      <c r="W364" s="44" t="s">
        <v>856</v>
      </c>
      <c r="X364" s="33" t="s">
        <v>856</v>
      </c>
      <c r="Y364" s="33" t="s">
        <v>856</v>
      </c>
      <c r="Z364" s="70" t="s">
        <v>856</v>
      </c>
      <c r="AA364" s="44">
        <v>24</v>
      </c>
      <c r="AB364" s="33">
        <v>24</v>
      </c>
      <c r="AC364" s="33">
        <v>20</v>
      </c>
      <c r="AD364" s="70">
        <v>10</v>
      </c>
      <c r="AE364" s="33">
        <f t="shared" si="17"/>
        <v>2.7777777777777777</v>
      </c>
      <c r="AF364" s="19" t="s">
        <v>743</v>
      </c>
      <c r="AG364" s="37" t="s">
        <v>1003</v>
      </c>
      <c r="AH364" s="37" t="s">
        <v>578</v>
      </c>
      <c r="AI364" s="18" t="s">
        <v>1001</v>
      </c>
      <c r="AJ364" s="18" t="s">
        <v>1002</v>
      </c>
      <c r="AN364" s="37" t="s">
        <v>1147</v>
      </c>
      <c r="AP364" s="18" t="s">
        <v>490</v>
      </c>
    </row>
    <row r="365" spans="1:42" s="18" customFormat="1" x14ac:dyDescent="0.2">
      <c r="A365" s="18" t="s">
        <v>886</v>
      </c>
      <c r="B365" s="19" t="s">
        <v>385</v>
      </c>
      <c r="C365" s="19" t="s">
        <v>219</v>
      </c>
      <c r="D365" s="19" t="s">
        <v>894</v>
      </c>
      <c r="E365" s="19" t="s">
        <v>219</v>
      </c>
      <c r="F365" s="19"/>
      <c r="G365" s="28" t="s">
        <v>209</v>
      </c>
      <c r="H365" s="28"/>
      <c r="I365" s="28"/>
      <c r="J365" s="28" t="s">
        <v>261</v>
      </c>
      <c r="K365" s="36" t="s">
        <v>975</v>
      </c>
      <c r="L365" s="5">
        <v>39.950000000000003</v>
      </c>
      <c r="M365" s="35">
        <v>1</v>
      </c>
      <c r="N365" s="35">
        <v>6</v>
      </c>
      <c r="O365" s="345"/>
      <c r="P365" s="35"/>
      <c r="Q365" s="35"/>
      <c r="R365" s="187"/>
      <c r="S365" s="33">
        <v>3.4</v>
      </c>
      <c r="T365" s="33">
        <v>9.25</v>
      </c>
      <c r="U365" s="33">
        <v>8.75</v>
      </c>
      <c r="V365" s="70">
        <v>9.5</v>
      </c>
      <c r="W365" s="44" t="s">
        <v>856</v>
      </c>
      <c r="X365" s="33" t="s">
        <v>856</v>
      </c>
      <c r="Y365" s="33" t="s">
        <v>856</v>
      </c>
      <c r="Z365" s="70" t="s">
        <v>856</v>
      </c>
      <c r="AA365" s="44">
        <v>24</v>
      </c>
      <c r="AB365" s="33">
        <v>24</v>
      </c>
      <c r="AC365" s="33">
        <v>20</v>
      </c>
      <c r="AD365" s="70">
        <v>10</v>
      </c>
      <c r="AE365" s="33">
        <f t="shared" si="17"/>
        <v>2.7777777777777777</v>
      </c>
      <c r="AF365" s="19" t="s">
        <v>743</v>
      </c>
      <c r="AG365" s="37" t="s">
        <v>1003</v>
      </c>
      <c r="AH365" s="37" t="s">
        <v>578</v>
      </c>
      <c r="AI365" s="18" t="s">
        <v>1001</v>
      </c>
      <c r="AJ365" s="18" t="s">
        <v>1002</v>
      </c>
      <c r="AN365" s="37" t="s">
        <v>1147</v>
      </c>
      <c r="AP365" s="18" t="s">
        <v>490</v>
      </c>
    </row>
    <row r="366" spans="1:42" s="18" customFormat="1" x14ac:dyDescent="0.2">
      <c r="A366" s="18" t="s">
        <v>886</v>
      </c>
      <c r="B366" s="19" t="s">
        <v>385</v>
      </c>
      <c r="C366" s="19" t="s">
        <v>220</v>
      </c>
      <c r="D366" s="19" t="s">
        <v>895</v>
      </c>
      <c r="E366" s="19" t="s">
        <v>220</v>
      </c>
      <c r="F366" s="19"/>
      <c r="G366" s="28" t="s">
        <v>213</v>
      </c>
      <c r="H366" s="28"/>
      <c r="I366" s="28"/>
      <c r="J366" s="28" t="s">
        <v>261</v>
      </c>
      <c r="K366" s="36" t="s">
        <v>975</v>
      </c>
      <c r="L366" s="5">
        <v>39.950000000000003</v>
      </c>
      <c r="M366" s="35">
        <v>1</v>
      </c>
      <c r="N366" s="35">
        <v>6</v>
      </c>
      <c r="O366" s="345"/>
      <c r="P366" s="35"/>
      <c r="Q366" s="35"/>
      <c r="R366" s="187"/>
      <c r="S366" s="33">
        <v>3.4</v>
      </c>
      <c r="T366" s="33">
        <v>9.25</v>
      </c>
      <c r="U366" s="33">
        <v>8.75</v>
      </c>
      <c r="V366" s="70">
        <v>9.5</v>
      </c>
      <c r="W366" s="44" t="s">
        <v>856</v>
      </c>
      <c r="X366" s="33" t="s">
        <v>856</v>
      </c>
      <c r="Y366" s="33" t="s">
        <v>856</v>
      </c>
      <c r="Z366" s="70" t="s">
        <v>856</v>
      </c>
      <c r="AA366" s="44">
        <v>24</v>
      </c>
      <c r="AB366" s="33">
        <v>24</v>
      </c>
      <c r="AC366" s="33">
        <v>20</v>
      </c>
      <c r="AD366" s="70">
        <v>10</v>
      </c>
      <c r="AE366" s="33">
        <f t="shared" si="17"/>
        <v>2.7777777777777777</v>
      </c>
      <c r="AF366" s="19" t="s">
        <v>743</v>
      </c>
      <c r="AG366" s="37" t="s">
        <v>1003</v>
      </c>
      <c r="AH366" s="37" t="s">
        <v>578</v>
      </c>
      <c r="AI366" s="18" t="s">
        <v>1001</v>
      </c>
      <c r="AJ366" s="18" t="s">
        <v>1002</v>
      </c>
      <c r="AN366" s="37" t="s">
        <v>1147</v>
      </c>
      <c r="AP366" s="18" t="s">
        <v>490</v>
      </c>
    </row>
    <row r="367" spans="1:42" s="18" customFormat="1" x14ac:dyDescent="0.2">
      <c r="A367" s="18" t="s">
        <v>886</v>
      </c>
      <c r="B367" s="19" t="s">
        <v>385</v>
      </c>
      <c r="C367" s="19" t="s">
        <v>221</v>
      </c>
      <c r="D367" s="19" t="s">
        <v>896</v>
      </c>
      <c r="E367" s="19" t="s">
        <v>221</v>
      </c>
      <c r="F367" s="19"/>
      <c r="G367" s="28" t="s">
        <v>214</v>
      </c>
      <c r="H367" s="28"/>
      <c r="I367" s="28"/>
      <c r="J367" s="28" t="s">
        <v>261</v>
      </c>
      <c r="K367" s="36" t="s">
        <v>975</v>
      </c>
      <c r="L367" s="5">
        <v>39.950000000000003</v>
      </c>
      <c r="M367" s="35">
        <v>1</v>
      </c>
      <c r="N367" s="35">
        <v>6</v>
      </c>
      <c r="O367" s="345"/>
      <c r="P367" s="35"/>
      <c r="Q367" s="35"/>
      <c r="R367" s="187"/>
      <c r="S367" s="33">
        <v>3.4</v>
      </c>
      <c r="T367" s="33">
        <v>9.25</v>
      </c>
      <c r="U367" s="33">
        <v>8.75</v>
      </c>
      <c r="V367" s="70">
        <v>9.5</v>
      </c>
      <c r="W367" s="44" t="s">
        <v>856</v>
      </c>
      <c r="X367" s="33" t="s">
        <v>856</v>
      </c>
      <c r="Y367" s="33" t="s">
        <v>856</v>
      </c>
      <c r="Z367" s="70" t="s">
        <v>856</v>
      </c>
      <c r="AA367" s="44">
        <v>24</v>
      </c>
      <c r="AB367" s="33">
        <v>24</v>
      </c>
      <c r="AC367" s="33">
        <v>20</v>
      </c>
      <c r="AD367" s="70">
        <v>10</v>
      </c>
      <c r="AE367" s="33">
        <f t="shared" si="17"/>
        <v>2.7777777777777777</v>
      </c>
      <c r="AF367" s="19" t="s">
        <v>743</v>
      </c>
      <c r="AG367" s="37" t="s">
        <v>1003</v>
      </c>
      <c r="AH367" s="37" t="s">
        <v>578</v>
      </c>
      <c r="AI367" s="18" t="s">
        <v>1001</v>
      </c>
      <c r="AJ367" s="18" t="s">
        <v>1002</v>
      </c>
      <c r="AN367" s="37" t="s">
        <v>1147</v>
      </c>
      <c r="AP367" s="18" t="s">
        <v>490</v>
      </c>
    </row>
    <row r="368" spans="1:42" s="18" customFormat="1" x14ac:dyDescent="0.2">
      <c r="A368" s="18" t="s">
        <v>886</v>
      </c>
      <c r="B368" s="19" t="s">
        <v>385</v>
      </c>
      <c r="C368" s="19" t="s">
        <v>222</v>
      </c>
      <c r="D368" s="19" t="s">
        <v>897</v>
      </c>
      <c r="E368" s="19" t="s">
        <v>222</v>
      </c>
      <c r="F368" s="19"/>
      <c r="G368" s="28" t="s">
        <v>212</v>
      </c>
      <c r="H368" s="28"/>
      <c r="I368" s="28"/>
      <c r="J368" s="28" t="s">
        <v>261</v>
      </c>
      <c r="K368" s="36" t="s">
        <v>975</v>
      </c>
      <c r="L368" s="5">
        <v>39.950000000000003</v>
      </c>
      <c r="M368" s="35">
        <v>1</v>
      </c>
      <c r="N368" s="35">
        <v>6</v>
      </c>
      <c r="O368" s="345"/>
      <c r="P368" s="35"/>
      <c r="Q368" s="35"/>
      <c r="R368" s="187"/>
      <c r="S368" s="33">
        <v>3.4</v>
      </c>
      <c r="T368" s="33">
        <v>9.25</v>
      </c>
      <c r="U368" s="33">
        <v>8.75</v>
      </c>
      <c r="V368" s="70">
        <v>9.5</v>
      </c>
      <c r="W368" s="44" t="s">
        <v>856</v>
      </c>
      <c r="X368" s="33" t="s">
        <v>856</v>
      </c>
      <c r="Y368" s="33" t="s">
        <v>856</v>
      </c>
      <c r="Z368" s="70" t="s">
        <v>856</v>
      </c>
      <c r="AA368" s="44">
        <v>24</v>
      </c>
      <c r="AB368" s="33">
        <v>24</v>
      </c>
      <c r="AC368" s="33">
        <v>20</v>
      </c>
      <c r="AD368" s="70">
        <v>10</v>
      </c>
      <c r="AE368" s="33">
        <f t="shared" si="17"/>
        <v>2.7777777777777777</v>
      </c>
      <c r="AF368" s="19" t="s">
        <v>743</v>
      </c>
      <c r="AG368" s="37" t="s">
        <v>1003</v>
      </c>
      <c r="AH368" s="37" t="s">
        <v>578</v>
      </c>
      <c r="AI368" s="18" t="s">
        <v>1001</v>
      </c>
      <c r="AJ368" s="18" t="s">
        <v>1002</v>
      </c>
      <c r="AN368" s="37" t="s">
        <v>1147</v>
      </c>
      <c r="AP368" s="18" t="s">
        <v>490</v>
      </c>
    </row>
    <row r="369" spans="1:42" s="18" customFormat="1" x14ac:dyDescent="0.2">
      <c r="A369" s="18" t="s">
        <v>886</v>
      </c>
      <c r="B369" s="19" t="s">
        <v>385</v>
      </c>
      <c r="C369" s="19" t="s">
        <v>243</v>
      </c>
      <c r="D369" s="19" t="s">
        <v>898</v>
      </c>
      <c r="E369" s="19" t="s">
        <v>243</v>
      </c>
      <c r="F369" s="19"/>
      <c r="G369" s="28" t="s">
        <v>211</v>
      </c>
      <c r="H369" s="28"/>
      <c r="I369" s="28"/>
      <c r="J369" s="28" t="s">
        <v>261</v>
      </c>
      <c r="K369" s="36" t="s">
        <v>975</v>
      </c>
      <c r="L369" s="5">
        <v>39.950000000000003</v>
      </c>
      <c r="M369" s="35">
        <v>1</v>
      </c>
      <c r="N369" s="35">
        <v>6</v>
      </c>
      <c r="O369" s="345"/>
      <c r="P369" s="35"/>
      <c r="Q369" s="35"/>
      <c r="R369" s="187"/>
      <c r="S369" s="33">
        <v>3.4</v>
      </c>
      <c r="T369" s="33">
        <v>9.25</v>
      </c>
      <c r="U369" s="33">
        <v>8.75</v>
      </c>
      <c r="V369" s="70">
        <v>9.5</v>
      </c>
      <c r="W369" s="44" t="s">
        <v>856</v>
      </c>
      <c r="X369" s="33" t="s">
        <v>856</v>
      </c>
      <c r="Y369" s="33" t="s">
        <v>856</v>
      </c>
      <c r="Z369" s="70" t="s">
        <v>856</v>
      </c>
      <c r="AA369" s="44">
        <v>24</v>
      </c>
      <c r="AB369" s="33">
        <v>24</v>
      </c>
      <c r="AC369" s="33">
        <v>20</v>
      </c>
      <c r="AD369" s="70">
        <v>10</v>
      </c>
      <c r="AE369" s="33">
        <f t="shared" si="17"/>
        <v>2.7777777777777777</v>
      </c>
      <c r="AF369" s="19" t="s">
        <v>743</v>
      </c>
      <c r="AG369" s="37" t="s">
        <v>1003</v>
      </c>
      <c r="AH369" s="37" t="s">
        <v>578</v>
      </c>
      <c r="AI369" s="18" t="s">
        <v>1001</v>
      </c>
      <c r="AJ369" s="18" t="s">
        <v>1002</v>
      </c>
      <c r="AN369" s="37" t="s">
        <v>1147</v>
      </c>
      <c r="AP369" s="18" t="s">
        <v>490</v>
      </c>
    </row>
    <row r="370" spans="1:42" s="18" customFormat="1" x14ac:dyDescent="0.2">
      <c r="A370" s="18" t="s">
        <v>2727</v>
      </c>
      <c r="B370" s="19" t="s">
        <v>1008</v>
      </c>
      <c r="C370" s="19" t="s">
        <v>370</v>
      </c>
      <c r="D370" s="19" t="s">
        <v>1555</v>
      </c>
      <c r="E370" s="19" t="s">
        <v>370</v>
      </c>
      <c r="F370" s="19"/>
      <c r="G370" s="75" t="s">
        <v>967</v>
      </c>
      <c r="H370" s="75"/>
      <c r="I370" s="75"/>
      <c r="J370" s="28" t="s">
        <v>261</v>
      </c>
      <c r="K370" s="36" t="s">
        <v>975</v>
      </c>
      <c r="L370" s="5">
        <v>44.99</v>
      </c>
      <c r="M370" s="35">
        <v>1</v>
      </c>
      <c r="N370" s="35">
        <v>4</v>
      </c>
      <c r="O370" s="345"/>
      <c r="P370" s="35"/>
      <c r="Q370" s="35"/>
      <c r="R370" s="187"/>
      <c r="S370" s="33">
        <v>3.2</v>
      </c>
      <c r="T370" s="33">
        <v>9</v>
      </c>
      <c r="U370" s="33">
        <v>9</v>
      </c>
      <c r="V370" s="70">
        <v>10.5</v>
      </c>
      <c r="W370" s="33"/>
      <c r="X370" s="33"/>
      <c r="Y370" s="33"/>
      <c r="Z370" s="70"/>
      <c r="AA370" s="33">
        <v>16.2</v>
      </c>
      <c r="AB370" s="33">
        <v>21</v>
      </c>
      <c r="AC370" s="33">
        <v>21</v>
      </c>
      <c r="AD370" s="70">
        <v>12</v>
      </c>
      <c r="AE370" s="33">
        <f t="shared" si="17"/>
        <v>3.0625</v>
      </c>
      <c r="AF370" s="19" t="s">
        <v>1038</v>
      </c>
      <c r="AG370" s="18" t="s">
        <v>1001</v>
      </c>
      <c r="AH370" s="37" t="s">
        <v>578</v>
      </c>
      <c r="AI370" s="37" t="s">
        <v>1574</v>
      </c>
      <c r="AJ370" s="18" t="s">
        <v>1002</v>
      </c>
      <c r="AM370" s="13"/>
      <c r="AN370" s="37" t="s">
        <v>1150</v>
      </c>
      <c r="AO370" s="18" t="s">
        <v>490</v>
      </c>
    </row>
    <row r="371" spans="1:42" s="18" customFormat="1" x14ac:dyDescent="0.2">
      <c r="A371" s="18" t="s">
        <v>2727</v>
      </c>
      <c r="B371" s="19" t="s">
        <v>1008</v>
      </c>
      <c r="C371" s="19" t="s">
        <v>371</v>
      </c>
      <c r="D371" s="19" t="s">
        <v>1555</v>
      </c>
      <c r="E371" s="19" t="s">
        <v>371</v>
      </c>
      <c r="F371" s="19"/>
      <c r="G371" s="75" t="s">
        <v>968</v>
      </c>
      <c r="H371" s="75"/>
      <c r="I371" s="75"/>
      <c r="J371" s="28" t="s">
        <v>261</v>
      </c>
      <c r="K371" s="36" t="s">
        <v>975</v>
      </c>
      <c r="L371" s="5">
        <v>44.99</v>
      </c>
      <c r="M371" s="35">
        <v>1</v>
      </c>
      <c r="N371" s="35">
        <v>4</v>
      </c>
      <c r="O371" s="345"/>
      <c r="P371" s="35"/>
      <c r="Q371" s="35"/>
      <c r="R371" s="187"/>
      <c r="S371" s="33">
        <v>3.2</v>
      </c>
      <c r="T371" s="33">
        <v>9</v>
      </c>
      <c r="U371" s="33">
        <v>9</v>
      </c>
      <c r="V371" s="70">
        <v>10.5</v>
      </c>
      <c r="W371" s="33"/>
      <c r="X371" s="33"/>
      <c r="Y371" s="33"/>
      <c r="Z371" s="70"/>
      <c r="AA371" s="33">
        <v>16.2</v>
      </c>
      <c r="AB371" s="33">
        <v>21</v>
      </c>
      <c r="AC371" s="33">
        <v>21</v>
      </c>
      <c r="AD371" s="70">
        <v>12</v>
      </c>
      <c r="AE371" s="33">
        <f t="shared" si="17"/>
        <v>3.0625</v>
      </c>
      <c r="AF371" s="19" t="s">
        <v>1038</v>
      </c>
      <c r="AG371" s="18" t="s">
        <v>1001</v>
      </c>
      <c r="AH371" s="37" t="s">
        <v>578</v>
      </c>
      <c r="AI371" s="37" t="s">
        <v>1574</v>
      </c>
      <c r="AJ371" s="18" t="s">
        <v>1002</v>
      </c>
      <c r="AM371" s="13"/>
      <c r="AN371" s="37" t="s">
        <v>1150</v>
      </c>
      <c r="AO371" s="18" t="s">
        <v>490</v>
      </c>
    </row>
    <row r="372" spans="1:42" s="18" customFormat="1" x14ac:dyDescent="0.2">
      <c r="A372" s="18" t="s">
        <v>2727</v>
      </c>
      <c r="B372" s="19" t="s">
        <v>1008</v>
      </c>
      <c r="C372" s="19" t="s">
        <v>373</v>
      </c>
      <c r="D372" s="19" t="s">
        <v>1555</v>
      </c>
      <c r="E372" s="19" t="s">
        <v>373</v>
      </c>
      <c r="F372" s="19"/>
      <c r="G372" s="75" t="s">
        <v>969</v>
      </c>
      <c r="H372" s="75"/>
      <c r="I372" s="75"/>
      <c r="J372" s="28" t="s">
        <v>261</v>
      </c>
      <c r="K372" s="36" t="s">
        <v>975</v>
      </c>
      <c r="L372" s="5">
        <v>44.99</v>
      </c>
      <c r="M372" s="35">
        <v>1</v>
      </c>
      <c r="N372" s="35">
        <v>4</v>
      </c>
      <c r="O372" s="345"/>
      <c r="P372" s="35"/>
      <c r="Q372" s="35"/>
      <c r="R372" s="187"/>
      <c r="S372" s="33">
        <v>3.2</v>
      </c>
      <c r="T372" s="33">
        <v>9</v>
      </c>
      <c r="U372" s="33">
        <v>9</v>
      </c>
      <c r="V372" s="70">
        <v>10.5</v>
      </c>
      <c r="W372" s="33"/>
      <c r="X372" s="33"/>
      <c r="Y372" s="33"/>
      <c r="Z372" s="70"/>
      <c r="AA372" s="33">
        <v>16.2</v>
      </c>
      <c r="AB372" s="33">
        <v>21</v>
      </c>
      <c r="AC372" s="33">
        <v>21</v>
      </c>
      <c r="AD372" s="70">
        <v>12</v>
      </c>
      <c r="AE372" s="33">
        <f t="shared" si="17"/>
        <v>3.0625</v>
      </c>
      <c r="AF372" s="19" t="s">
        <v>1038</v>
      </c>
      <c r="AG372" s="18" t="s">
        <v>1001</v>
      </c>
      <c r="AH372" s="37" t="s">
        <v>578</v>
      </c>
      <c r="AI372" s="37" t="s">
        <v>1574</v>
      </c>
      <c r="AJ372" s="18" t="s">
        <v>1002</v>
      </c>
      <c r="AM372" s="13"/>
      <c r="AN372" s="37" t="s">
        <v>1150</v>
      </c>
      <c r="AO372" s="18" t="s">
        <v>490</v>
      </c>
    </row>
    <row r="373" spans="1:42" s="18" customFormat="1" x14ac:dyDescent="0.2">
      <c r="A373" s="18" t="s">
        <v>2727</v>
      </c>
      <c r="B373" s="19" t="s">
        <v>1008</v>
      </c>
      <c r="C373" s="19" t="s">
        <v>960</v>
      </c>
      <c r="D373" s="19" t="s">
        <v>1555</v>
      </c>
      <c r="E373" s="19" t="s">
        <v>960</v>
      </c>
      <c r="F373" s="19"/>
      <c r="G373" s="75" t="s">
        <v>970</v>
      </c>
      <c r="H373" s="75"/>
      <c r="I373" s="75"/>
      <c r="J373" s="28" t="s">
        <v>261</v>
      </c>
      <c r="K373" s="36" t="s">
        <v>975</v>
      </c>
      <c r="L373" s="5">
        <v>44.99</v>
      </c>
      <c r="M373" s="35">
        <v>1</v>
      </c>
      <c r="N373" s="35">
        <v>4</v>
      </c>
      <c r="O373" s="345"/>
      <c r="P373" s="35"/>
      <c r="Q373" s="35"/>
      <c r="R373" s="187"/>
      <c r="S373" s="33">
        <v>3.2</v>
      </c>
      <c r="T373" s="33">
        <v>9</v>
      </c>
      <c r="U373" s="33">
        <v>9</v>
      </c>
      <c r="V373" s="70">
        <v>10.5</v>
      </c>
      <c r="W373" s="33"/>
      <c r="X373" s="33"/>
      <c r="Y373" s="33"/>
      <c r="Z373" s="70"/>
      <c r="AA373" s="33">
        <v>16.2</v>
      </c>
      <c r="AB373" s="33">
        <v>21</v>
      </c>
      <c r="AC373" s="33">
        <v>21</v>
      </c>
      <c r="AD373" s="70">
        <v>12</v>
      </c>
      <c r="AE373" s="33">
        <f t="shared" si="17"/>
        <v>3.0625</v>
      </c>
      <c r="AF373" s="19" t="s">
        <v>1038</v>
      </c>
      <c r="AG373" s="18" t="s">
        <v>1001</v>
      </c>
      <c r="AH373" s="37" t="s">
        <v>578</v>
      </c>
      <c r="AI373" s="37" t="s">
        <v>1574</v>
      </c>
      <c r="AJ373" s="18" t="s">
        <v>1002</v>
      </c>
      <c r="AM373" s="13"/>
      <c r="AN373" s="37" t="s">
        <v>1150</v>
      </c>
      <c r="AO373" s="18" t="s">
        <v>490</v>
      </c>
    </row>
    <row r="374" spans="1:42" s="18" customFormat="1" x14ac:dyDescent="0.2">
      <c r="A374" s="18" t="s">
        <v>2727</v>
      </c>
      <c r="B374" s="19" t="s">
        <v>1008</v>
      </c>
      <c r="C374" s="19" t="s">
        <v>369</v>
      </c>
      <c r="D374" s="19" t="s">
        <v>1555</v>
      </c>
      <c r="E374" s="19" t="s">
        <v>369</v>
      </c>
      <c r="F374" s="19"/>
      <c r="G374" s="28" t="s">
        <v>971</v>
      </c>
      <c r="H374" s="28"/>
      <c r="I374" s="28"/>
      <c r="J374" s="28" t="s">
        <v>261</v>
      </c>
      <c r="K374" s="36" t="s">
        <v>975</v>
      </c>
      <c r="L374" s="5">
        <v>44.99</v>
      </c>
      <c r="M374" s="35">
        <v>1</v>
      </c>
      <c r="N374" s="35">
        <v>4</v>
      </c>
      <c r="O374" s="345"/>
      <c r="P374" s="35"/>
      <c r="Q374" s="35"/>
      <c r="R374" s="187"/>
      <c r="S374" s="33">
        <v>3.2</v>
      </c>
      <c r="T374" s="33">
        <v>9</v>
      </c>
      <c r="U374" s="33">
        <v>9</v>
      </c>
      <c r="V374" s="70">
        <v>10.5</v>
      </c>
      <c r="W374" s="33"/>
      <c r="X374" s="33"/>
      <c r="Y374" s="33"/>
      <c r="Z374" s="70"/>
      <c r="AA374" s="33">
        <v>16.2</v>
      </c>
      <c r="AB374" s="33">
        <v>21</v>
      </c>
      <c r="AC374" s="33">
        <v>21</v>
      </c>
      <c r="AD374" s="70">
        <v>12</v>
      </c>
      <c r="AE374" s="33">
        <f t="shared" si="17"/>
        <v>3.0625</v>
      </c>
      <c r="AF374" s="19" t="s">
        <v>1038</v>
      </c>
      <c r="AG374" s="18" t="s">
        <v>1001</v>
      </c>
      <c r="AH374" s="37" t="s">
        <v>578</v>
      </c>
      <c r="AI374" s="37" t="s">
        <v>1574</v>
      </c>
      <c r="AJ374" s="18" t="s">
        <v>1002</v>
      </c>
      <c r="AM374" s="13"/>
      <c r="AN374" s="37" t="s">
        <v>1150</v>
      </c>
      <c r="AO374" s="18" t="s">
        <v>490</v>
      </c>
    </row>
    <row r="375" spans="1:42" s="18" customFormat="1" x14ac:dyDescent="0.2">
      <c r="A375" s="18" t="s">
        <v>2727</v>
      </c>
      <c r="B375" s="18" t="s">
        <v>1551</v>
      </c>
      <c r="C375" s="19" t="s">
        <v>370</v>
      </c>
      <c r="D375" s="19" t="s">
        <v>1554</v>
      </c>
      <c r="E375" s="19" t="s">
        <v>370</v>
      </c>
      <c r="F375" s="19"/>
      <c r="G375" s="28" t="s">
        <v>1552</v>
      </c>
      <c r="H375" s="28"/>
      <c r="I375" s="28"/>
      <c r="J375" s="28" t="s">
        <v>261</v>
      </c>
      <c r="K375" s="36" t="s">
        <v>975</v>
      </c>
      <c r="L375" s="5">
        <v>44.99</v>
      </c>
      <c r="M375" s="35">
        <v>1</v>
      </c>
      <c r="N375" s="35">
        <v>6</v>
      </c>
      <c r="O375" s="345"/>
      <c r="P375" s="35"/>
      <c r="Q375" s="35"/>
      <c r="R375" s="187"/>
      <c r="S375" s="33">
        <v>3.4</v>
      </c>
      <c r="T375" s="33">
        <v>9.25</v>
      </c>
      <c r="U375" s="33">
        <v>8.75</v>
      </c>
      <c r="V375" s="70">
        <v>9.5</v>
      </c>
      <c r="W375" s="33"/>
      <c r="X375" s="33"/>
      <c r="Y375" s="33"/>
      <c r="Z375" s="70"/>
      <c r="AA375" s="33">
        <v>24</v>
      </c>
      <c r="AB375" s="33">
        <v>24</v>
      </c>
      <c r="AC375" s="33">
        <v>20</v>
      </c>
      <c r="AD375" s="70">
        <v>10</v>
      </c>
      <c r="AE375" s="33">
        <f t="shared" si="17"/>
        <v>2.7777777777777777</v>
      </c>
      <c r="AF375" s="37" t="s">
        <v>1009</v>
      </c>
      <c r="AG375" s="18" t="s">
        <v>1001</v>
      </c>
      <c r="AH375" s="37" t="s">
        <v>578</v>
      </c>
      <c r="AI375" s="37" t="s">
        <v>1010</v>
      </c>
      <c r="AJ375" s="18" t="s">
        <v>1014</v>
      </c>
      <c r="AM375" s="13"/>
      <c r="AN375" s="37" t="s">
        <v>1149</v>
      </c>
      <c r="AO375" s="18" t="s">
        <v>490</v>
      </c>
    </row>
    <row r="376" spans="1:42" s="18" customFormat="1" x14ac:dyDescent="0.2">
      <c r="A376" s="18" t="s">
        <v>2727</v>
      </c>
      <c r="B376" s="18" t="s">
        <v>1551</v>
      </c>
      <c r="C376" s="19" t="s">
        <v>371</v>
      </c>
      <c r="D376" s="19" t="s">
        <v>1554</v>
      </c>
      <c r="E376" s="19" t="s">
        <v>371</v>
      </c>
      <c r="F376" s="19"/>
      <c r="G376" s="28" t="s">
        <v>1553</v>
      </c>
      <c r="H376" s="28"/>
      <c r="I376" s="28"/>
      <c r="J376" s="28" t="s">
        <v>261</v>
      </c>
      <c r="K376" s="36" t="s">
        <v>975</v>
      </c>
      <c r="L376" s="5">
        <v>44.99</v>
      </c>
      <c r="M376" s="35">
        <v>1</v>
      </c>
      <c r="N376" s="35">
        <v>6</v>
      </c>
      <c r="O376" s="345"/>
      <c r="P376" s="35"/>
      <c r="Q376" s="35"/>
      <c r="R376" s="187"/>
      <c r="S376" s="33">
        <v>3.4</v>
      </c>
      <c r="T376" s="33">
        <v>9.25</v>
      </c>
      <c r="U376" s="33">
        <v>8.75</v>
      </c>
      <c r="V376" s="70">
        <v>9.5</v>
      </c>
      <c r="W376" s="33"/>
      <c r="X376" s="33"/>
      <c r="Y376" s="33"/>
      <c r="Z376" s="70"/>
      <c r="AA376" s="33">
        <v>24</v>
      </c>
      <c r="AB376" s="33">
        <v>24</v>
      </c>
      <c r="AC376" s="33">
        <v>20</v>
      </c>
      <c r="AD376" s="70">
        <v>10</v>
      </c>
      <c r="AE376" s="33">
        <f t="shared" si="17"/>
        <v>2.7777777777777777</v>
      </c>
      <c r="AF376" s="37" t="s">
        <v>1009</v>
      </c>
      <c r="AG376" s="18" t="s">
        <v>1001</v>
      </c>
      <c r="AH376" s="37" t="s">
        <v>578</v>
      </c>
      <c r="AI376" s="37" t="s">
        <v>1010</v>
      </c>
      <c r="AJ376" s="18" t="s">
        <v>1014</v>
      </c>
      <c r="AM376" s="13"/>
      <c r="AN376" s="37" t="s">
        <v>1149</v>
      </c>
      <c r="AO376" s="18" t="s">
        <v>490</v>
      </c>
    </row>
    <row r="377" spans="1:42" s="18" customFormat="1" x14ac:dyDescent="0.2">
      <c r="A377" s="18" t="s">
        <v>886</v>
      </c>
      <c r="B377" s="19" t="s">
        <v>889</v>
      </c>
      <c r="C377" s="19" t="s">
        <v>370</v>
      </c>
      <c r="D377" s="18" t="s">
        <v>908</v>
      </c>
      <c r="E377" s="19" t="s">
        <v>370</v>
      </c>
      <c r="F377" s="19"/>
      <c r="G377" s="75" t="s">
        <v>918</v>
      </c>
      <c r="H377" s="75"/>
      <c r="I377" s="75"/>
      <c r="J377" s="28" t="s">
        <v>261</v>
      </c>
      <c r="K377" s="36" t="s">
        <v>975</v>
      </c>
      <c r="L377" s="5">
        <v>39.99</v>
      </c>
      <c r="M377" s="35">
        <v>1</v>
      </c>
      <c r="N377" s="35">
        <v>4</v>
      </c>
      <c r="O377" s="345"/>
      <c r="P377" s="35"/>
      <c r="Q377" s="35"/>
      <c r="R377" s="187"/>
      <c r="S377" s="33">
        <v>2.7</v>
      </c>
      <c r="T377" s="33">
        <v>8.5</v>
      </c>
      <c r="U377" s="33">
        <v>8.5</v>
      </c>
      <c r="V377" s="70">
        <v>10</v>
      </c>
      <c r="W377" s="44" t="s">
        <v>856</v>
      </c>
      <c r="X377" s="33" t="s">
        <v>856</v>
      </c>
      <c r="Y377" s="33" t="s">
        <v>856</v>
      </c>
      <c r="Z377" s="70" t="s">
        <v>856</v>
      </c>
      <c r="AA377" s="44">
        <v>13.6</v>
      </c>
      <c r="AB377" s="33">
        <v>19</v>
      </c>
      <c r="AC377" s="33">
        <v>19</v>
      </c>
      <c r="AD377" s="70">
        <v>11</v>
      </c>
      <c r="AE377" s="33">
        <f t="shared" ref="AE377:AE382" si="18">AB377*AC377*AD377/(12^3)</f>
        <v>2.2980324074074074</v>
      </c>
      <c r="AF377" s="37" t="s">
        <v>1009</v>
      </c>
      <c r="AG377" s="18" t="s">
        <v>1001</v>
      </c>
      <c r="AH377" s="37" t="s">
        <v>576</v>
      </c>
      <c r="AI377" s="37" t="s">
        <v>1010</v>
      </c>
      <c r="AJ377" s="18" t="s">
        <v>1014</v>
      </c>
      <c r="AN377" s="37" t="s">
        <v>1011</v>
      </c>
      <c r="AO377" s="12" t="s">
        <v>1012</v>
      </c>
      <c r="AP377" s="18" t="s">
        <v>1013</v>
      </c>
    </row>
    <row r="378" spans="1:42" s="18" customFormat="1" x14ac:dyDescent="0.2">
      <c r="A378" s="18" t="s">
        <v>886</v>
      </c>
      <c r="B378" s="19" t="s">
        <v>889</v>
      </c>
      <c r="C378" s="19" t="s">
        <v>371</v>
      </c>
      <c r="D378" s="19" t="s">
        <v>908</v>
      </c>
      <c r="E378" s="19" t="s">
        <v>371</v>
      </c>
      <c r="F378" s="19"/>
      <c r="G378" s="75" t="s">
        <v>919</v>
      </c>
      <c r="H378" s="75"/>
      <c r="I378" s="75"/>
      <c r="J378" s="28" t="s">
        <v>261</v>
      </c>
      <c r="K378" s="36" t="s">
        <v>975</v>
      </c>
      <c r="L378" s="5">
        <v>39.99</v>
      </c>
      <c r="M378" s="35">
        <v>1</v>
      </c>
      <c r="N378" s="35">
        <v>4</v>
      </c>
      <c r="O378" s="345"/>
      <c r="P378" s="35"/>
      <c r="Q378" s="35"/>
      <c r="R378" s="187"/>
      <c r="S378" s="33">
        <v>2.7</v>
      </c>
      <c r="T378" s="33">
        <v>8.5</v>
      </c>
      <c r="U378" s="33">
        <v>8.5</v>
      </c>
      <c r="V378" s="70">
        <v>10</v>
      </c>
      <c r="W378" s="44" t="s">
        <v>856</v>
      </c>
      <c r="X378" s="33" t="s">
        <v>856</v>
      </c>
      <c r="Y378" s="33" t="s">
        <v>856</v>
      </c>
      <c r="Z378" s="70" t="s">
        <v>856</v>
      </c>
      <c r="AA378" s="44">
        <v>13.6</v>
      </c>
      <c r="AB378" s="33">
        <v>19</v>
      </c>
      <c r="AC378" s="33">
        <v>19</v>
      </c>
      <c r="AD378" s="70">
        <v>11</v>
      </c>
      <c r="AE378" s="33">
        <f t="shared" si="18"/>
        <v>2.2980324074074074</v>
      </c>
      <c r="AF378" s="37" t="s">
        <v>1009</v>
      </c>
      <c r="AG378" s="18" t="s">
        <v>1001</v>
      </c>
      <c r="AH378" s="37" t="s">
        <v>576</v>
      </c>
      <c r="AI378" s="37" t="s">
        <v>1010</v>
      </c>
      <c r="AJ378" s="18" t="s">
        <v>1014</v>
      </c>
      <c r="AN378" s="37" t="s">
        <v>1011</v>
      </c>
      <c r="AO378" s="12" t="s">
        <v>1012</v>
      </c>
      <c r="AP378" s="18" t="s">
        <v>1013</v>
      </c>
    </row>
    <row r="379" spans="1:42" s="18" customFormat="1" x14ac:dyDescent="0.2">
      <c r="A379" s="18" t="s">
        <v>886</v>
      </c>
      <c r="B379" s="19" t="s">
        <v>889</v>
      </c>
      <c r="C379" s="19" t="s">
        <v>373</v>
      </c>
      <c r="D379" s="19" t="s">
        <v>908</v>
      </c>
      <c r="E379" s="19" t="s">
        <v>373</v>
      </c>
      <c r="F379" s="19"/>
      <c r="G379" s="75" t="s">
        <v>920</v>
      </c>
      <c r="H379" s="75"/>
      <c r="I379" s="75"/>
      <c r="J379" s="28" t="s">
        <v>261</v>
      </c>
      <c r="K379" s="36" t="s">
        <v>975</v>
      </c>
      <c r="L379" s="5">
        <v>39.99</v>
      </c>
      <c r="M379" s="35">
        <v>1</v>
      </c>
      <c r="N379" s="35">
        <v>4</v>
      </c>
      <c r="O379" s="345"/>
      <c r="P379" s="35"/>
      <c r="Q379" s="35"/>
      <c r="R379" s="187"/>
      <c r="S379" s="33">
        <v>2.7</v>
      </c>
      <c r="T379" s="33">
        <v>8.5</v>
      </c>
      <c r="U379" s="33">
        <v>8.5</v>
      </c>
      <c r="V379" s="70">
        <v>10</v>
      </c>
      <c r="W379" s="44" t="s">
        <v>856</v>
      </c>
      <c r="X379" s="33" t="s">
        <v>856</v>
      </c>
      <c r="Y379" s="33" t="s">
        <v>856</v>
      </c>
      <c r="Z379" s="70" t="s">
        <v>856</v>
      </c>
      <c r="AA379" s="44">
        <v>13.6</v>
      </c>
      <c r="AB379" s="33">
        <v>19</v>
      </c>
      <c r="AC379" s="33">
        <v>19</v>
      </c>
      <c r="AD379" s="70">
        <v>11</v>
      </c>
      <c r="AE379" s="33">
        <f t="shared" si="18"/>
        <v>2.2980324074074074</v>
      </c>
      <c r="AF379" s="37" t="s">
        <v>1009</v>
      </c>
      <c r="AG379" s="18" t="s">
        <v>1001</v>
      </c>
      <c r="AH379" s="37" t="s">
        <v>576</v>
      </c>
      <c r="AI379" s="37" t="s">
        <v>1010</v>
      </c>
      <c r="AJ379" s="18" t="s">
        <v>1014</v>
      </c>
      <c r="AN379" s="37" t="s">
        <v>1011</v>
      </c>
      <c r="AO379" s="12" t="s">
        <v>1012</v>
      </c>
      <c r="AP379" s="18" t="s">
        <v>1013</v>
      </c>
    </row>
    <row r="380" spans="1:42" s="18" customFormat="1" x14ac:dyDescent="0.2">
      <c r="A380" s="18" t="s">
        <v>886</v>
      </c>
      <c r="B380" s="19" t="s">
        <v>890</v>
      </c>
      <c r="C380" s="19" t="s">
        <v>370</v>
      </c>
      <c r="D380" s="19" t="s">
        <v>909</v>
      </c>
      <c r="E380" s="19" t="s">
        <v>370</v>
      </c>
      <c r="F380" s="19"/>
      <c r="G380" s="28" t="s">
        <v>921</v>
      </c>
      <c r="H380" s="28"/>
      <c r="I380" s="28"/>
      <c r="J380" s="28" t="s">
        <v>261</v>
      </c>
      <c r="K380" s="36" t="s">
        <v>975</v>
      </c>
      <c r="L380" s="5">
        <v>49.99</v>
      </c>
      <c r="M380" s="35">
        <v>1</v>
      </c>
      <c r="N380" s="35">
        <v>4</v>
      </c>
      <c r="O380" s="345"/>
      <c r="P380" s="35"/>
      <c r="Q380" s="35"/>
      <c r="R380" s="187"/>
      <c r="S380" s="33">
        <v>4</v>
      </c>
      <c r="T380" s="33">
        <v>9</v>
      </c>
      <c r="U380" s="33">
        <v>9</v>
      </c>
      <c r="V380" s="70">
        <v>10.5</v>
      </c>
      <c r="W380" s="44" t="s">
        <v>856</v>
      </c>
      <c r="X380" s="33" t="s">
        <v>856</v>
      </c>
      <c r="Y380" s="33" t="s">
        <v>856</v>
      </c>
      <c r="Z380" s="70" t="s">
        <v>856</v>
      </c>
      <c r="AA380" s="44">
        <v>19.3</v>
      </c>
      <c r="AB380" s="33">
        <v>21</v>
      </c>
      <c r="AC380" s="33">
        <v>21</v>
      </c>
      <c r="AD380" s="70">
        <v>12</v>
      </c>
      <c r="AE380" s="33">
        <f t="shared" si="18"/>
        <v>3.0625</v>
      </c>
      <c r="AF380" s="37" t="s">
        <v>1009</v>
      </c>
      <c r="AG380" s="18" t="s">
        <v>1001</v>
      </c>
      <c r="AH380" s="37" t="s">
        <v>578</v>
      </c>
      <c r="AI380" s="37" t="s">
        <v>1010</v>
      </c>
      <c r="AJ380" s="18" t="s">
        <v>1014</v>
      </c>
      <c r="AN380" s="37" t="s">
        <v>1149</v>
      </c>
      <c r="AO380" s="18" t="s">
        <v>490</v>
      </c>
      <c r="AP380" s="13"/>
    </row>
    <row r="381" spans="1:42" s="18" customFormat="1" x14ac:dyDescent="0.2">
      <c r="A381" s="18" t="s">
        <v>886</v>
      </c>
      <c r="B381" s="19" t="s">
        <v>890</v>
      </c>
      <c r="C381" s="19" t="s">
        <v>371</v>
      </c>
      <c r="D381" s="19" t="s">
        <v>909</v>
      </c>
      <c r="E381" s="19" t="s">
        <v>371</v>
      </c>
      <c r="F381" s="19"/>
      <c r="G381" s="28" t="s">
        <v>922</v>
      </c>
      <c r="H381" s="28"/>
      <c r="I381" s="28"/>
      <c r="J381" s="28" t="s">
        <v>261</v>
      </c>
      <c r="K381" s="36" t="s">
        <v>975</v>
      </c>
      <c r="L381" s="5">
        <v>49.99</v>
      </c>
      <c r="M381" s="35">
        <v>1</v>
      </c>
      <c r="N381" s="35">
        <v>4</v>
      </c>
      <c r="O381" s="345"/>
      <c r="P381" s="35"/>
      <c r="Q381" s="35"/>
      <c r="R381" s="187"/>
      <c r="S381" s="33">
        <v>4</v>
      </c>
      <c r="T381" s="33">
        <v>9</v>
      </c>
      <c r="U381" s="33">
        <v>9</v>
      </c>
      <c r="V381" s="70">
        <v>10.5</v>
      </c>
      <c r="W381" s="44" t="s">
        <v>856</v>
      </c>
      <c r="X381" s="33" t="s">
        <v>856</v>
      </c>
      <c r="Y381" s="33" t="s">
        <v>856</v>
      </c>
      <c r="Z381" s="70" t="s">
        <v>856</v>
      </c>
      <c r="AA381" s="44">
        <v>19.3</v>
      </c>
      <c r="AB381" s="33">
        <v>21</v>
      </c>
      <c r="AC381" s="33">
        <v>21</v>
      </c>
      <c r="AD381" s="70">
        <v>12</v>
      </c>
      <c r="AE381" s="33">
        <f t="shared" si="18"/>
        <v>3.0625</v>
      </c>
      <c r="AF381" s="37" t="s">
        <v>1009</v>
      </c>
      <c r="AG381" s="18" t="s">
        <v>1001</v>
      </c>
      <c r="AH381" s="37" t="s">
        <v>578</v>
      </c>
      <c r="AI381" s="37" t="s">
        <v>1010</v>
      </c>
      <c r="AJ381" s="18" t="s">
        <v>1014</v>
      </c>
      <c r="AN381" s="37" t="s">
        <v>1149</v>
      </c>
      <c r="AO381" s="18" t="s">
        <v>490</v>
      </c>
      <c r="AP381" s="13"/>
    </row>
    <row r="382" spans="1:42" s="18" customFormat="1" x14ac:dyDescent="0.2">
      <c r="A382" s="18" t="s">
        <v>886</v>
      </c>
      <c r="B382" s="19" t="s">
        <v>890</v>
      </c>
      <c r="C382" s="19" t="s">
        <v>373</v>
      </c>
      <c r="D382" s="19" t="s">
        <v>909</v>
      </c>
      <c r="E382" s="19" t="s">
        <v>373</v>
      </c>
      <c r="F382" s="19"/>
      <c r="G382" s="28" t="s">
        <v>923</v>
      </c>
      <c r="H382" s="28"/>
      <c r="I382" s="28"/>
      <c r="J382" s="28" t="s">
        <v>261</v>
      </c>
      <c r="K382" s="36" t="s">
        <v>975</v>
      </c>
      <c r="L382" s="5">
        <v>49.99</v>
      </c>
      <c r="M382" s="35">
        <v>1</v>
      </c>
      <c r="N382" s="35">
        <v>4</v>
      </c>
      <c r="O382" s="345"/>
      <c r="P382" s="35"/>
      <c r="Q382" s="35"/>
      <c r="R382" s="187"/>
      <c r="S382" s="33">
        <v>4</v>
      </c>
      <c r="T382" s="33">
        <v>9</v>
      </c>
      <c r="U382" s="33">
        <v>9</v>
      </c>
      <c r="V382" s="70">
        <v>10.5</v>
      </c>
      <c r="W382" s="44" t="s">
        <v>856</v>
      </c>
      <c r="X382" s="33" t="s">
        <v>856</v>
      </c>
      <c r="Y382" s="33" t="s">
        <v>856</v>
      </c>
      <c r="Z382" s="70" t="s">
        <v>856</v>
      </c>
      <c r="AA382" s="44">
        <v>19.3</v>
      </c>
      <c r="AB382" s="33">
        <v>21</v>
      </c>
      <c r="AC382" s="33">
        <v>21</v>
      </c>
      <c r="AD382" s="70">
        <v>12</v>
      </c>
      <c r="AE382" s="33">
        <f t="shared" si="18"/>
        <v>3.0625</v>
      </c>
      <c r="AF382" s="37" t="s">
        <v>1009</v>
      </c>
      <c r="AG382" s="18" t="s">
        <v>1001</v>
      </c>
      <c r="AH382" s="37" t="s">
        <v>578</v>
      </c>
      <c r="AI382" s="37" t="s">
        <v>1010</v>
      </c>
      <c r="AJ382" s="18" t="s">
        <v>1014</v>
      </c>
      <c r="AN382" s="37" t="s">
        <v>1149</v>
      </c>
      <c r="AO382" s="18" t="s">
        <v>490</v>
      </c>
      <c r="AP382" s="13"/>
    </row>
    <row r="383" spans="1:42" s="18" customFormat="1" ht="12.75" customHeight="1" x14ac:dyDescent="0.2">
      <c r="A383" s="18" t="s">
        <v>192</v>
      </c>
      <c r="B383" s="33" t="s">
        <v>492</v>
      </c>
      <c r="C383" s="33" t="s">
        <v>882</v>
      </c>
      <c r="D383" s="40" t="s">
        <v>2680</v>
      </c>
      <c r="E383" s="33" t="s">
        <v>882</v>
      </c>
      <c r="F383" s="33"/>
      <c r="G383" s="55" t="s">
        <v>884</v>
      </c>
      <c r="H383" s="55"/>
      <c r="I383" s="55"/>
      <c r="J383" s="55" t="s">
        <v>1043</v>
      </c>
      <c r="K383" s="55" t="s">
        <v>976</v>
      </c>
      <c r="L383" s="303">
        <v>2.99</v>
      </c>
      <c r="M383" s="35">
        <v>1</v>
      </c>
      <c r="N383" s="35">
        <v>1</v>
      </c>
      <c r="O383" s="345"/>
      <c r="P383" s="35"/>
      <c r="Q383" s="35"/>
      <c r="R383" s="187"/>
      <c r="S383" s="33">
        <v>6.75</v>
      </c>
      <c r="T383" s="33">
        <v>9</v>
      </c>
      <c r="U383" s="33">
        <v>9</v>
      </c>
      <c r="V383" s="70">
        <v>5.5</v>
      </c>
      <c r="W383" s="33"/>
      <c r="X383" s="33"/>
      <c r="Y383" s="33"/>
      <c r="Z383" s="70"/>
      <c r="AA383" s="33">
        <v>7</v>
      </c>
      <c r="AB383" s="33">
        <v>9</v>
      </c>
      <c r="AC383" s="33">
        <v>9</v>
      </c>
      <c r="AD383" s="70">
        <v>6</v>
      </c>
      <c r="AE383" s="33">
        <v>0.28000000000000003</v>
      </c>
      <c r="AF383" s="18" t="s">
        <v>197</v>
      </c>
      <c r="AG383" s="18" t="s">
        <v>198</v>
      </c>
      <c r="AH383" s="18" t="s">
        <v>199</v>
      </c>
      <c r="AI383" s="18" t="s">
        <v>201</v>
      </c>
      <c r="AJ383" s="40" t="s">
        <v>200</v>
      </c>
      <c r="AK383" s="304" t="s">
        <v>196</v>
      </c>
      <c r="AL383" s="18" t="s">
        <v>490</v>
      </c>
    </row>
    <row r="384" spans="1:42" s="18" customFormat="1" ht="12.75" customHeight="1" x14ac:dyDescent="0.2">
      <c r="A384" s="18" t="s">
        <v>192</v>
      </c>
      <c r="B384" s="33" t="s">
        <v>492</v>
      </c>
      <c r="C384" s="33" t="s">
        <v>883</v>
      </c>
      <c r="D384" s="40" t="s">
        <v>2680</v>
      </c>
      <c r="E384" s="33" t="s">
        <v>883</v>
      </c>
      <c r="F384" s="33"/>
      <c r="G384" s="55" t="s">
        <v>885</v>
      </c>
      <c r="H384" s="55"/>
      <c r="I384" s="55"/>
      <c r="J384" s="55" t="s">
        <v>1043</v>
      </c>
      <c r="K384" s="55" t="s">
        <v>976</v>
      </c>
      <c r="L384" s="303">
        <v>2.99</v>
      </c>
      <c r="M384" s="35">
        <v>1</v>
      </c>
      <c r="N384" s="35">
        <v>1</v>
      </c>
      <c r="O384" s="345"/>
      <c r="P384" s="35"/>
      <c r="Q384" s="35"/>
      <c r="R384" s="187"/>
      <c r="S384" s="33">
        <v>6.75</v>
      </c>
      <c r="T384" s="33">
        <v>9</v>
      </c>
      <c r="U384" s="33">
        <v>9</v>
      </c>
      <c r="V384" s="70">
        <v>5.5</v>
      </c>
      <c r="W384" s="33"/>
      <c r="X384" s="33"/>
      <c r="Y384" s="33"/>
      <c r="Z384" s="70"/>
      <c r="AA384" s="33">
        <v>7</v>
      </c>
      <c r="AB384" s="33">
        <v>9</v>
      </c>
      <c r="AC384" s="33">
        <v>9</v>
      </c>
      <c r="AD384" s="70">
        <v>6</v>
      </c>
      <c r="AE384" s="33">
        <v>0.28000000000000003</v>
      </c>
      <c r="AF384" s="18" t="s">
        <v>197</v>
      </c>
      <c r="AG384" s="18" t="s">
        <v>198</v>
      </c>
      <c r="AH384" s="18" t="s">
        <v>199</v>
      </c>
      <c r="AI384" s="18" t="s">
        <v>201</v>
      </c>
      <c r="AJ384" s="40" t="s">
        <v>200</v>
      </c>
      <c r="AK384" s="304" t="s">
        <v>196</v>
      </c>
      <c r="AL384" s="18" t="s">
        <v>490</v>
      </c>
    </row>
    <row r="385" spans="1:41" s="18" customFormat="1" ht="12.75" customHeight="1" x14ac:dyDescent="0.2">
      <c r="A385" s="18" t="s">
        <v>192</v>
      </c>
      <c r="B385" s="18" t="s">
        <v>531</v>
      </c>
      <c r="C385" s="33" t="s">
        <v>32</v>
      </c>
      <c r="D385" s="57" t="s">
        <v>1558</v>
      </c>
      <c r="E385" s="33" t="s">
        <v>32</v>
      </c>
      <c r="F385" s="33"/>
      <c r="G385" s="55" t="s">
        <v>20</v>
      </c>
      <c r="H385" s="55"/>
      <c r="I385" s="55"/>
      <c r="J385" s="55" t="s">
        <v>1043</v>
      </c>
      <c r="K385" s="55" t="s">
        <v>976</v>
      </c>
      <c r="L385" s="303">
        <v>2.99</v>
      </c>
      <c r="M385" s="35">
        <v>12</v>
      </c>
      <c r="N385" s="35">
        <v>12</v>
      </c>
      <c r="O385" s="345"/>
      <c r="P385" s="35"/>
      <c r="Q385" s="35"/>
      <c r="R385" s="187"/>
      <c r="S385" s="33">
        <v>0.2</v>
      </c>
      <c r="T385" s="33">
        <v>1.38</v>
      </c>
      <c r="U385" s="33">
        <v>1.38</v>
      </c>
      <c r="V385" s="70">
        <v>5.25</v>
      </c>
      <c r="W385" s="33"/>
      <c r="X385" s="33"/>
      <c r="Y385" s="33"/>
      <c r="Z385" s="70"/>
      <c r="AA385" s="33">
        <v>2.25</v>
      </c>
      <c r="AB385" s="33">
        <v>5.5</v>
      </c>
      <c r="AC385" s="33">
        <v>4.5</v>
      </c>
      <c r="AD385" s="70">
        <v>4.5</v>
      </c>
      <c r="AE385" s="33">
        <f t="shared" ref="AE385:AE398" si="19">AB385*AC385*AD385/(12^3)</f>
        <v>6.4453125E-2</v>
      </c>
      <c r="AF385" s="18" t="s">
        <v>197</v>
      </c>
      <c r="AG385" s="18" t="s">
        <v>198</v>
      </c>
      <c r="AH385" s="18" t="s">
        <v>199</v>
      </c>
      <c r="AI385" s="18" t="s">
        <v>201</v>
      </c>
      <c r="AJ385" s="40" t="s">
        <v>200</v>
      </c>
      <c r="AK385" s="304" t="s">
        <v>196</v>
      </c>
      <c r="AL385" s="18" t="s">
        <v>490</v>
      </c>
    </row>
    <row r="386" spans="1:41" s="18" customFormat="1" ht="12.75" customHeight="1" x14ac:dyDescent="0.2">
      <c r="A386" s="18" t="s">
        <v>192</v>
      </c>
      <c r="B386" s="18" t="s">
        <v>531</v>
      </c>
      <c r="C386" s="33" t="s">
        <v>34</v>
      </c>
      <c r="D386" s="57" t="s">
        <v>1558</v>
      </c>
      <c r="E386" s="33" t="s">
        <v>34</v>
      </c>
      <c r="F386" s="33"/>
      <c r="G386" s="55" t="s">
        <v>22</v>
      </c>
      <c r="H386" s="55"/>
      <c r="I386" s="55"/>
      <c r="J386" s="55" t="s">
        <v>1043</v>
      </c>
      <c r="K386" s="55" t="s">
        <v>976</v>
      </c>
      <c r="L386" s="303">
        <v>2.99</v>
      </c>
      <c r="M386" s="35">
        <v>12</v>
      </c>
      <c r="N386" s="35">
        <v>12</v>
      </c>
      <c r="O386" s="345"/>
      <c r="P386" s="35"/>
      <c r="Q386" s="35"/>
      <c r="R386" s="187"/>
      <c r="S386" s="33">
        <v>0.2</v>
      </c>
      <c r="T386" s="33">
        <v>1.38</v>
      </c>
      <c r="U386" s="33">
        <v>1.38</v>
      </c>
      <c r="V386" s="70">
        <v>5.25</v>
      </c>
      <c r="W386" s="33"/>
      <c r="X386" s="33"/>
      <c r="Y386" s="33"/>
      <c r="Z386" s="70"/>
      <c r="AA386" s="33">
        <v>2.25</v>
      </c>
      <c r="AB386" s="33">
        <v>5.5</v>
      </c>
      <c r="AC386" s="33">
        <v>4.5</v>
      </c>
      <c r="AD386" s="70">
        <v>4.5</v>
      </c>
      <c r="AE386" s="33">
        <f t="shared" si="19"/>
        <v>6.4453125E-2</v>
      </c>
      <c r="AF386" s="18" t="s">
        <v>197</v>
      </c>
      <c r="AG386" s="18" t="s">
        <v>198</v>
      </c>
      <c r="AH386" s="18" t="s">
        <v>199</v>
      </c>
      <c r="AI386" s="18" t="s">
        <v>201</v>
      </c>
      <c r="AJ386" s="40" t="s">
        <v>200</v>
      </c>
      <c r="AK386" s="304" t="s">
        <v>196</v>
      </c>
      <c r="AL386" s="18" t="s">
        <v>490</v>
      </c>
    </row>
    <row r="387" spans="1:41" s="18" customFormat="1" ht="12.75" customHeight="1" x14ac:dyDescent="0.2">
      <c r="A387" s="18" t="s">
        <v>192</v>
      </c>
      <c r="B387" s="18" t="s">
        <v>531</v>
      </c>
      <c r="C387" s="33" t="s">
        <v>35</v>
      </c>
      <c r="D387" s="57" t="s">
        <v>1558</v>
      </c>
      <c r="E387" s="33" t="s">
        <v>35</v>
      </c>
      <c r="F387" s="33"/>
      <c r="G387" s="55" t="s">
        <v>23</v>
      </c>
      <c r="H387" s="55"/>
      <c r="I387" s="55"/>
      <c r="J387" s="55" t="s">
        <v>1043</v>
      </c>
      <c r="K387" s="55" t="s">
        <v>976</v>
      </c>
      <c r="L387" s="303">
        <v>2.99</v>
      </c>
      <c r="M387" s="35">
        <v>12</v>
      </c>
      <c r="N387" s="35">
        <v>12</v>
      </c>
      <c r="O387" s="345"/>
      <c r="P387" s="35"/>
      <c r="Q387" s="35"/>
      <c r="R387" s="187"/>
      <c r="S387" s="33">
        <v>0.2</v>
      </c>
      <c r="T387" s="33">
        <v>1.38</v>
      </c>
      <c r="U387" s="33">
        <v>1.38</v>
      </c>
      <c r="V387" s="70">
        <v>5.25</v>
      </c>
      <c r="W387" s="33"/>
      <c r="X387" s="33"/>
      <c r="Y387" s="33"/>
      <c r="Z387" s="70"/>
      <c r="AA387" s="33">
        <v>2.25</v>
      </c>
      <c r="AB387" s="33">
        <v>5.5</v>
      </c>
      <c r="AC387" s="33">
        <v>4.5</v>
      </c>
      <c r="AD387" s="70">
        <v>4.5</v>
      </c>
      <c r="AE387" s="33">
        <f t="shared" si="19"/>
        <v>6.4453125E-2</v>
      </c>
      <c r="AF387" s="18" t="s">
        <v>197</v>
      </c>
      <c r="AG387" s="18" t="s">
        <v>198</v>
      </c>
      <c r="AH387" s="18" t="s">
        <v>199</v>
      </c>
      <c r="AI387" s="18" t="s">
        <v>201</v>
      </c>
      <c r="AJ387" s="40" t="s">
        <v>200</v>
      </c>
      <c r="AK387" s="304" t="s">
        <v>196</v>
      </c>
      <c r="AL387" s="18" t="s">
        <v>490</v>
      </c>
    </row>
    <row r="388" spans="1:41" s="18" customFormat="1" ht="12.75" customHeight="1" x14ac:dyDescent="0.2">
      <c r="A388" s="18" t="s">
        <v>192</v>
      </c>
      <c r="B388" s="18" t="s">
        <v>531</v>
      </c>
      <c r="C388" s="33" t="s">
        <v>36</v>
      </c>
      <c r="D388" s="57" t="s">
        <v>1558</v>
      </c>
      <c r="E388" s="33" t="s">
        <v>36</v>
      </c>
      <c r="F388" s="33"/>
      <c r="G388" s="55" t="s">
        <v>24</v>
      </c>
      <c r="H388" s="55"/>
      <c r="I388" s="55"/>
      <c r="J388" s="55" t="s">
        <v>1043</v>
      </c>
      <c r="K388" s="55" t="s">
        <v>976</v>
      </c>
      <c r="L388" s="303">
        <v>2.99</v>
      </c>
      <c r="M388" s="35">
        <v>12</v>
      </c>
      <c r="N388" s="35">
        <v>12</v>
      </c>
      <c r="O388" s="345"/>
      <c r="P388" s="35"/>
      <c r="Q388" s="35"/>
      <c r="R388" s="187"/>
      <c r="S388" s="33">
        <v>0.2</v>
      </c>
      <c r="T388" s="33">
        <v>1.38</v>
      </c>
      <c r="U388" s="33">
        <v>1.38</v>
      </c>
      <c r="V388" s="70">
        <v>5.25</v>
      </c>
      <c r="W388" s="33"/>
      <c r="X388" s="33"/>
      <c r="Y388" s="33"/>
      <c r="Z388" s="70"/>
      <c r="AA388" s="33">
        <v>2.25</v>
      </c>
      <c r="AB388" s="33">
        <v>5.5</v>
      </c>
      <c r="AC388" s="33">
        <v>4.5</v>
      </c>
      <c r="AD388" s="70">
        <v>4.5</v>
      </c>
      <c r="AE388" s="33">
        <f t="shared" si="19"/>
        <v>6.4453125E-2</v>
      </c>
      <c r="AF388" s="18" t="s">
        <v>197</v>
      </c>
      <c r="AG388" s="18" t="s">
        <v>198</v>
      </c>
      <c r="AH388" s="18" t="s">
        <v>199</v>
      </c>
      <c r="AI388" s="18" t="s">
        <v>201</v>
      </c>
      <c r="AJ388" s="40" t="s">
        <v>200</v>
      </c>
      <c r="AK388" s="304" t="s">
        <v>196</v>
      </c>
      <c r="AL388" s="18" t="s">
        <v>490</v>
      </c>
    </row>
    <row r="389" spans="1:41" s="18" customFormat="1" ht="12.75" customHeight="1" x14ac:dyDescent="0.2">
      <c r="A389" s="18" t="s">
        <v>192</v>
      </c>
      <c r="B389" s="18" t="s">
        <v>531</v>
      </c>
      <c r="C389" s="33" t="s">
        <v>37</v>
      </c>
      <c r="D389" s="57" t="s">
        <v>1558</v>
      </c>
      <c r="E389" s="33" t="s">
        <v>37</v>
      </c>
      <c r="F389" s="33"/>
      <c r="G389" s="55" t="s">
        <v>25</v>
      </c>
      <c r="H389" s="55"/>
      <c r="I389" s="55"/>
      <c r="J389" s="55" t="s">
        <v>1043</v>
      </c>
      <c r="K389" s="55" t="s">
        <v>976</v>
      </c>
      <c r="L389" s="303">
        <v>2.99</v>
      </c>
      <c r="M389" s="35">
        <v>12</v>
      </c>
      <c r="N389" s="35">
        <v>12</v>
      </c>
      <c r="O389" s="345"/>
      <c r="P389" s="35"/>
      <c r="Q389" s="35"/>
      <c r="R389" s="187"/>
      <c r="S389" s="33">
        <v>0.2</v>
      </c>
      <c r="T389" s="33">
        <v>1.38</v>
      </c>
      <c r="U389" s="33">
        <v>1.38</v>
      </c>
      <c r="V389" s="70">
        <v>5.25</v>
      </c>
      <c r="W389" s="33"/>
      <c r="X389" s="33"/>
      <c r="Y389" s="33"/>
      <c r="Z389" s="70"/>
      <c r="AA389" s="33">
        <v>2.25</v>
      </c>
      <c r="AB389" s="33">
        <v>5.5</v>
      </c>
      <c r="AC389" s="33">
        <v>4.5</v>
      </c>
      <c r="AD389" s="70">
        <v>4.5</v>
      </c>
      <c r="AE389" s="33">
        <f t="shared" si="19"/>
        <v>6.4453125E-2</v>
      </c>
      <c r="AF389" s="18" t="s">
        <v>197</v>
      </c>
      <c r="AG389" s="18" t="s">
        <v>198</v>
      </c>
      <c r="AH389" s="18" t="s">
        <v>199</v>
      </c>
      <c r="AI389" s="18" t="s">
        <v>201</v>
      </c>
      <c r="AJ389" s="40" t="s">
        <v>200</v>
      </c>
      <c r="AK389" s="304" t="s">
        <v>196</v>
      </c>
      <c r="AL389" s="18" t="s">
        <v>490</v>
      </c>
    </row>
    <row r="390" spans="1:41" s="18" customFormat="1" ht="12.75" customHeight="1" x14ac:dyDescent="0.2">
      <c r="A390" s="18" t="s">
        <v>192</v>
      </c>
      <c r="B390" s="18" t="s">
        <v>531</v>
      </c>
      <c r="C390" s="33" t="s">
        <v>38</v>
      </c>
      <c r="D390" s="57" t="s">
        <v>1558</v>
      </c>
      <c r="E390" s="33" t="s">
        <v>38</v>
      </c>
      <c r="F390" s="33"/>
      <c r="G390" s="55" t="s">
        <v>26</v>
      </c>
      <c r="H390" s="55"/>
      <c r="I390" s="55"/>
      <c r="J390" s="55" t="s">
        <v>1043</v>
      </c>
      <c r="K390" s="55" t="s">
        <v>976</v>
      </c>
      <c r="L390" s="303">
        <v>2.99</v>
      </c>
      <c r="M390" s="35">
        <v>12</v>
      </c>
      <c r="N390" s="35">
        <v>12</v>
      </c>
      <c r="O390" s="345"/>
      <c r="P390" s="35"/>
      <c r="Q390" s="35"/>
      <c r="R390" s="187"/>
      <c r="S390" s="33">
        <v>0.2</v>
      </c>
      <c r="T390" s="33">
        <v>1.38</v>
      </c>
      <c r="U390" s="33">
        <v>1.38</v>
      </c>
      <c r="V390" s="70">
        <v>5.25</v>
      </c>
      <c r="W390" s="33"/>
      <c r="X390" s="33"/>
      <c r="Y390" s="33"/>
      <c r="Z390" s="70"/>
      <c r="AA390" s="33">
        <v>2.25</v>
      </c>
      <c r="AB390" s="33">
        <v>5.5</v>
      </c>
      <c r="AC390" s="33">
        <v>4.5</v>
      </c>
      <c r="AD390" s="70">
        <v>4.5</v>
      </c>
      <c r="AE390" s="33">
        <f t="shared" si="19"/>
        <v>6.4453125E-2</v>
      </c>
      <c r="AF390" s="18" t="s">
        <v>197</v>
      </c>
      <c r="AG390" s="18" t="s">
        <v>198</v>
      </c>
      <c r="AH390" s="18" t="s">
        <v>199</v>
      </c>
      <c r="AI390" s="18" t="s">
        <v>201</v>
      </c>
      <c r="AJ390" s="40" t="s">
        <v>200</v>
      </c>
      <c r="AK390" s="304" t="s">
        <v>196</v>
      </c>
      <c r="AL390" s="18" t="s">
        <v>490</v>
      </c>
    </row>
    <row r="391" spans="1:41" s="18" customFormat="1" ht="12.75" customHeight="1" x14ac:dyDescent="0.2">
      <c r="A391" s="18" t="s">
        <v>192</v>
      </c>
      <c r="B391" s="18" t="s">
        <v>531</v>
      </c>
      <c r="C391" s="33" t="s">
        <v>39</v>
      </c>
      <c r="D391" s="57" t="s">
        <v>1558</v>
      </c>
      <c r="E391" s="33" t="s">
        <v>39</v>
      </c>
      <c r="F391" s="33"/>
      <c r="G391" s="55" t="s">
        <v>27</v>
      </c>
      <c r="H391" s="55"/>
      <c r="I391" s="55"/>
      <c r="J391" s="55" t="s">
        <v>1043</v>
      </c>
      <c r="K391" s="55" t="s">
        <v>976</v>
      </c>
      <c r="L391" s="303">
        <v>2.99</v>
      </c>
      <c r="M391" s="35">
        <v>12</v>
      </c>
      <c r="N391" s="35">
        <v>12</v>
      </c>
      <c r="O391" s="345"/>
      <c r="P391" s="35"/>
      <c r="Q391" s="35"/>
      <c r="R391" s="187"/>
      <c r="S391" s="33">
        <v>0.2</v>
      </c>
      <c r="T391" s="33">
        <v>1.38</v>
      </c>
      <c r="U391" s="33">
        <v>1.38</v>
      </c>
      <c r="V391" s="70">
        <v>5.25</v>
      </c>
      <c r="W391" s="33"/>
      <c r="X391" s="33"/>
      <c r="Y391" s="33"/>
      <c r="Z391" s="70"/>
      <c r="AA391" s="33">
        <v>2.25</v>
      </c>
      <c r="AB391" s="33">
        <v>5.5</v>
      </c>
      <c r="AC391" s="33">
        <v>4.5</v>
      </c>
      <c r="AD391" s="70">
        <v>4.5</v>
      </c>
      <c r="AE391" s="33">
        <f t="shared" si="19"/>
        <v>6.4453125E-2</v>
      </c>
      <c r="AF391" s="18" t="s">
        <v>197</v>
      </c>
      <c r="AG391" s="18" t="s">
        <v>198</v>
      </c>
      <c r="AH391" s="18" t="s">
        <v>199</v>
      </c>
      <c r="AI391" s="18" t="s">
        <v>201</v>
      </c>
      <c r="AJ391" s="40" t="s">
        <v>200</v>
      </c>
      <c r="AK391" s="304" t="s">
        <v>196</v>
      </c>
      <c r="AL391" s="18" t="s">
        <v>490</v>
      </c>
    </row>
    <row r="392" spans="1:41" s="18" customFormat="1" ht="12.75" customHeight="1" x14ac:dyDescent="0.2">
      <c r="A392" s="18" t="s">
        <v>192</v>
      </c>
      <c r="B392" s="18" t="s">
        <v>531</v>
      </c>
      <c r="C392" s="33" t="s">
        <v>40</v>
      </c>
      <c r="D392" s="57" t="s">
        <v>1558</v>
      </c>
      <c r="E392" s="33" t="s">
        <v>40</v>
      </c>
      <c r="F392" s="33"/>
      <c r="G392" s="55" t="s">
        <v>47</v>
      </c>
      <c r="H392" s="55"/>
      <c r="I392" s="55"/>
      <c r="J392" s="55" t="s">
        <v>1043</v>
      </c>
      <c r="K392" s="55" t="s">
        <v>976</v>
      </c>
      <c r="L392" s="303">
        <v>2.99</v>
      </c>
      <c r="M392" s="35">
        <v>12</v>
      </c>
      <c r="N392" s="35">
        <v>12</v>
      </c>
      <c r="O392" s="345"/>
      <c r="P392" s="35"/>
      <c r="Q392" s="35"/>
      <c r="R392" s="187"/>
      <c r="S392" s="33">
        <v>0.2</v>
      </c>
      <c r="T392" s="33">
        <v>1.38</v>
      </c>
      <c r="U392" s="33">
        <v>1.38</v>
      </c>
      <c r="V392" s="70">
        <v>5.25</v>
      </c>
      <c r="W392" s="33"/>
      <c r="X392" s="33"/>
      <c r="Y392" s="33"/>
      <c r="Z392" s="70"/>
      <c r="AA392" s="33">
        <v>2.25</v>
      </c>
      <c r="AB392" s="33">
        <v>5.5</v>
      </c>
      <c r="AC392" s="33">
        <v>4.5</v>
      </c>
      <c r="AD392" s="70">
        <v>4.5</v>
      </c>
      <c r="AE392" s="33">
        <f t="shared" si="19"/>
        <v>6.4453125E-2</v>
      </c>
      <c r="AF392" s="18" t="s">
        <v>197</v>
      </c>
      <c r="AG392" s="18" t="s">
        <v>198</v>
      </c>
      <c r="AH392" s="18" t="s">
        <v>199</v>
      </c>
      <c r="AI392" s="18" t="s">
        <v>201</v>
      </c>
      <c r="AJ392" s="40" t="s">
        <v>200</v>
      </c>
      <c r="AK392" s="304" t="s">
        <v>196</v>
      </c>
      <c r="AL392" s="18" t="s">
        <v>490</v>
      </c>
    </row>
    <row r="393" spans="1:41" s="18" customFormat="1" ht="12.75" customHeight="1" x14ac:dyDescent="0.2">
      <c r="A393" s="18" t="s">
        <v>192</v>
      </c>
      <c r="B393" s="18" t="s">
        <v>531</v>
      </c>
      <c r="C393" s="33" t="s">
        <v>41</v>
      </c>
      <c r="D393" s="57" t="s">
        <v>1558</v>
      </c>
      <c r="E393" s="33" t="s">
        <v>41</v>
      </c>
      <c r="F393" s="33"/>
      <c r="G393" s="55" t="s">
        <v>28</v>
      </c>
      <c r="H393" s="55"/>
      <c r="I393" s="55"/>
      <c r="J393" s="55" t="s">
        <v>1043</v>
      </c>
      <c r="K393" s="55" t="s">
        <v>976</v>
      </c>
      <c r="L393" s="303">
        <v>2.99</v>
      </c>
      <c r="M393" s="35">
        <v>12</v>
      </c>
      <c r="N393" s="35">
        <v>12</v>
      </c>
      <c r="O393" s="345"/>
      <c r="P393" s="35"/>
      <c r="Q393" s="35"/>
      <c r="R393" s="187"/>
      <c r="S393" s="33">
        <v>0.2</v>
      </c>
      <c r="T393" s="33">
        <v>1.38</v>
      </c>
      <c r="U393" s="33">
        <v>1.38</v>
      </c>
      <c r="V393" s="70">
        <v>5.25</v>
      </c>
      <c r="W393" s="33"/>
      <c r="X393" s="33"/>
      <c r="Y393" s="33"/>
      <c r="Z393" s="70"/>
      <c r="AA393" s="33">
        <v>2.25</v>
      </c>
      <c r="AB393" s="33">
        <v>5.5</v>
      </c>
      <c r="AC393" s="33">
        <v>4.5</v>
      </c>
      <c r="AD393" s="70">
        <v>4.5</v>
      </c>
      <c r="AE393" s="33">
        <f t="shared" si="19"/>
        <v>6.4453125E-2</v>
      </c>
      <c r="AF393" s="18" t="s">
        <v>197</v>
      </c>
      <c r="AG393" s="18" t="s">
        <v>198</v>
      </c>
      <c r="AH393" s="18" t="s">
        <v>199</v>
      </c>
      <c r="AI393" s="18" t="s">
        <v>201</v>
      </c>
      <c r="AJ393" s="40" t="s">
        <v>200</v>
      </c>
      <c r="AK393" s="304" t="s">
        <v>196</v>
      </c>
      <c r="AL393" s="18" t="s">
        <v>490</v>
      </c>
    </row>
    <row r="394" spans="1:41" s="18" customFormat="1" ht="12.75" customHeight="1" x14ac:dyDescent="0.2">
      <c r="A394" s="18" t="s">
        <v>192</v>
      </c>
      <c r="B394" s="18" t="s">
        <v>531</v>
      </c>
      <c r="C394" s="33" t="s">
        <v>42</v>
      </c>
      <c r="D394" s="57" t="s">
        <v>1558</v>
      </c>
      <c r="E394" s="33" t="s">
        <v>42</v>
      </c>
      <c r="F394" s="33"/>
      <c r="G394" s="55" t="s">
        <v>29</v>
      </c>
      <c r="H394" s="55"/>
      <c r="I394" s="55"/>
      <c r="J394" s="55" t="s">
        <v>1043</v>
      </c>
      <c r="K394" s="55" t="s">
        <v>976</v>
      </c>
      <c r="L394" s="303">
        <v>2.99</v>
      </c>
      <c r="M394" s="35">
        <v>12</v>
      </c>
      <c r="N394" s="35">
        <v>12</v>
      </c>
      <c r="O394" s="345"/>
      <c r="P394" s="35"/>
      <c r="Q394" s="35"/>
      <c r="R394" s="187"/>
      <c r="S394" s="33">
        <v>0.2</v>
      </c>
      <c r="T394" s="33">
        <v>1.38</v>
      </c>
      <c r="U394" s="33">
        <v>1.38</v>
      </c>
      <c r="V394" s="70">
        <v>5.25</v>
      </c>
      <c r="W394" s="33"/>
      <c r="X394" s="33"/>
      <c r="Y394" s="33"/>
      <c r="Z394" s="70"/>
      <c r="AA394" s="33">
        <v>2.25</v>
      </c>
      <c r="AB394" s="33">
        <v>5.5</v>
      </c>
      <c r="AC394" s="33">
        <v>4.5</v>
      </c>
      <c r="AD394" s="70">
        <v>4.5</v>
      </c>
      <c r="AE394" s="33">
        <f t="shared" si="19"/>
        <v>6.4453125E-2</v>
      </c>
      <c r="AF394" s="18" t="s">
        <v>197</v>
      </c>
      <c r="AG394" s="18" t="s">
        <v>198</v>
      </c>
      <c r="AH394" s="18" t="s">
        <v>199</v>
      </c>
      <c r="AI394" s="18" t="s">
        <v>201</v>
      </c>
      <c r="AJ394" s="40" t="s">
        <v>200</v>
      </c>
      <c r="AK394" s="304" t="s">
        <v>196</v>
      </c>
      <c r="AL394" s="18" t="s">
        <v>490</v>
      </c>
    </row>
    <row r="395" spans="1:41" s="18" customFormat="1" ht="12.75" customHeight="1" x14ac:dyDescent="0.2">
      <c r="A395" s="18" t="s">
        <v>192</v>
      </c>
      <c r="B395" s="18" t="s">
        <v>531</v>
      </c>
      <c r="C395" s="33" t="s">
        <v>43</v>
      </c>
      <c r="D395" s="57" t="s">
        <v>1558</v>
      </c>
      <c r="E395" s="33" t="s">
        <v>43</v>
      </c>
      <c r="F395" s="33"/>
      <c r="G395" s="55" t="s">
        <v>30</v>
      </c>
      <c r="H395" s="55"/>
      <c r="I395" s="55"/>
      <c r="J395" s="55" t="s">
        <v>1043</v>
      </c>
      <c r="K395" s="55" t="s">
        <v>976</v>
      </c>
      <c r="L395" s="303">
        <v>2.99</v>
      </c>
      <c r="M395" s="35">
        <v>12</v>
      </c>
      <c r="N395" s="35">
        <v>12</v>
      </c>
      <c r="O395" s="345"/>
      <c r="P395" s="35"/>
      <c r="Q395" s="35"/>
      <c r="R395" s="187"/>
      <c r="S395" s="33">
        <v>0.2</v>
      </c>
      <c r="T395" s="33">
        <v>1.38</v>
      </c>
      <c r="U395" s="33">
        <v>1.38</v>
      </c>
      <c r="V395" s="70">
        <v>5.25</v>
      </c>
      <c r="W395" s="33"/>
      <c r="X395" s="33"/>
      <c r="Y395" s="33"/>
      <c r="Z395" s="70"/>
      <c r="AA395" s="33">
        <v>2.25</v>
      </c>
      <c r="AB395" s="33">
        <v>5.5</v>
      </c>
      <c r="AC395" s="33">
        <v>4.5</v>
      </c>
      <c r="AD395" s="70">
        <v>4.5</v>
      </c>
      <c r="AE395" s="33">
        <f t="shared" si="19"/>
        <v>6.4453125E-2</v>
      </c>
      <c r="AF395" s="18" t="s">
        <v>197</v>
      </c>
      <c r="AG395" s="18" t="s">
        <v>198</v>
      </c>
      <c r="AH395" s="18" t="s">
        <v>199</v>
      </c>
      <c r="AI395" s="18" t="s">
        <v>201</v>
      </c>
      <c r="AJ395" s="40" t="s">
        <v>200</v>
      </c>
      <c r="AK395" s="304" t="s">
        <v>196</v>
      </c>
      <c r="AL395" s="18" t="s">
        <v>490</v>
      </c>
    </row>
    <row r="396" spans="1:41" s="18" customFormat="1" ht="12.75" customHeight="1" x14ac:dyDescent="0.2">
      <c r="A396" s="18" t="s">
        <v>192</v>
      </c>
      <c r="B396" s="18" t="s">
        <v>531</v>
      </c>
      <c r="C396" s="33" t="s">
        <v>44</v>
      </c>
      <c r="D396" s="57" t="s">
        <v>1558</v>
      </c>
      <c r="E396" s="33" t="s">
        <v>44</v>
      </c>
      <c r="F396" s="33"/>
      <c r="G396" s="55" t="s">
        <v>48</v>
      </c>
      <c r="H396" s="55"/>
      <c r="I396" s="55"/>
      <c r="J396" s="55" t="s">
        <v>1043</v>
      </c>
      <c r="K396" s="55" t="s">
        <v>976</v>
      </c>
      <c r="L396" s="303">
        <v>2.99</v>
      </c>
      <c r="M396" s="35">
        <v>12</v>
      </c>
      <c r="N396" s="35">
        <v>12</v>
      </c>
      <c r="O396" s="345"/>
      <c r="P396" s="35"/>
      <c r="Q396" s="35"/>
      <c r="R396" s="187"/>
      <c r="S396" s="33">
        <v>0.2</v>
      </c>
      <c r="T396" s="33">
        <v>1.38</v>
      </c>
      <c r="U396" s="33">
        <v>1.38</v>
      </c>
      <c r="V396" s="70">
        <v>5.25</v>
      </c>
      <c r="W396" s="33"/>
      <c r="X396" s="33"/>
      <c r="Y396" s="33"/>
      <c r="Z396" s="70"/>
      <c r="AA396" s="33">
        <v>2.25</v>
      </c>
      <c r="AB396" s="33">
        <v>5.5</v>
      </c>
      <c r="AC396" s="33">
        <v>4.5</v>
      </c>
      <c r="AD396" s="70">
        <v>4.5</v>
      </c>
      <c r="AE396" s="33">
        <f t="shared" si="19"/>
        <v>6.4453125E-2</v>
      </c>
      <c r="AF396" s="18" t="s">
        <v>197</v>
      </c>
      <c r="AG396" s="18" t="s">
        <v>198</v>
      </c>
      <c r="AH396" s="18" t="s">
        <v>199</v>
      </c>
      <c r="AI396" s="18" t="s">
        <v>201</v>
      </c>
      <c r="AJ396" s="40" t="s">
        <v>200</v>
      </c>
      <c r="AK396" s="304" t="s">
        <v>196</v>
      </c>
      <c r="AL396" s="18" t="s">
        <v>490</v>
      </c>
    </row>
    <row r="397" spans="1:41" s="18" customFormat="1" ht="12.75" customHeight="1" x14ac:dyDescent="0.2">
      <c r="A397" s="18" t="s">
        <v>192</v>
      </c>
      <c r="B397" s="18" t="s">
        <v>531</v>
      </c>
      <c r="C397" s="33" t="s">
        <v>45</v>
      </c>
      <c r="D397" s="57" t="s">
        <v>1558</v>
      </c>
      <c r="E397" s="33" t="s">
        <v>45</v>
      </c>
      <c r="F397" s="33"/>
      <c r="G397" s="55" t="s">
        <v>49</v>
      </c>
      <c r="H397" s="55"/>
      <c r="I397" s="55"/>
      <c r="J397" s="55" t="s">
        <v>1043</v>
      </c>
      <c r="K397" s="55" t="s">
        <v>976</v>
      </c>
      <c r="L397" s="303">
        <v>2.99</v>
      </c>
      <c r="M397" s="35">
        <v>12</v>
      </c>
      <c r="N397" s="35">
        <v>12</v>
      </c>
      <c r="O397" s="345"/>
      <c r="P397" s="35"/>
      <c r="Q397" s="35"/>
      <c r="R397" s="187"/>
      <c r="S397" s="33">
        <v>0.2</v>
      </c>
      <c r="T397" s="33">
        <v>1.38</v>
      </c>
      <c r="U397" s="33">
        <v>1.38</v>
      </c>
      <c r="V397" s="70">
        <v>5.25</v>
      </c>
      <c r="W397" s="33"/>
      <c r="X397" s="33"/>
      <c r="Y397" s="33"/>
      <c r="Z397" s="70"/>
      <c r="AA397" s="33">
        <v>2.25</v>
      </c>
      <c r="AB397" s="33">
        <v>5.5</v>
      </c>
      <c r="AC397" s="33">
        <v>4.5</v>
      </c>
      <c r="AD397" s="70">
        <v>4.5</v>
      </c>
      <c r="AE397" s="33">
        <f t="shared" si="19"/>
        <v>6.4453125E-2</v>
      </c>
      <c r="AF397" s="18" t="s">
        <v>197</v>
      </c>
      <c r="AG397" s="18" t="s">
        <v>198</v>
      </c>
      <c r="AH397" s="18" t="s">
        <v>199</v>
      </c>
      <c r="AI397" s="18" t="s">
        <v>201</v>
      </c>
      <c r="AJ397" s="40" t="s">
        <v>200</v>
      </c>
      <c r="AK397" s="304" t="s">
        <v>196</v>
      </c>
      <c r="AL397" s="18" t="s">
        <v>490</v>
      </c>
    </row>
    <row r="398" spans="1:41" s="18" customFormat="1" ht="12.75" customHeight="1" x14ac:dyDescent="0.2">
      <c r="A398" s="18" t="s">
        <v>192</v>
      </c>
      <c r="B398" s="18" t="s">
        <v>531</v>
      </c>
      <c r="C398" s="33" t="s">
        <v>46</v>
      </c>
      <c r="D398" s="57" t="s">
        <v>1558</v>
      </c>
      <c r="E398" s="33" t="s">
        <v>46</v>
      </c>
      <c r="F398" s="33"/>
      <c r="G398" s="55" t="s">
        <v>50</v>
      </c>
      <c r="H398" s="55"/>
      <c r="I398" s="55"/>
      <c r="J398" s="55" t="s">
        <v>1043</v>
      </c>
      <c r="K398" s="55" t="s">
        <v>976</v>
      </c>
      <c r="L398" s="303">
        <v>2.99</v>
      </c>
      <c r="M398" s="35">
        <v>12</v>
      </c>
      <c r="N398" s="35">
        <v>12</v>
      </c>
      <c r="O398" s="345"/>
      <c r="P398" s="35"/>
      <c r="Q398" s="35"/>
      <c r="R398" s="187"/>
      <c r="S398" s="33">
        <v>0.2</v>
      </c>
      <c r="T398" s="33">
        <v>1.38</v>
      </c>
      <c r="U398" s="33">
        <v>1.38</v>
      </c>
      <c r="V398" s="70">
        <v>5.25</v>
      </c>
      <c r="W398" s="33"/>
      <c r="X398" s="33"/>
      <c r="Y398" s="33"/>
      <c r="Z398" s="70"/>
      <c r="AA398" s="33">
        <v>2.25</v>
      </c>
      <c r="AB398" s="33">
        <v>5.5</v>
      </c>
      <c r="AC398" s="33">
        <v>4.5</v>
      </c>
      <c r="AD398" s="70">
        <v>4.5</v>
      </c>
      <c r="AE398" s="33">
        <f t="shared" si="19"/>
        <v>6.4453125E-2</v>
      </c>
      <c r="AF398" s="18" t="s">
        <v>197</v>
      </c>
      <c r="AG398" s="18" t="s">
        <v>198</v>
      </c>
      <c r="AH398" s="18" t="s">
        <v>199</v>
      </c>
      <c r="AI398" s="18" t="s">
        <v>201</v>
      </c>
      <c r="AJ398" s="40" t="s">
        <v>200</v>
      </c>
      <c r="AK398" s="304" t="s">
        <v>196</v>
      </c>
      <c r="AL398" s="18" t="s">
        <v>490</v>
      </c>
    </row>
    <row r="399" spans="1:41" s="18" customFormat="1" x14ac:dyDescent="0.2">
      <c r="A399" s="18" t="s">
        <v>192</v>
      </c>
      <c r="B399" s="18" t="s">
        <v>531</v>
      </c>
      <c r="C399" s="33" t="s">
        <v>31</v>
      </c>
      <c r="D399" s="57" t="s">
        <v>192</v>
      </c>
      <c r="E399" s="33" t="s">
        <v>31</v>
      </c>
      <c r="F399" s="33"/>
      <c r="G399" s="55" t="s">
        <v>19</v>
      </c>
      <c r="H399" s="55"/>
      <c r="I399" s="55"/>
      <c r="J399" s="55" t="s">
        <v>1043</v>
      </c>
      <c r="K399" s="55" t="s">
        <v>976</v>
      </c>
      <c r="L399" s="303">
        <v>2.99</v>
      </c>
      <c r="M399" s="35">
        <v>12</v>
      </c>
      <c r="N399" s="35">
        <v>12</v>
      </c>
      <c r="O399" s="345"/>
      <c r="P399" s="35"/>
      <c r="Q399" s="35"/>
      <c r="R399" s="187"/>
      <c r="S399" s="33">
        <v>0.2</v>
      </c>
      <c r="T399" s="33">
        <v>1.38</v>
      </c>
      <c r="U399" s="33">
        <v>1.38</v>
      </c>
      <c r="V399" s="70">
        <v>5.25</v>
      </c>
      <c r="W399" s="33"/>
      <c r="X399" s="33"/>
      <c r="Y399" s="33"/>
      <c r="Z399" s="70"/>
      <c r="AA399" s="33">
        <v>2.25</v>
      </c>
      <c r="AB399" s="33">
        <v>5.5</v>
      </c>
      <c r="AC399" s="33">
        <v>4.5</v>
      </c>
      <c r="AD399" s="70">
        <v>4.5</v>
      </c>
      <c r="AE399" s="33">
        <f t="shared" ref="AE399" si="20">AB399*AC399*AD399/(12^3)</f>
        <v>6.4453125E-2</v>
      </c>
      <c r="AF399" s="18" t="s">
        <v>197</v>
      </c>
      <c r="AG399" s="18" t="s">
        <v>198</v>
      </c>
      <c r="AH399" s="18" t="s">
        <v>199</v>
      </c>
      <c r="AI399" s="18" t="s">
        <v>201</v>
      </c>
      <c r="AJ399" s="40" t="s">
        <v>200</v>
      </c>
      <c r="AK399" s="304" t="s">
        <v>196</v>
      </c>
      <c r="AN399" s="18" t="s">
        <v>490</v>
      </c>
    </row>
    <row r="400" spans="1:41" s="18" customFormat="1" ht="12.75" customHeight="1" x14ac:dyDescent="0.2">
      <c r="A400" s="18" t="s">
        <v>192</v>
      </c>
      <c r="B400" s="18" t="s">
        <v>531</v>
      </c>
      <c r="C400" s="33" t="s">
        <v>33</v>
      </c>
      <c r="D400" s="57" t="s">
        <v>1558</v>
      </c>
      <c r="E400" s="33" t="s">
        <v>3067</v>
      </c>
      <c r="F400" s="33" t="s">
        <v>2682</v>
      </c>
      <c r="G400" s="55" t="s">
        <v>21</v>
      </c>
      <c r="H400" s="476" t="s">
        <v>259</v>
      </c>
      <c r="I400" s="476" t="s">
        <v>259</v>
      </c>
      <c r="J400" s="55" t="s">
        <v>1043</v>
      </c>
      <c r="K400" s="55" t="s">
        <v>976</v>
      </c>
      <c r="L400" s="303">
        <v>2.99</v>
      </c>
      <c r="M400" s="35">
        <v>12</v>
      </c>
      <c r="N400" s="187">
        <v>12</v>
      </c>
      <c r="O400" s="33">
        <f>2.3/16</f>
        <v>0.14374999999999999</v>
      </c>
      <c r="P400" s="33">
        <v>1.25</v>
      </c>
      <c r="Q400" s="33">
        <v>1.25</v>
      </c>
      <c r="R400" s="70">
        <v>4.25</v>
      </c>
      <c r="S400" s="33">
        <v>0.2</v>
      </c>
      <c r="T400" s="33">
        <v>1.38</v>
      </c>
      <c r="U400" s="33">
        <v>1.38</v>
      </c>
      <c r="V400" s="70">
        <v>5.25</v>
      </c>
      <c r="W400" s="44" t="s">
        <v>259</v>
      </c>
      <c r="X400" s="33" t="s">
        <v>259</v>
      </c>
      <c r="Y400" s="33" t="s">
        <v>259</v>
      </c>
      <c r="Z400" s="70" t="s">
        <v>259</v>
      </c>
      <c r="AA400" s="44">
        <v>2.25</v>
      </c>
      <c r="AB400" s="33">
        <v>5.5</v>
      </c>
      <c r="AC400" s="33">
        <v>4.5</v>
      </c>
      <c r="AD400" s="70">
        <v>4.5</v>
      </c>
      <c r="AE400" s="44">
        <f t="shared" ref="AE400:AE405" si="21">AB400*AC400*AD400/(12^3)</f>
        <v>6.4453125E-2</v>
      </c>
      <c r="AF400" s="18" t="s">
        <v>3107</v>
      </c>
      <c r="AG400" s="18" t="s">
        <v>3106</v>
      </c>
      <c r="AI400" s="40" t="s">
        <v>200</v>
      </c>
      <c r="AJ400" s="304" t="s">
        <v>3109</v>
      </c>
      <c r="AK400" s="40"/>
      <c r="AL400" s="40"/>
      <c r="AM400" s="40"/>
      <c r="AN400" s="37" t="s">
        <v>3108</v>
      </c>
      <c r="AO400" s="18" t="s">
        <v>3089</v>
      </c>
    </row>
    <row r="401" spans="1:42" s="18" customFormat="1" ht="12.75" customHeight="1" x14ac:dyDescent="0.2">
      <c r="A401" s="18" t="s">
        <v>2727</v>
      </c>
      <c r="B401" s="19" t="s">
        <v>887</v>
      </c>
      <c r="C401" s="19" t="s">
        <v>370</v>
      </c>
      <c r="D401" s="19" t="s">
        <v>3079</v>
      </c>
      <c r="E401" s="19" t="s">
        <v>217</v>
      </c>
      <c r="F401" s="19" t="s">
        <v>2558</v>
      </c>
      <c r="G401" s="28" t="s">
        <v>924</v>
      </c>
      <c r="H401" s="476" t="s">
        <v>259</v>
      </c>
      <c r="I401" s="476" t="s">
        <v>259</v>
      </c>
      <c r="J401" s="28" t="s">
        <v>568</v>
      </c>
      <c r="K401" s="36" t="s">
        <v>975</v>
      </c>
      <c r="L401" s="5">
        <v>9.99</v>
      </c>
      <c r="M401" s="35">
        <v>1</v>
      </c>
      <c r="N401" s="187">
        <v>72</v>
      </c>
      <c r="O401" s="33">
        <f>CONVERT(240,"g","lbm")</f>
        <v>0.52910942924370619</v>
      </c>
      <c r="P401" s="33">
        <v>12.5</v>
      </c>
      <c r="Q401" s="33">
        <v>12.5</v>
      </c>
      <c r="R401" s="70">
        <v>12.5</v>
      </c>
      <c r="S401" s="33">
        <v>0.65</v>
      </c>
      <c r="T401" s="33">
        <v>6.25</v>
      </c>
      <c r="U401" s="33">
        <v>1.75</v>
      </c>
      <c r="V401" s="70">
        <v>7.75</v>
      </c>
      <c r="W401" s="44" t="s">
        <v>259</v>
      </c>
      <c r="X401" s="33" t="s">
        <v>259</v>
      </c>
      <c r="Y401" s="33" t="s">
        <v>259</v>
      </c>
      <c r="Z401" s="70" t="s">
        <v>259</v>
      </c>
      <c r="AA401" s="44">
        <f>0.65*72</f>
        <v>46.800000000000004</v>
      </c>
      <c r="AB401" s="33">
        <v>20</v>
      </c>
      <c r="AC401" s="33">
        <v>20</v>
      </c>
      <c r="AD401" s="70">
        <v>14.5</v>
      </c>
      <c r="AE401" s="44">
        <f t="shared" si="21"/>
        <v>3.3564814814814814</v>
      </c>
      <c r="AF401" s="19" t="s">
        <v>3098</v>
      </c>
      <c r="AG401" s="37" t="s">
        <v>3100</v>
      </c>
      <c r="AH401" s="37" t="s">
        <v>3099</v>
      </c>
      <c r="AI401" s="18" t="s">
        <v>3101</v>
      </c>
      <c r="AJ401" s="18" t="s">
        <v>3102</v>
      </c>
      <c r="AK401" s="18" t="s">
        <v>1826</v>
      </c>
      <c r="AN401" s="37" t="s">
        <v>3103</v>
      </c>
      <c r="AO401" s="18" t="s">
        <v>3089</v>
      </c>
      <c r="AP401" s="13"/>
    </row>
    <row r="402" spans="1:42" s="18" customFormat="1" ht="12.75" customHeight="1" x14ac:dyDescent="0.2">
      <c r="A402" s="18" t="s">
        <v>2727</v>
      </c>
      <c r="B402" s="19" t="s">
        <v>887</v>
      </c>
      <c r="C402" s="19" t="s">
        <v>371</v>
      </c>
      <c r="D402" s="19" t="s">
        <v>3079</v>
      </c>
      <c r="E402" s="19" t="s">
        <v>218</v>
      </c>
      <c r="F402" s="19" t="s">
        <v>2558</v>
      </c>
      <c r="G402" s="28" t="s">
        <v>925</v>
      </c>
      <c r="H402" s="476" t="s">
        <v>259</v>
      </c>
      <c r="I402" s="476" t="s">
        <v>259</v>
      </c>
      <c r="J402" s="28" t="s">
        <v>568</v>
      </c>
      <c r="K402" s="36" t="s">
        <v>975</v>
      </c>
      <c r="L402" s="5">
        <v>9.99</v>
      </c>
      <c r="M402" s="35">
        <v>1</v>
      </c>
      <c r="N402" s="187">
        <v>72</v>
      </c>
      <c r="O402" s="33">
        <f>CONVERT(240,"g","lbm")</f>
        <v>0.52910942924370619</v>
      </c>
      <c r="P402" s="33">
        <v>12.5</v>
      </c>
      <c r="Q402" s="33">
        <v>12.5</v>
      </c>
      <c r="R402" s="70">
        <v>12.5</v>
      </c>
      <c r="S402" s="33">
        <v>0.65</v>
      </c>
      <c r="T402" s="33">
        <v>6.25</v>
      </c>
      <c r="U402" s="33">
        <v>1.75</v>
      </c>
      <c r="V402" s="70">
        <v>7.75</v>
      </c>
      <c r="W402" s="44" t="s">
        <v>259</v>
      </c>
      <c r="X402" s="33" t="s">
        <v>259</v>
      </c>
      <c r="Y402" s="33" t="s">
        <v>259</v>
      </c>
      <c r="Z402" s="70" t="s">
        <v>259</v>
      </c>
      <c r="AA402" s="44">
        <f>0.65*72</f>
        <v>46.800000000000004</v>
      </c>
      <c r="AB402" s="33">
        <v>20</v>
      </c>
      <c r="AC402" s="33">
        <v>20</v>
      </c>
      <c r="AD402" s="70">
        <v>14.5</v>
      </c>
      <c r="AE402" s="44">
        <f t="shared" si="21"/>
        <v>3.3564814814814814</v>
      </c>
      <c r="AF402" s="19" t="s">
        <v>3098</v>
      </c>
      <c r="AG402" s="37" t="s">
        <v>3100</v>
      </c>
      <c r="AH402" s="37" t="s">
        <v>3099</v>
      </c>
      <c r="AI402" s="18" t="s">
        <v>3101</v>
      </c>
      <c r="AJ402" s="18" t="s">
        <v>3102</v>
      </c>
      <c r="AK402" s="18" t="s">
        <v>1826</v>
      </c>
      <c r="AN402" s="37" t="s">
        <v>3103</v>
      </c>
      <c r="AO402" s="18" t="s">
        <v>3089</v>
      </c>
      <c r="AP402" s="13"/>
    </row>
    <row r="403" spans="1:42" s="18" customFormat="1" ht="12.75" customHeight="1" x14ac:dyDescent="0.2">
      <c r="A403" s="18" t="s">
        <v>2727</v>
      </c>
      <c r="B403" s="19" t="s">
        <v>888</v>
      </c>
      <c r="C403" s="19" t="s">
        <v>370</v>
      </c>
      <c r="D403" s="19" t="s">
        <v>3080</v>
      </c>
      <c r="E403" s="19" t="s">
        <v>217</v>
      </c>
      <c r="F403" s="19" t="s">
        <v>2558</v>
      </c>
      <c r="G403" s="28" t="s">
        <v>927</v>
      </c>
      <c r="H403" s="476" t="s">
        <v>259</v>
      </c>
      <c r="I403" s="476" t="s">
        <v>259</v>
      </c>
      <c r="J403" s="28" t="s">
        <v>568</v>
      </c>
      <c r="K403" s="36" t="s">
        <v>975</v>
      </c>
      <c r="L403" s="5">
        <v>12.99</v>
      </c>
      <c r="M403" s="35">
        <v>1</v>
      </c>
      <c r="N403" s="187">
        <v>46</v>
      </c>
      <c r="O403" s="33">
        <f>CONVERT(380,"g","lbm")</f>
        <v>0.83775659630253474</v>
      </c>
      <c r="P403" s="33">
        <v>20</v>
      </c>
      <c r="Q403" s="33">
        <v>20</v>
      </c>
      <c r="R403" s="70">
        <v>20</v>
      </c>
      <c r="S403" s="33">
        <f>15.2/16</f>
        <v>0.95</v>
      </c>
      <c r="T403" s="33">
        <v>5</v>
      </c>
      <c r="U403" s="33">
        <v>2.75</v>
      </c>
      <c r="V403" s="70">
        <v>10.75</v>
      </c>
      <c r="W403" s="44" t="s">
        <v>259</v>
      </c>
      <c r="X403" s="33" t="s">
        <v>259</v>
      </c>
      <c r="Y403" s="33" t="s">
        <v>259</v>
      </c>
      <c r="Z403" s="70" t="s">
        <v>259</v>
      </c>
      <c r="AA403" s="44">
        <f>0.95*46</f>
        <v>43.699999999999996</v>
      </c>
      <c r="AB403" s="33">
        <v>20</v>
      </c>
      <c r="AC403" s="33">
        <v>20</v>
      </c>
      <c r="AD403" s="70">
        <v>14.5</v>
      </c>
      <c r="AE403" s="44">
        <f t="shared" si="21"/>
        <v>3.3564814814814814</v>
      </c>
      <c r="AF403" s="19" t="s">
        <v>3098</v>
      </c>
      <c r="AG403" s="37" t="s">
        <v>3100</v>
      </c>
      <c r="AH403" s="37" t="s">
        <v>3099</v>
      </c>
      <c r="AI403" s="18" t="s">
        <v>3101</v>
      </c>
      <c r="AJ403" s="18" t="s">
        <v>3102</v>
      </c>
      <c r="AK403" s="18" t="s">
        <v>3104</v>
      </c>
      <c r="AN403" s="37" t="s">
        <v>3105</v>
      </c>
      <c r="AO403" s="18" t="s">
        <v>3089</v>
      </c>
      <c r="AP403" s="13"/>
    </row>
    <row r="404" spans="1:42" s="18" customFormat="1" ht="12.75" customHeight="1" x14ac:dyDescent="0.2">
      <c r="A404" s="18" t="s">
        <v>2727</v>
      </c>
      <c r="B404" s="19" t="s">
        <v>888</v>
      </c>
      <c r="C404" s="19" t="s">
        <v>1112</v>
      </c>
      <c r="D404" s="19" t="s">
        <v>3080</v>
      </c>
      <c r="E404" s="19" t="s">
        <v>667</v>
      </c>
      <c r="F404" s="19" t="s">
        <v>2558</v>
      </c>
      <c r="G404" s="28" t="s">
        <v>1113</v>
      </c>
      <c r="H404" s="476" t="s">
        <v>259</v>
      </c>
      <c r="I404" s="476" t="s">
        <v>259</v>
      </c>
      <c r="J404" s="28" t="s">
        <v>568</v>
      </c>
      <c r="K404" s="36" t="s">
        <v>975</v>
      </c>
      <c r="L404" s="5">
        <v>12.99</v>
      </c>
      <c r="M404" s="35">
        <v>1</v>
      </c>
      <c r="N404" s="187">
        <v>46</v>
      </c>
      <c r="O404" s="33">
        <f>CONVERT(380,"g","lbm")</f>
        <v>0.83775659630253474</v>
      </c>
      <c r="P404" s="33">
        <v>20</v>
      </c>
      <c r="Q404" s="33">
        <v>20</v>
      </c>
      <c r="R404" s="70">
        <v>20</v>
      </c>
      <c r="S404" s="33">
        <f>15.2/16</f>
        <v>0.95</v>
      </c>
      <c r="T404" s="33">
        <v>5</v>
      </c>
      <c r="U404" s="33">
        <v>2.75</v>
      </c>
      <c r="V404" s="70">
        <v>10.75</v>
      </c>
      <c r="W404" s="44" t="s">
        <v>259</v>
      </c>
      <c r="X404" s="33" t="s">
        <v>259</v>
      </c>
      <c r="Y404" s="33" t="s">
        <v>259</v>
      </c>
      <c r="Z404" s="70" t="s">
        <v>259</v>
      </c>
      <c r="AA404" s="44">
        <f>0.95*46</f>
        <v>43.699999999999996</v>
      </c>
      <c r="AB404" s="33">
        <v>20</v>
      </c>
      <c r="AC404" s="33">
        <v>20</v>
      </c>
      <c r="AD404" s="70">
        <v>14.5</v>
      </c>
      <c r="AE404" s="44">
        <f t="shared" si="21"/>
        <v>3.3564814814814814</v>
      </c>
      <c r="AF404" s="19" t="s">
        <v>3098</v>
      </c>
      <c r="AG404" s="37" t="s">
        <v>3100</v>
      </c>
      <c r="AH404" s="37" t="s">
        <v>3099</v>
      </c>
      <c r="AI404" s="18" t="s">
        <v>3101</v>
      </c>
      <c r="AJ404" s="18" t="s">
        <v>3102</v>
      </c>
      <c r="AK404" s="18" t="s">
        <v>3104</v>
      </c>
      <c r="AN404" s="37" t="s">
        <v>3105</v>
      </c>
      <c r="AO404" s="18" t="s">
        <v>3089</v>
      </c>
      <c r="AP404" s="13"/>
    </row>
    <row r="405" spans="1:42" s="18" customFormat="1" ht="12.75" customHeight="1" x14ac:dyDescent="0.2">
      <c r="A405" s="18" t="s">
        <v>2727</v>
      </c>
      <c r="B405" s="19" t="s">
        <v>887</v>
      </c>
      <c r="C405" s="19" t="s">
        <v>373</v>
      </c>
      <c r="D405" s="19" t="s">
        <v>3079</v>
      </c>
      <c r="E405" s="19" t="s">
        <v>220</v>
      </c>
      <c r="F405" s="19" t="s">
        <v>2558</v>
      </c>
      <c r="G405" s="28" t="s">
        <v>926</v>
      </c>
      <c r="H405" s="476" t="s">
        <v>259</v>
      </c>
      <c r="I405" s="476" t="s">
        <v>259</v>
      </c>
      <c r="J405" s="28" t="s">
        <v>568</v>
      </c>
      <c r="K405" s="36" t="s">
        <v>975</v>
      </c>
      <c r="L405" s="5">
        <v>9.99</v>
      </c>
      <c r="M405" s="35">
        <v>1</v>
      </c>
      <c r="N405" s="187">
        <v>72</v>
      </c>
      <c r="O405" s="33">
        <f>CONVERT(240,"g","lbm")</f>
        <v>0.52910942924370619</v>
      </c>
      <c r="P405" s="33">
        <v>12.5</v>
      </c>
      <c r="Q405" s="33">
        <v>12.5</v>
      </c>
      <c r="R405" s="70">
        <v>12.5</v>
      </c>
      <c r="S405" s="33">
        <v>0.65</v>
      </c>
      <c r="T405" s="33">
        <v>6.25</v>
      </c>
      <c r="U405" s="33">
        <v>1.75</v>
      </c>
      <c r="V405" s="70">
        <v>7.75</v>
      </c>
      <c r="W405" s="44" t="s">
        <v>259</v>
      </c>
      <c r="X405" s="33" t="s">
        <v>259</v>
      </c>
      <c r="Y405" s="33" t="s">
        <v>259</v>
      </c>
      <c r="Z405" s="70" t="s">
        <v>259</v>
      </c>
      <c r="AA405" s="44">
        <f>0.65*72</f>
        <v>46.800000000000004</v>
      </c>
      <c r="AB405" s="33">
        <v>20</v>
      </c>
      <c r="AC405" s="33">
        <v>20</v>
      </c>
      <c r="AD405" s="70">
        <v>14.5</v>
      </c>
      <c r="AE405" s="44">
        <f t="shared" si="21"/>
        <v>3.3564814814814814</v>
      </c>
      <c r="AF405" s="19" t="s">
        <v>3098</v>
      </c>
      <c r="AG405" s="37" t="s">
        <v>3100</v>
      </c>
      <c r="AH405" s="37" t="s">
        <v>3099</v>
      </c>
      <c r="AI405" s="18" t="s">
        <v>3101</v>
      </c>
      <c r="AJ405" s="18" t="s">
        <v>3102</v>
      </c>
      <c r="AK405" s="18" t="s">
        <v>1826</v>
      </c>
      <c r="AN405" s="37" t="s">
        <v>3103</v>
      </c>
      <c r="AO405" s="18" t="s">
        <v>3089</v>
      </c>
      <c r="AP405" s="13"/>
    </row>
    <row r="406" spans="1:42" s="18" customFormat="1" x14ac:dyDescent="0.2">
      <c r="C406" s="33"/>
      <c r="D406" s="57"/>
      <c r="E406" s="33"/>
      <c r="F406" s="33"/>
      <c r="G406" s="33"/>
      <c r="H406" s="33"/>
      <c r="I406" s="33"/>
      <c r="J406" s="55"/>
      <c r="K406" s="55"/>
      <c r="L406" s="303"/>
      <c r="M406" s="303"/>
      <c r="N406" s="35"/>
      <c r="O406" s="345"/>
      <c r="P406" s="35"/>
      <c r="Q406" s="35"/>
      <c r="R406" s="187"/>
      <c r="S406" s="35"/>
      <c r="T406" s="33"/>
      <c r="U406" s="33"/>
      <c r="V406" s="33"/>
      <c r="W406" s="33"/>
      <c r="X406" s="33"/>
      <c r="Y406" s="33"/>
      <c r="Z406" s="33"/>
      <c r="AA406" s="33"/>
      <c r="AB406" s="33"/>
      <c r="AC406" s="33"/>
      <c r="AD406" s="33"/>
      <c r="AE406" s="33"/>
      <c r="AF406" s="33"/>
      <c r="AG406" s="33"/>
      <c r="AH406" s="33"/>
      <c r="AI406" s="33"/>
      <c r="AJ406" s="33"/>
      <c r="AO406" s="40"/>
      <c r="AP406" s="304"/>
    </row>
    <row r="407" spans="1:42" s="18" customFormat="1" x14ac:dyDescent="0.2">
      <c r="A407" s="18" t="s">
        <v>775</v>
      </c>
      <c r="B407" s="37" t="s">
        <v>945</v>
      </c>
      <c r="C407" s="33"/>
      <c r="D407" s="37" t="s">
        <v>1585</v>
      </c>
      <c r="G407" s="36" t="s">
        <v>946</v>
      </c>
      <c r="H407" s="36"/>
      <c r="I407" s="36"/>
      <c r="J407" s="61" t="s">
        <v>795</v>
      </c>
      <c r="K407" s="36" t="s">
        <v>975</v>
      </c>
      <c r="L407" s="5">
        <v>59.99</v>
      </c>
      <c r="M407" s="35">
        <v>1</v>
      </c>
      <c r="N407" s="35">
        <v>12</v>
      </c>
      <c r="O407" s="345"/>
      <c r="P407" s="35"/>
      <c r="Q407" s="35"/>
      <c r="R407" s="187"/>
      <c r="S407" s="33">
        <v>1.4</v>
      </c>
      <c r="T407" s="33">
        <v>8.5</v>
      </c>
      <c r="U407" s="33">
        <v>8.5</v>
      </c>
      <c r="V407" s="70">
        <v>5.5</v>
      </c>
      <c r="W407" s="89" t="s">
        <v>856</v>
      </c>
      <c r="X407" s="89" t="s">
        <v>856</v>
      </c>
      <c r="Y407" s="89" t="s">
        <v>856</v>
      </c>
      <c r="Z407" s="89" t="s">
        <v>856</v>
      </c>
      <c r="AA407" s="44">
        <v>18.850000000000001</v>
      </c>
      <c r="AB407" s="33">
        <v>26</v>
      </c>
      <c r="AC407" s="33">
        <v>18</v>
      </c>
      <c r="AD407" s="70">
        <v>11.5</v>
      </c>
      <c r="AE407" s="33">
        <f t="shared" ref="AE407:AE423" si="22">AB407*AC407*AD407/(12^3)</f>
        <v>3.1145833333333335</v>
      </c>
      <c r="AF407" s="59" t="s">
        <v>797</v>
      </c>
      <c r="AG407" s="18" t="s">
        <v>799</v>
      </c>
      <c r="AH407" s="59" t="s">
        <v>819</v>
      </c>
      <c r="AN407" s="37" t="s">
        <v>1588</v>
      </c>
      <c r="AO407" s="9" t="s">
        <v>831</v>
      </c>
    </row>
    <row r="408" spans="1:42" s="18" customFormat="1" ht="12.75" customHeight="1" x14ac:dyDescent="0.2">
      <c r="A408" s="18" t="s">
        <v>775</v>
      </c>
      <c r="B408" s="18" t="s">
        <v>810</v>
      </c>
      <c r="C408" s="33"/>
      <c r="D408" s="59" t="s">
        <v>932</v>
      </c>
      <c r="G408" s="60" t="s">
        <v>785</v>
      </c>
      <c r="H408" s="60"/>
      <c r="I408" s="60"/>
      <c r="J408" s="61" t="s">
        <v>795</v>
      </c>
      <c r="K408" s="36" t="s">
        <v>975</v>
      </c>
      <c r="L408" s="11">
        <v>99</v>
      </c>
      <c r="M408" s="35">
        <v>1</v>
      </c>
      <c r="N408" s="35">
        <v>12</v>
      </c>
      <c r="O408" s="345"/>
      <c r="P408" s="35"/>
      <c r="Q408" s="35"/>
      <c r="R408" s="187"/>
      <c r="S408" s="33">
        <v>2.7</v>
      </c>
      <c r="T408" s="33">
        <v>8.4499999999999993</v>
      </c>
      <c r="U408" s="33">
        <v>5.4</v>
      </c>
      <c r="V408" s="70">
        <v>8.35</v>
      </c>
      <c r="W408" s="89" t="s">
        <v>856</v>
      </c>
      <c r="X408" s="89" t="s">
        <v>856</v>
      </c>
      <c r="Y408" s="89" t="s">
        <v>856</v>
      </c>
      <c r="Z408" s="89" t="s">
        <v>856</v>
      </c>
      <c r="AA408" s="44">
        <v>39</v>
      </c>
      <c r="AB408" s="33">
        <v>17.25</v>
      </c>
      <c r="AC408" s="33">
        <v>11</v>
      </c>
      <c r="AD408" s="70">
        <v>25.8</v>
      </c>
      <c r="AE408" s="33">
        <f t="shared" si="22"/>
        <v>2.8330729166666666</v>
      </c>
      <c r="AF408" s="59" t="s">
        <v>797</v>
      </c>
      <c r="AG408" s="59"/>
      <c r="AH408" s="59" t="s">
        <v>817</v>
      </c>
      <c r="AI408" s="59" t="s">
        <v>819</v>
      </c>
      <c r="AJ408" s="59" t="s">
        <v>821</v>
      </c>
      <c r="AK408" s="59"/>
      <c r="AL408" s="59"/>
      <c r="AM408" s="59"/>
      <c r="AN408" s="59" t="s">
        <v>824</v>
      </c>
      <c r="AO408" s="9" t="s">
        <v>831</v>
      </c>
    </row>
    <row r="409" spans="1:42" s="18" customFormat="1" x14ac:dyDescent="0.2">
      <c r="A409" s="18" t="s">
        <v>775</v>
      </c>
      <c r="B409" s="18" t="s">
        <v>1152</v>
      </c>
      <c r="C409" s="33"/>
      <c r="D409" s="59" t="s">
        <v>1115</v>
      </c>
      <c r="G409" s="60" t="s">
        <v>1116</v>
      </c>
      <c r="H409" s="60"/>
      <c r="I409" s="60"/>
      <c r="J409" s="61" t="s">
        <v>795</v>
      </c>
      <c r="K409" s="36" t="s">
        <v>975</v>
      </c>
      <c r="L409" s="11">
        <v>69.989999999999995</v>
      </c>
      <c r="M409" s="35">
        <v>1</v>
      </c>
      <c r="N409" s="35">
        <v>12</v>
      </c>
      <c r="O409" s="345"/>
      <c r="P409" s="35"/>
      <c r="Q409" s="35"/>
      <c r="R409" s="187"/>
      <c r="S409" s="33">
        <v>1.1000000000000001</v>
      </c>
      <c r="T409" s="33">
        <v>5.0999999999999996</v>
      </c>
      <c r="U409" s="33">
        <v>5.0999999999999996</v>
      </c>
      <c r="V409" s="70">
        <v>5.5</v>
      </c>
      <c r="W409" s="89"/>
      <c r="X409" s="89"/>
      <c r="Y409" s="89"/>
      <c r="Z409" s="249"/>
      <c r="AA409" s="33">
        <v>14.7</v>
      </c>
      <c r="AB409" s="33">
        <v>11.25</v>
      </c>
      <c r="AC409" s="33">
        <v>12</v>
      </c>
      <c r="AD409" s="70">
        <v>16</v>
      </c>
      <c r="AE409" s="33">
        <f t="shared" ref="AE409:AE411" si="23">AB409*AC409*AD409/(12^3)</f>
        <v>1.25</v>
      </c>
      <c r="AF409" s="37" t="s">
        <v>1117</v>
      </c>
      <c r="AG409" s="37" t="s">
        <v>1118</v>
      </c>
      <c r="AH409" s="37" t="s">
        <v>1119</v>
      </c>
      <c r="AI409" s="37" t="s">
        <v>1121</v>
      </c>
      <c r="AJ409" s="37" t="s">
        <v>1120</v>
      </c>
      <c r="AK409" s="59" t="s">
        <v>1122</v>
      </c>
      <c r="AN409" s="9" t="s">
        <v>831</v>
      </c>
    </row>
    <row r="410" spans="1:42" s="18" customFormat="1" x14ac:dyDescent="0.2">
      <c r="A410" s="18" t="s">
        <v>775</v>
      </c>
      <c r="B410" s="18" t="s">
        <v>813</v>
      </c>
      <c r="C410" s="33"/>
      <c r="D410" s="59" t="s">
        <v>934</v>
      </c>
      <c r="G410" s="60" t="s">
        <v>788</v>
      </c>
      <c r="H410" s="60"/>
      <c r="I410" s="60"/>
      <c r="J410" s="61" t="s">
        <v>796</v>
      </c>
      <c r="K410" s="36" t="s">
        <v>975</v>
      </c>
      <c r="L410" s="11">
        <v>32.99</v>
      </c>
      <c r="M410" s="35">
        <v>1</v>
      </c>
      <c r="N410" s="35">
        <v>12</v>
      </c>
      <c r="O410" s="345"/>
      <c r="P410" s="35"/>
      <c r="Q410" s="35"/>
      <c r="R410" s="187"/>
      <c r="S410" s="33">
        <v>1.45</v>
      </c>
      <c r="T410" s="33">
        <v>4.4000000000000004</v>
      </c>
      <c r="U410" s="33">
        <v>4.4000000000000004</v>
      </c>
      <c r="V410" s="70">
        <v>7.8</v>
      </c>
      <c r="W410" s="89"/>
      <c r="X410" s="89"/>
      <c r="Y410" s="89"/>
      <c r="Z410" s="249"/>
      <c r="AA410" s="33">
        <v>39.75</v>
      </c>
      <c r="AB410" s="33">
        <v>13.8</v>
      </c>
      <c r="AC410" s="33">
        <v>9.25</v>
      </c>
      <c r="AD410" s="70">
        <v>18.149999999999999</v>
      </c>
      <c r="AE410" s="33">
        <f t="shared" si="23"/>
        <v>1.3407682291666665</v>
      </c>
      <c r="AF410" s="59" t="s">
        <v>798</v>
      </c>
      <c r="AG410" s="305" t="s">
        <v>800</v>
      </c>
      <c r="AH410" s="305" t="s">
        <v>818</v>
      </c>
      <c r="AI410" s="59" t="s">
        <v>820</v>
      </c>
      <c r="AJ410" s="59" t="s">
        <v>822</v>
      </c>
      <c r="AK410" s="59" t="s">
        <v>827</v>
      </c>
      <c r="AN410" s="9" t="s">
        <v>831</v>
      </c>
    </row>
    <row r="411" spans="1:42" s="18" customFormat="1" x14ac:dyDescent="0.2">
      <c r="A411" s="18" t="s">
        <v>775</v>
      </c>
      <c r="B411" s="18" t="s">
        <v>812</v>
      </c>
      <c r="C411" s="33"/>
      <c r="D411" s="59" t="s">
        <v>933</v>
      </c>
      <c r="G411" s="60" t="s">
        <v>787</v>
      </c>
      <c r="H411" s="60"/>
      <c r="I411" s="60"/>
      <c r="J411" s="61" t="s">
        <v>796</v>
      </c>
      <c r="K411" s="36" t="s">
        <v>975</v>
      </c>
      <c r="L411" s="11">
        <v>29.99</v>
      </c>
      <c r="M411" s="35">
        <v>1</v>
      </c>
      <c r="N411" s="35">
        <v>12</v>
      </c>
      <c r="O411" s="345"/>
      <c r="P411" s="35"/>
      <c r="Q411" s="35"/>
      <c r="R411" s="187"/>
      <c r="S411" s="33">
        <v>1.32</v>
      </c>
      <c r="T411" s="33">
        <v>4.25</v>
      </c>
      <c r="U411" s="33">
        <v>4.5</v>
      </c>
      <c r="V411" s="70">
        <v>6.75</v>
      </c>
      <c r="W411" s="89"/>
      <c r="X411" s="89"/>
      <c r="Y411" s="89"/>
      <c r="Z411" s="249"/>
      <c r="AA411" s="33">
        <v>33</v>
      </c>
      <c r="AB411" s="33">
        <v>13.8</v>
      </c>
      <c r="AC411" s="33">
        <v>8.15</v>
      </c>
      <c r="AD411" s="70">
        <v>18.149999999999999</v>
      </c>
      <c r="AE411" s="33">
        <f t="shared" si="23"/>
        <v>1.1813255208333333</v>
      </c>
      <c r="AF411" s="59" t="s">
        <v>798</v>
      </c>
      <c r="AG411" s="305" t="s">
        <v>800</v>
      </c>
      <c r="AH411" s="305" t="s">
        <v>818</v>
      </c>
      <c r="AI411" s="59" t="s">
        <v>820</v>
      </c>
      <c r="AJ411" s="59" t="s">
        <v>822</v>
      </c>
      <c r="AK411" s="59" t="s">
        <v>826</v>
      </c>
      <c r="AN411" s="9" t="s">
        <v>831</v>
      </c>
    </row>
    <row r="412" spans="1:42" s="18" customFormat="1" x14ac:dyDescent="0.2">
      <c r="A412" s="18" t="s">
        <v>775</v>
      </c>
      <c r="B412" s="18" t="s">
        <v>811</v>
      </c>
      <c r="C412" s="33"/>
      <c r="D412" s="59" t="s">
        <v>3151</v>
      </c>
      <c r="E412" s="18" t="s">
        <v>484</v>
      </c>
      <c r="G412" s="60" t="s">
        <v>786</v>
      </c>
      <c r="H412" s="60"/>
      <c r="I412" s="60"/>
      <c r="J412" s="61" t="s">
        <v>796</v>
      </c>
      <c r="K412" s="36" t="s">
        <v>975</v>
      </c>
      <c r="L412" s="11">
        <v>29.99</v>
      </c>
      <c r="M412" s="35">
        <v>1</v>
      </c>
      <c r="N412" s="187">
        <v>12</v>
      </c>
      <c r="O412" s="33"/>
      <c r="P412" s="33"/>
      <c r="Q412" s="33"/>
      <c r="R412" s="70"/>
      <c r="S412" s="33">
        <v>1.19</v>
      </c>
      <c r="T412" s="33">
        <v>4.4000000000000004</v>
      </c>
      <c r="U412" s="33">
        <v>4.4000000000000004</v>
      </c>
      <c r="V412" s="70">
        <v>5.6</v>
      </c>
      <c r="W412" s="89"/>
      <c r="X412" s="89"/>
      <c r="Y412" s="89"/>
      <c r="Z412" s="249"/>
      <c r="AA412" s="33">
        <v>24.25</v>
      </c>
      <c r="AB412" s="33">
        <v>13.8</v>
      </c>
      <c r="AC412" s="33">
        <v>6.7</v>
      </c>
      <c r="AD412" s="70">
        <v>18.149999999999999</v>
      </c>
      <c r="AE412" s="33">
        <f t="shared" ref="AE412:AE418" si="24">AB412*AC412*AD412/(12^3)</f>
        <v>0.97115104166666677</v>
      </c>
      <c r="AF412" s="59" t="s">
        <v>798</v>
      </c>
      <c r="AG412" s="305" t="s">
        <v>800</v>
      </c>
      <c r="AH412" s="305" t="s">
        <v>818</v>
      </c>
      <c r="AI412" s="59" t="s">
        <v>820</v>
      </c>
      <c r="AJ412" s="59" t="s">
        <v>822</v>
      </c>
      <c r="AK412" s="59"/>
      <c r="AL412" s="59"/>
      <c r="AM412" s="59"/>
      <c r="AN412" s="59" t="s">
        <v>825</v>
      </c>
      <c r="AO412" s="9" t="s">
        <v>831</v>
      </c>
    </row>
    <row r="413" spans="1:42" s="37" customFormat="1" x14ac:dyDescent="0.2">
      <c r="A413" s="18" t="s">
        <v>775</v>
      </c>
      <c r="B413" s="18" t="s">
        <v>816</v>
      </c>
      <c r="C413" s="33"/>
      <c r="D413" s="59" t="s">
        <v>937</v>
      </c>
      <c r="E413" s="18"/>
      <c r="F413" s="18"/>
      <c r="G413" s="60" t="s">
        <v>791</v>
      </c>
      <c r="H413" s="60"/>
      <c r="I413" s="60"/>
      <c r="J413" s="61" t="s">
        <v>796</v>
      </c>
      <c r="K413" s="36" t="s">
        <v>975</v>
      </c>
      <c r="L413" s="11">
        <v>29.99</v>
      </c>
      <c r="M413" s="35">
        <v>1</v>
      </c>
      <c r="N413" s="35">
        <v>24</v>
      </c>
      <c r="O413" s="345"/>
      <c r="P413" s="35"/>
      <c r="Q413" s="35"/>
      <c r="R413" s="187"/>
      <c r="S413" s="33">
        <v>1.54</v>
      </c>
      <c r="T413" s="33">
        <v>3.85</v>
      </c>
      <c r="U413" s="33">
        <v>3.85</v>
      </c>
      <c r="V413" s="70">
        <v>13.25</v>
      </c>
      <c r="W413" s="89"/>
      <c r="X413" s="89"/>
      <c r="Y413" s="89"/>
      <c r="Z413" s="249"/>
      <c r="AA413" s="33">
        <v>39.75</v>
      </c>
      <c r="AB413" s="33">
        <v>16.149999999999999</v>
      </c>
      <c r="AC413" s="33">
        <v>14</v>
      </c>
      <c r="AD413" s="70">
        <v>23.75</v>
      </c>
      <c r="AE413" s="33">
        <f t="shared" si="24"/>
        <v>3.1075665509259256</v>
      </c>
      <c r="AF413" s="59" t="s">
        <v>798</v>
      </c>
      <c r="AG413" s="305" t="s">
        <v>800</v>
      </c>
      <c r="AH413" s="305" t="s">
        <v>818</v>
      </c>
      <c r="AI413" s="59" t="s">
        <v>820</v>
      </c>
      <c r="AJ413" s="59" t="s">
        <v>823</v>
      </c>
      <c r="AK413" s="59" t="s">
        <v>830</v>
      </c>
      <c r="AM413" s="18"/>
      <c r="AN413" s="9" t="s">
        <v>831</v>
      </c>
    </row>
    <row r="414" spans="1:42" s="18" customFormat="1" x14ac:dyDescent="0.2">
      <c r="A414" s="18" t="s">
        <v>775</v>
      </c>
      <c r="B414" s="33" t="s">
        <v>973</v>
      </c>
      <c r="C414" s="33"/>
      <c r="D414" s="34" t="s">
        <v>3142</v>
      </c>
      <c r="E414" s="18" t="s">
        <v>2690</v>
      </c>
      <c r="F414" s="18" t="s">
        <v>2557</v>
      </c>
      <c r="G414" s="36" t="s">
        <v>864</v>
      </c>
      <c r="H414" s="36" t="s">
        <v>259</v>
      </c>
      <c r="I414" s="36" t="s">
        <v>259</v>
      </c>
      <c r="J414" s="61" t="s">
        <v>795</v>
      </c>
      <c r="K414" s="36" t="s">
        <v>975</v>
      </c>
      <c r="L414" s="5">
        <v>9.99</v>
      </c>
      <c r="M414" s="35">
        <v>1</v>
      </c>
      <c r="N414" s="187">
        <v>48</v>
      </c>
      <c r="O414" s="33">
        <f>2.8/16</f>
        <v>0.17499999999999999</v>
      </c>
      <c r="P414" s="33">
        <v>4.25</v>
      </c>
      <c r="Q414" s="33">
        <v>3.375</v>
      </c>
      <c r="R414" s="70">
        <v>3.375</v>
      </c>
      <c r="S414" s="33">
        <f>CONVERT(130,"g","lbm")</f>
        <v>0.28660094084034082</v>
      </c>
      <c r="T414" s="33">
        <v>4.25</v>
      </c>
      <c r="U414" s="33">
        <v>3.875</v>
      </c>
      <c r="V414" s="70">
        <v>3.875</v>
      </c>
      <c r="W414" s="89" t="s">
        <v>259</v>
      </c>
      <c r="X414" s="89" t="s">
        <v>259</v>
      </c>
      <c r="Y414" s="89" t="s">
        <v>259</v>
      </c>
      <c r="Z414" s="249" t="s">
        <v>259</v>
      </c>
      <c r="AA414" s="33">
        <v>15.75</v>
      </c>
      <c r="AB414" s="33">
        <v>16.25</v>
      </c>
      <c r="AC414" s="33">
        <v>13.5</v>
      </c>
      <c r="AD414" s="70">
        <v>16.5</v>
      </c>
      <c r="AE414" s="33">
        <f t="shared" si="24"/>
        <v>2.0947265625</v>
      </c>
      <c r="AF414" s="78" t="s">
        <v>991</v>
      </c>
      <c r="AG414" s="78" t="s">
        <v>3228</v>
      </c>
      <c r="AH414" s="418" t="s">
        <v>3229</v>
      </c>
      <c r="AI414" s="78"/>
      <c r="AJ414" s="78"/>
      <c r="AK414" s="78"/>
      <c r="AL414" s="78"/>
      <c r="AM414" s="78"/>
      <c r="AN414" s="78" t="s">
        <v>994</v>
      </c>
      <c r="AO414" s="9" t="s">
        <v>3162</v>
      </c>
    </row>
    <row r="415" spans="1:42" s="37" customFormat="1" x14ac:dyDescent="0.2">
      <c r="A415" s="18" t="s">
        <v>775</v>
      </c>
      <c r="B415" s="18" t="s">
        <v>814</v>
      </c>
      <c r="C415" s="33"/>
      <c r="D415" s="59" t="s">
        <v>935</v>
      </c>
      <c r="E415" s="18" t="s">
        <v>484</v>
      </c>
      <c r="F415" s="18" t="s">
        <v>2557</v>
      </c>
      <c r="G415" s="60" t="s">
        <v>789</v>
      </c>
      <c r="H415" s="60"/>
      <c r="I415" s="60"/>
      <c r="J415" s="61" t="s">
        <v>796</v>
      </c>
      <c r="K415" s="36" t="s">
        <v>975</v>
      </c>
      <c r="L415" s="11">
        <v>29.99</v>
      </c>
      <c r="M415" s="35">
        <v>1</v>
      </c>
      <c r="N415" s="187">
        <v>24</v>
      </c>
      <c r="O415" s="33"/>
      <c r="P415" s="33"/>
      <c r="Q415" s="33"/>
      <c r="R415" s="70"/>
      <c r="S415" s="33">
        <v>1.05</v>
      </c>
      <c r="T415" s="33">
        <v>3.25</v>
      </c>
      <c r="U415" s="33">
        <v>3.25</v>
      </c>
      <c r="V415" s="70">
        <v>11</v>
      </c>
      <c r="W415" s="89"/>
      <c r="X415" s="89"/>
      <c r="Y415" s="89"/>
      <c r="Z415" s="249"/>
      <c r="AA415" s="33">
        <v>24.25</v>
      </c>
      <c r="AB415" s="33">
        <v>14</v>
      </c>
      <c r="AC415" s="33">
        <v>12</v>
      </c>
      <c r="AD415" s="70">
        <v>20.75</v>
      </c>
      <c r="AE415" s="33">
        <f t="shared" si="24"/>
        <v>2.0173611111111112</v>
      </c>
      <c r="AF415" s="59" t="s">
        <v>798</v>
      </c>
      <c r="AG415" s="305" t="s">
        <v>800</v>
      </c>
      <c r="AH415" s="305" t="s">
        <v>818</v>
      </c>
      <c r="AI415" s="59" t="s">
        <v>820</v>
      </c>
      <c r="AJ415" s="59" t="s">
        <v>823</v>
      </c>
      <c r="AK415" s="59"/>
      <c r="AL415" s="59"/>
      <c r="AM415" s="59"/>
      <c r="AN415" s="59" t="s">
        <v>828</v>
      </c>
      <c r="AO415" s="9" t="s">
        <v>831</v>
      </c>
      <c r="AP415" s="18"/>
    </row>
    <row r="416" spans="1:42" s="37" customFormat="1" x14ac:dyDescent="0.2">
      <c r="A416" s="18" t="s">
        <v>775</v>
      </c>
      <c r="B416" s="18" t="s">
        <v>815</v>
      </c>
      <c r="C416" s="33"/>
      <c r="D416" s="59" t="s">
        <v>936</v>
      </c>
      <c r="E416" s="18" t="s">
        <v>484</v>
      </c>
      <c r="F416" s="18" t="s">
        <v>2557</v>
      </c>
      <c r="G416" s="60" t="s">
        <v>790</v>
      </c>
      <c r="H416" s="60"/>
      <c r="I416" s="60"/>
      <c r="J416" s="61" t="s">
        <v>796</v>
      </c>
      <c r="K416" s="36" t="s">
        <v>975</v>
      </c>
      <c r="L416" s="11">
        <v>34.99</v>
      </c>
      <c r="M416" s="35">
        <v>1</v>
      </c>
      <c r="N416" s="187">
        <v>24</v>
      </c>
      <c r="O416" s="33"/>
      <c r="P416" s="33"/>
      <c r="Q416" s="33"/>
      <c r="R416" s="70"/>
      <c r="S416" s="33">
        <v>1.35</v>
      </c>
      <c r="T416" s="33">
        <v>3.75</v>
      </c>
      <c r="U416" s="33">
        <v>3.75</v>
      </c>
      <c r="V416" s="70">
        <v>11.5</v>
      </c>
      <c r="W416" s="89"/>
      <c r="X416" s="89"/>
      <c r="Y416" s="89"/>
      <c r="Z416" s="249"/>
      <c r="AA416" s="33">
        <v>33</v>
      </c>
      <c r="AB416" s="33">
        <v>15.75</v>
      </c>
      <c r="AC416" s="33">
        <v>12.25</v>
      </c>
      <c r="AD416" s="70">
        <v>23.25</v>
      </c>
      <c r="AE416" s="33">
        <f t="shared" si="24"/>
        <v>2.595947265625</v>
      </c>
      <c r="AF416" s="59" t="s">
        <v>798</v>
      </c>
      <c r="AG416" s="305" t="s">
        <v>800</v>
      </c>
      <c r="AH416" s="305" t="s">
        <v>818</v>
      </c>
      <c r="AI416" s="59" t="s">
        <v>820</v>
      </c>
      <c r="AJ416" s="59" t="s">
        <v>823</v>
      </c>
      <c r="AK416" s="59"/>
      <c r="AL416" s="59"/>
      <c r="AM416" s="59"/>
      <c r="AN416" s="59" t="s">
        <v>829</v>
      </c>
      <c r="AO416" s="9" t="s">
        <v>831</v>
      </c>
      <c r="AP416" s="18"/>
    </row>
    <row r="417" spans="1:263" s="18" customFormat="1" x14ac:dyDescent="0.2">
      <c r="A417" s="18" t="s">
        <v>775</v>
      </c>
      <c r="B417" s="18" t="s">
        <v>807</v>
      </c>
      <c r="C417" s="33"/>
      <c r="D417" s="59" t="s">
        <v>931</v>
      </c>
      <c r="E417" s="18" t="s">
        <v>1550</v>
      </c>
      <c r="F417" s="18" t="s">
        <v>2557</v>
      </c>
      <c r="G417" s="60" t="s">
        <v>782</v>
      </c>
      <c r="H417" s="36" t="s">
        <v>259</v>
      </c>
      <c r="I417" s="36" t="s">
        <v>259</v>
      </c>
      <c r="J417" s="61" t="s">
        <v>792</v>
      </c>
      <c r="K417" s="36" t="s">
        <v>975</v>
      </c>
      <c r="L417" s="11">
        <v>89.99</v>
      </c>
      <c r="M417" s="35">
        <v>1</v>
      </c>
      <c r="N417" s="187">
        <v>6</v>
      </c>
      <c r="O417" s="33">
        <f>84/16</f>
        <v>5.25</v>
      </c>
      <c r="P417" s="33">
        <v>12</v>
      </c>
      <c r="Q417" s="33">
        <v>9.1</v>
      </c>
      <c r="R417" s="130" t="s">
        <v>2673</v>
      </c>
      <c r="S417" s="33">
        <f>CONVERT(2640,"g","lbm")</f>
        <v>5.8202037216807678</v>
      </c>
      <c r="T417" s="139">
        <v>12.75</v>
      </c>
      <c r="U417" s="139">
        <v>3.9</v>
      </c>
      <c r="V417" s="186">
        <v>9.875</v>
      </c>
      <c r="W417" s="89" t="s">
        <v>259</v>
      </c>
      <c r="X417" s="89" t="s">
        <v>259</v>
      </c>
      <c r="Y417" s="89" t="s">
        <v>259</v>
      </c>
      <c r="Z417" s="249" t="s">
        <v>259</v>
      </c>
      <c r="AA417" s="33">
        <v>38</v>
      </c>
      <c r="AB417" s="33">
        <v>24</v>
      </c>
      <c r="AC417" s="33">
        <v>13.25</v>
      </c>
      <c r="AD417" s="70">
        <v>11</v>
      </c>
      <c r="AE417" s="33">
        <f t="shared" si="24"/>
        <v>2.0243055555555554</v>
      </c>
      <c r="AF417" s="59" t="s">
        <v>3279</v>
      </c>
      <c r="AG417" s="59" t="s">
        <v>3280</v>
      </c>
      <c r="AH417" s="59" t="s">
        <v>3281</v>
      </c>
      <c r="AI417" s="59" t="s">
        <v>3282</v>
      </c>
      <c r="AJ417" s="59" t="s">
        <v>3283</v>
      </c>
      <c r="AK417" s="59" t="s">
        <v>3284</v>
      </c>
      <c r="AL417" s="59" t="s">
        <v>3285</v>
      </c>
      <c r="AM417" s="59"/>
      <c r="AN417" s="59" t="s">
        <v>3286</v>
      </c>
      <c r="AO417" s="9" t="s">
        <v>3162</v>
      </c>
    </row>
    <row r="418" spans="1:263" s="18" customFormat="1" x14ac:dyDescent="0.2">
      <c r="A418" s="18" t="s">
        <v>775</v>
      </c>
      <c r="B418" s="37" t="s">
        <v>2659</v>
      </c>
      <c r="C418" s="33"/>
      <c r="D418" s="37" t="s">
        <v>3153</v>
      </c>
      <c r="E418" s="18" t="s">
        <v>2689</v>
      </c>
      <c r="F418" s="18" t="s">
        <v>2557</v>
      </c>
      <c r="G418" s="36" t="s">
        <v>1827</v>
      </c>
      <c r="H418" s="36" t="s">
        <v>259</v>
      </c>
      <c r="I418" s="36" t="s">
        <v>259</v>
      </c>
      <c r="J418" s="61" t="s">
        <v>792</v>
      </c>
      <c r="K418" s="36" t="s">
        <v>975</v>
      </c>
      <c r="L418" s="5">
        <v>39.99</v>
      </c>
      <c r="M418" s="35">
        <v>1</v>
      </c>
      <c r="N418" s="187">
        <v>12</v>
      </c>
      <c r="O418" s="33">
        <v>1.7306287581512889</v>
      </c>
      <c r="P418" s="33"/>
      <c r="Q418" s="33"/>
      <c r="R418" s="70"/>
      <c r="S418" s="33">
        <f>CONVERT(910,"g","lbm")</f>
        <v>2.0062065858823859</v>
      </c>
      <c r="T418" s="33">
        <v>8.625</v>
      </c>
      <c r="U418" s="33">
        <v>1.75</v>
      </c>
      <c r="V418" s="70">
        <v>11.375</v>
      </c>
      <c r="W418" s="89" t="s">
        <v>259</v>
      </c>
      <c r="X418" s="89" t="s">
        <v>259</v>
      </c>
      <c r="Y418" s="89" t="s">
        <v>259</v>
      </c>
      <c r="Z418" s="249" t="s">
        <v>259</v>
      </c>
      <c r="AA418" s="33">
        <v>25.75</v>
      </c>
      <c r="AB418" s="33">
        <v>12</v>
      </c>
      <c r="AC418" s="33">
        <v>11.25</v>
      </c>
      <c r="AD418" s="70">
        <v>18.75</v>
      </c>
      <c r="AE418" s="33">
        <f t="shared" si="24"/>
        <v>1.46484375</v>
      </c>
      <c r="AF418" s="59" t="s">
        <v>3288</v>
      </c>
      <c r="AG418" s="18" t="s">
        <v>3289</v>
      </c>
      <c r="AH418" s="59" t="s">
        <v>3290</v>
      </c>
      <c r="AI418" s="18" t="s">
        <v>3291</v>
      </c>
      <c r="AJ418" s="18" t="s">
        <v>3292</v>
      </c>
      <c r="AK418" s="59" t="s">
        <v>3293</v>
      </c>
      <c r="AN418" s="18" t="s">
        <v>3287</v>
      </c>
      <c r="AO418" s="9" t="s">
        <v>3162</v>
      </c>
    </row>
    <row r="419" spans="1:263" s="18" customFormat="1" x14ac:dyDescent="0.2">
      <c r="C419" s="33"/>
      <c r="D419" s="59"/>
      <c r="J419" s="60"/>
      <c r="K419" s="61"/>
      <c r="L419" s="11"/>
      <c r="M419" s="11"/>
      <c r="N419" s="35"/>
      <c r="O419" s="345"/>
      <c r="P419" s="35"/>
      <c r="Q419" s="35"/>
      <c r="R419" s="187"/>
      <c r="S419" s="35"/>
      <c r="T419" s="33"/>
      <c r="U419" s="33"/>
      <c r="V419" s="33"/>
      <c r="W419" s="33"/>
      <c r="X419" s="33"/>
      <c r="Y419" s="33"/>
      <c r="Z419" s="33"/>
      <c r="AA419" s="33"/>
      <c r="AB419" s="89"/>
      <c r="AC419" s="89"/>
      <c r="AD419" s="89"/>
      <c r="AE419" s="89"/>
      <c r="AF419" s="33"/>
      <c r="AG419" s="33"/>
      <c r="AH419" s="33"/>
      <c r="AI419" s="33"/>
      <c r="AJ419" s="33"/>
      <c r="AK419" s="59"/>
      <c r="AL419" s="305"/>
      <c r="AM419" s="305"/>
      <c r="AN419" s="59"/>
      <c r="AO419" s="59"/>
      <c r="AP419" s="59"/>
      <c r="AQ419" s="9"/>
    </row>
    <row r="420" spans="1:263" s="18" customFormat="1" x14ac:dyDescent="0.2">
      <c r="A420" s="18" t="s">
        <v>3732</v>
      </c>
      <c r="B420" s="19" t="s">
        <v>3904</v>
      </c>
      <c r="D420" s="57" t="s">
        <v>3908</v>
      </c>
      <c r="E420" s="18" t="s">
        <v>667</v>
      </c>
      <c r="F420" s="18" t="s">
        <v>2557</v>
      </c>
      <c r="G420" s="497">
        <v>814002011274</v>
      </c>
      <c r="H420" s="28"/>
      <c r="I420" s="28"/>
      <c r="J420" s="28" t="s">
        <v>3739</v>
      </c>
      <c r="K420" s="219" t="s">
        <v>975</v>
      </c>
      <c r="L420" s="5">
        <v>109.99</v>
      </c>
      <c r="M420" s="35"/>
      <c r="N420" s="187">
        <v>20</v>
      </c>
      <c r="O420" s="44">
        <v>1.04</v>
      </c>
      <c r="P420" s="33">
        <v>5.0999999999999996</v>
      </c>
      <c r="Q420" s="129">
        <v>2.1</v>
      </c>
      <c r="R420" s="33">
        <v>4</v>
      </c>
      <c r="S420" s="44">
        <v>1.1000000000000001</v>
      </c>
      <c r="T420" s="33">
        <v>5.5</v>
      </c>
      <c r="U420" s="33">
        <v>6.7</v>
      </c>
      <c r="V420" s="33">
        <v>2.5</v>
      </c>
      <c r="W420" s="542"/>
      <c r="X420" s="33"/>
      <c r="Y420" s="33"/>
      <c r="Z420" s="549"/>
      <c r="AA420" s="33"/>
      <c r="AB420" s="33"/>
      <c r="AC420" s="33"/>
      <c r="AD420" s="549"/>
      <c r="AE420" s="33"/>
      <c r="AF420" s="63"/>
      <c r="AG420" s="63"/>
      <c r="AH420" s="63"/>
      <c r="AI420" s="63"/>
      <c r="AJ420" s="63"/>
      <c r="AK420" s="138"/>
      <c r="AL420" s="138"/>
      <c r="AM420" s="138"/>
      <c r="AN420" s="63"/>
      <c r="AO420" s="138"/>
      <c r="AP420" s="135"/>
    </row>
    <row r="421" spans="1:263" s="87" customFormat="1" x14ac:dyDescent="0.2">
      <c r="A421" s="18" t="s">
        <v>3732</v>
      </c>
      <c r="B421" s="19" t="s">
        <v>3921</v>
      </c>
      <c r="C421" s="37"/>
      <c r="D421" s="57" t="s">
        <v>3927</v>
      </c>
      <c r="E421" s="18"/>
      <c r="F421" s="18" t="s">
        <v>3931</v>
      </c>
      <c r="G421" s="497">
        <v>814002011298</v>
      </c>
      <c r="H421" s="28"/>
      <c r="I421" s="28"/>
      <c r="J421" s="28" t="s">
        <v>458</v>
      </c>
      <c r="K421" s="219" t="s">
        <v>975</v>
      </c>
      <c r="L421" s="504">
        <v>995</v>
      </c>
      <c r="M421" s="35"/>
      <c r="N421" s="35">
        <v>2</v>
      </c>
      <c r="O421" s="33">
        <v>7.3</v>
      </c>
      <c r="P421" s="33">
        <v>4.0999999999999996</v>
      </c>
      <c r="Q421" s="33">
        <v>7.1</v>
      </c>
      <c r="R421" s="129">
        <v>8.8000000000000007</v>
      </c>
      <c r="S421" s="33">
        <v>12.2</v>
      </c>
      <c r="T421" s="33">
        <v>14.8</v>
      </c>
      <c r="U421" s="33">
        <v>12.3</v>
      </c>
      <c r="V421" s="33">
        <v>7.6</v>
      </c>
      <c r="W421" s="542"/>
      <c r="X421" s="33"/>
      <c r="Y421" s="33"/>
      <c r="Z421" s="549"/>
      <c r="AA421" s="33"/>
      <c r="AB421" s="33"/>
      <c r="AC421" s="33"/>
      <c r="AD421" s="549"/>
      <c r="AE421" s="33"/>
      <c r="AF421" s="529" t="s">
        <v>3932</v>
      </c>
      <c r="AG421" s="63" t="s">
        <v>3933</v>
      </c>
      <c r="AH421" s="529" t="s">
        <v>3934</v>
      </c>
      <c r="AI421" s="617"/>
      <c r="AJ421" s="529"/>
      <c r="AK421" s="37"/>
      <c r="AL421" s="37"/>
      <c r="AM421" s="37"/>
      <c r="AN421" s="59"/>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c r="BX421" s="37"/>
      <c r="BY421" s="37"/>
      <c r="BZ421" s="37"/>
      <c r="CA421" s="37"/>
      <c r="CB421" s="37"/>
      <c r="CC421" s="37"/>
      <c r="CD421" s="37"/>
      <c r="CE421" s="37"/>
      <c r="CF421" s="37"/>
      <c r="CG421" s="37"/>
      <c r="CH421" s="37"/>
      <c r="CI421" s="37"/>
      <c r="CJ421" s="37"/>
      <c r="CK421" s="37"/>
      <c r="CL421" s="37"/>
      <c r="CM421" s="37"/>
      <c r="CN421" s="37"/>
      <c r="CO421" s="37"/>
      <c r="CP421" s="37"/>
      <c r="CQ421" s="37"/>
      <c r="CR421" s="37"/>
      <c r="CS421" s="37"/>
      <c r="CT421" s="37"/>
      <c r="CU421" s="37"/>
      <c r="CV421" s="37"/>
      <c r="CW421" s="37"/>
      <c r="CX421" s="37"/>
      <c r="CY421" s="37"/>
      <c r="CZ421" s="37"/>
      <c r="DA421" s="37"/>
      <c r="DB421" s="37"/>
      <c r="DC421" s="37"/>
      <c r="DD421" s="37"/>
      <c r="DE421" s="37"/>
      <c r="DF421" s="37"/>
      <c r="DG421" s="37"/>
      <c r="DH421" s="37"/>
      <c r="DI421" s="37"/>
      <c r="DJ421" s="37"/>
      <c r="DK421" s="37"/>
      <c r="DL421" s="37"/>
      <c r="DM421" s="37"/>
      <c r="DN421" s="37"/>
      <c r="DO421" s="37"/>
      <c r="DP421" s="37"/>
      <c r="DQ421" s="37"/>
      <c r="DR421" s="37"/>
      <c r="DS421" s="37"/>
      <c r="DT421" s="37"/>
      <c r="DU421" s="37"/>
      <c r="DV421" s="37"/>
      <c r="DW421" s="37"/>
      <c r="DX421" s="37"/>
      <c r="DY421" s="37"/>
      <c r="DZ421" s="37"/>
      <c r="EA421" s="37"/>
      <c r="EB421" s="37"/>
      <c r="EC421" s="37"/>
      <c r="ED421" s="37"/>
      <c r="EE421" s="37"/>
      <c r="EF421" s="37"/>
      <c r="EG421" s="37"/>
      <c r="EH421" s="37"/>
      <c r="EI421" s="37"/>
      <c r="EJ421" s="37"/>
      <c r="EK421" s="37"/>
      <c r="EL421" s="37"/>
      <c r="EM421" s="37"/>
      <c r="EN421" s="37"/>
      <c r="EO421" s="37"/>
      <c r="EP421" s="37"/>
      <c r="EQ421" s="37"/>
      <c r="ER421" s="37"/>
      <c r="ES421" s="37"/>
      <c r="ET421" s="37"/>
      <c r="EU421" s="37"/>
      <c r="EV421" s="37"/>
      <c r="EW421" s="37"/>
      <c r="EX421" s="37"/>
      <c r="EY421" s="37"/>
      <c r="EZ421" s="37"/>
      <c r="FA421" s="37"/>
      <c r="FB421" s="37"/>
      <c r="FC421" s="37"/>
      <c r="FD421" s="37"/>
      <c r="FE421" s="37"/>
      <c r="FF421" s="37"/>
      <c r="FG421" s="37"/>
      <c r="FH421" s="37"/>
      <c r="FI421" s="37"/>
      <c r="FJ421" s="37"/>
      <c r="FK421" s="37"/>
      <c r="FL421" s="37"/>
      <c r="FM421" s="37"/>
      <c r="FN421" s="37"/>
      <c r="FO421" s="37"/>
      <c r="FP421" s="37"/>
      <c r="FQ421" s="37"/>
      <c r="FR421" s="37"/>
      <c r="FS421" s="37"/>
      <c r="FT421" s="37"/>
      <c r="FU421" s="37"/>
      <c r="FV421" s="37"/>
      <c r="FW421" s="37"/>
      <c r="FX421" s="37"/>
      <c r="FY421" s="37"/>
      <c r="FZ421" s="37"/>
      <c r="GA421" s="37"/>
      <c r="GB421" s="37"/>
      <c r="GC421" s="37"/>
      <c r="GD421" s="37"/>
      <c r="GE421" s="37"/>
      <c r="GF421" s="37"/>
      <c r="GG421" s="37"/>
      <c r="GH421" s="37"/>
      <c r="GI421" s="37"/>
      <c r="GJ421" s="37"/>
      <c r="GK421" s="37"/>
      <c r="GL421" s="37"/>
      <c r="GM421" s="37"/>
      <c r="GN421" s="37"/>
      <c r="GO421" s="37"/>
      <c r="GP421" s="37"/>
      <c r="GQ421" s="37"/>
      <c r="GR421" s="37"/>
      <c r="GS421" s="37"/>
      <c r="GT421" s="37"/>
      <c r="GU421" s="37"/>
      <c r="GV421" s="37"/>
      <c r="GW421" s="37"/>
      <c r="GX421" s="37"/>
      <c r="GY421" s="37"/>
      <c r="GZ421" s="37"/>
      <c r="HA421" s="37"/>
      <c r="HB421" s="37"/>
      <c r="HC421" s="37"/>
      <c r="HD421" s="37"/>
      <c r="HE421" s="37"/>
      <c r="HF421" s="37"/>
      <c r="HG421" s="37"/>
      <c r="HH421" s="37"/>
      <c r="HI421" s="37"/>
      <c r="HJ421" s="37"/>
      <c r="HK421" s="37"/>
      <c r="HL421" s="37"/>
      <c r="HM421" s="37"/>
      <c r="HN421" s="37"/>
      <c r="HO421" s="37"/>
      <c r="HP421" s="37"/>
      <c r="HQ421" s="37"/>
      <c r="HR421" s="37"/>
      <c r="HS421" s="37"/>
      <c r="HT421" s="37"/>
      <c r="HU421" s="37"/>
      <c r="HV421" s="37"/>
      <c r="HW421" s="37"/>
      <c r="HX421" s="37"/>
      <c r="HY421" s="37"/>
      <c r="HZ421" s="37"/>
      <c r="IA421" s="37"/>
      <c r="IB421" s="37"/>
      <c r="IC421" s="37"/>
      <c r="ID421" s="37"/>
      <c r="IE421" s="37"/>
      <c r="IF421" s="37"/>
      <c r="IG421" s="37"/>
      <c r="IH421" s="37"/>
      <c r="II421" s="37"/>
      <c r="IJ421" s="37"/>
      <c r="IK421" s="37"/>
      <c r="IL421" s="37"/>
      <c r="IM421" s="37"/>
      <c r="IN421" s="37"/>
      <c r="IO421" s="37"/>
      <c r="IP421" s="37"/>
      <c r="IQ421" s="37"/>
      <c r="IR421" s="37"/>
      <c r="IS421" s="37"/>
      <c r="IT421" s="37"/>
      <c r="IU421" s="37"/>
      <c r="IV421" s="37"/>
      <c r="IW421" s="37"/>
      <c r="IX421" s="37"/>
      <c r="IY421" s="37"/>
      <c r="IZ421" s="37"/>
      <c r="JA421" s="37"/>
      <c r="JB421" s="37"/>
      <c r="JC421" s="37"/>
    </row>
    <row r="422" spans="1:263" s="18" customFormat="1" x14ac:dyDescent="0.2">
      <c r="B422" s="125"/>
      <c r="C422" s="19"/>
      <c r="E422" s="57"/>
      <c r="H422" s="497"/>
      <c r="I422" s="28"/>
      <c r="J422" s="28"/>
      <c r="K422" s="28"/>
      <c r="L422" s="5"/>
      <c r="M422" s="5"/>
      <c r="N422" s="35"/>
      <c r="O422" s="35"/>
      <c r="P422" s="33"/>
      <c r="Q422" s="33"/>
      <c r="R422" s="129"/>
      <c r="S422" s="33"/>
      <c r="T422" s="33"/>
      <c r="U422" s="33"/>
      <c r="V422" s="33"/>
      <c r="W422" s="33"/>
      <c r="X422" s="33"/>
      <c r="Y422" s="33"/>
      <c r="Z422" s="33"/>
      <c r="AA422" s="33"/>
      <c r="AB422" s="33"/>
      <c r="AC422" s="33"/>
      <c r="AD422" s="33"/>
      <c r="AE422" s="33"/>
      <c r="AF422" s="33"/>
      <c r="AG422" s="63"/>
      <c r="AH422" s="63"/>
      <c r="AI422" s="63"/>
      <c r="AJ422" s="63"/>
      <c r="AK422" s="63"/>
      <c r="AL422" s="138"/>
      <c r="AM422" s="138"/>
      <c r="AN422" s="138"/>
      <c r="AO422" s="63"/>
      <c r="AP422" s="138"/>
      <c r="AQ422" s="135"/>
    </row>
    <row r="423" spans="1:263" s="18" customFormat="1" ht="13.5" customHeight="1" x14ac:dyDescent="0.2">
      <c r="A423" s="18" t="s">
        <v>1155</v>
      </c>
      <c r="B423" s="1" t="s">
        <v>1165</v>
      </c>
      <c r="C423" s="1" t="s">
        <v>1550</v>
      </c>
      <c r="D423" s="1" t="s">
        <v>1607</v>
      </c>
      <c r="E423" s="18" t="s">
        <v>1077</v>
      </c>
      <c r="G423" s="3" t="s">
        <v>1235</v>
      </c>
      <c r="H423" s="3"/>
      <c r="I423" s="3"/>
      <c r="J423" s="37" t="s">
        <v>1299</v>
      </c>
      <c r="K423" s="36" t="s">
        <v>977</v>
      </c>
      <c r="L423" s="81">
        <v>24.99</v>
      </c>
      <c r="M423" s="35">
        <v>1</v>
      </c>
      <c r="N423" s="1">
        <v>10</v>
      </c>
      <c r="O423" s="349"/>
      <c r="P423" s="1"/>
      <c r="Q423" s="1"/>
      <c r="R423" s="239"/>
      <c r="S423" s="33">
        <v>0.35</v>
      </c>
      <c r="T423" s="33">
        <v>11.6</v>
      </c>
      <c r="U423" s="33">
        <v>2</v>
      </c>
      <c r="V423" s="70">
        <v>1.25</v>
      </c>
      <c r="W423" s="90" t="s">
        <v>856</v>
      </c>
      <c r="X423" s="89" t="s">
        <v>856</v>
      </c>
      <c r="Y423" s="89" t="s">
        <v>856</v>
      </c>
      <c r="Z423" s="249" t="s">
        <v>856</v>
      </c>
      <c r="AA423" s="44">
        <v>3.75</v>
      </c>
      <c r="AB423" s="33">
        <v>15</v>
      </c>
      <c r="AC423" s="33">
        <v>5.25</v>
      </c>
      <c r="AD423" s="70">
        <v>3.75</v>
      </c>
      <c r="AE423" s="33">
        <f t="shared" si="22"/>
        <v>0.1708984375</v>
      </c>
      <c r="AF423" s="85" t="s">
        <v>1311</v>
      </c>
      <c r="AG423" s="84" t="s">
        <v>1435</v>
      </c>
      <c r="AH423" s="85" t="s">
        <v>1432</v>
      </c>
      <c r="AI423" s="37" t="s">
        <v>1437</v>
      </c>
      <c r="AN423" s="85" t="s">
        <v>1357</v>
      </c>
      <c r="AO423" s="18" t="s">
        <v>1329</v>
      </c>
      <c r="AP423" s="37" t="s">
        <v>490</v>
      </c>
    </row>
    <row r="424" spans="1:263" s="18" customFormat="1" ht="13.5" customHeight="1" x14ac:dyDescent="0.2">
      <c r="A424" s="18" t="s">
        <v>1837</v>
      </c>
      <c r="B424" s="1" t="s">
        <v>1214</v>
      </c>
      <c r="C424" s="1" t="s">
        <v>1550</v>
      </c>
      <c r="D424" s="1" t="s">
        <v>1624</v>
      </c>
      <c r="E424" s="18" t="s">
        <v>1406</v>
      </c>
      <c r="G424" s="3" t="s">
        <v>1283</v>
      </c>
      <c r="H424" s="3"/>
      <c r="I424" s="3"/>
      <c r="J424" s="37" t="s">
        <v>1299</v>
      </c>
      <c r="K424" s="36" t="s">
        <v>977</v>
      </c>
      <c r="L424" s="82">
        <v>49.99</v>
      </c>
      <c r="M424" s="35">
        <v>1</v>
      </c>
      <c r="N424" s="1">
        <v>15</v>
      </c>
      <c r="O424" s="349"/>
      <c r="P424" s="1"/>
      <c r="Q424" s="1"/>
      <c r="R424" s="239"/>
      <c r="S424" s="18">
        <v>0.36</v>
      </c>
      <c r="T424" s="33">
        <v>10</v>
      </c>
      <c r="U424" s="33">
        <v>1.9</v>
      </c>
      <c r="V424" s="70">
        <v>1.6</v>
      </c>
      <c r="W424" s="90" t="s">
        <v>259</v>
      </c>
      <c r="X424" s="89" t="s">
        <v>259</v>
      </c>
      <c r="Y424" s="89" t="s">
        <v>259</v>
      </c>
      <c r="Z424" s="249" t="s">
        <v>259</v>
      </c>
      <c r="AA424" s="33">
        <v>5.15</v>
      </c>
      <c r="AB424" s="33">
        <v>9.75</v>
      </c>
      <c r="AC424" s="33">
        <v>5</v>
      </c>
      <c r="AD424" s="70">
        <v>10.25</v>
      </c>
      <c r="AE424" s="33">
        <f t="shared" ref="AE424:AE428" si="25">AB424*AC424*AD424/(12^3)</f>
        <v>0.28917100694444442</v>
      </c>
      <c r="AF424" s="85" t="s">
        <v>1311</v>
      </c>
      <c r="AG424" s="85" t="s">
        <v>1308</v>
      </c>
      <c r="AH424" s="85" t="s">
        <v>1302</v>
      </c>
      <c r="AI424" s="37" t="s">
        <v>1410</v>
      </c>
      <c r="AJ424" s="18" t="s">
        <v>1407</v>
      </c>
      <c r="AK424" s="86" t="s">
        <v>1408</v>
      </c>
      <c r="AN424" s="18" t="s">
        <v>1932</v>
      </c>
      <c r="AO424" s="37" t="s">
        <v>490</v>
      </c>
    </row>
    <row r="425" spans="1:263" s="18" customFormat="1" ht="13.5" customHeight="1" x14ac:dyDescent="0.2">
      <c r="A425" s="18" t="s">
        <v>1837</v>
      </c>
      <c r="B425" s="1" t="s">
        <v>1203</v>
      </c>
      <c r="C425" s="1" t="s">
        <v>1494</v>
      </c>
      <c r="D425" s="1" t="s">
        <v>1621</v>
      </c>
      <c r="E425" s="18" t="s">
        <v>484</v>
      </c>
      <c r="G425" s="97" t="s">
        <v>1244</v>
      </c>
      <c r="H425" s="97"/>
      <c r="I425" s="97"/>
      <c r="J425" s="37" t="s">
        <v>1299</v>
      </c>
      <c r="K425" s="36" t="s">
        <v>977</v>
      </c>
      <c r="L425" s="82">
        <v>79.989999999999995</v>
      </c>
      <c r="M425" s="35">
        <v>1</v>
      </c>
      <c r="N425" s="1">
        <v>15</v>
      </c>
      <c r="O425" s="349"/>
      <c r="P425" s="1"/>
      <c r="Q425" s="1"/>
      <c r="R425" s="239"/>
      <c r="S425" s="33">
        <v>0.36</v>
      </c>
      <c r="T425" s="33">
        <v>9.4</v>
      </c>
      <c r="U425" s="33">
        <v>1.9</v>
      </c>
      <c r="V425" s="70">
        <v>1.6</v>
      </c>
      <c r="W425" s="90" t="s">
        <v>259</v>
      </c>
      <c r="X425" s="89" t="s">
        <v>259</v>
      </c>
      <c r="Y425" s="89" t="s">
        <v>259</v>
      </c>
      <c r="Z425" s="249" t="s">
        <v>259</v>
      </c>
      <c r="AA425" s="33">
        <v>5.85</v>
      </c>
      <c r="AB425" s="33">
        <v>9.75</v>
      </c>
      <c r="AC425" s="33">
        <v>5</v>
      </c>
      <c r="AD425" s="70">
        <v>10.25</v>
      </c>
      <c r="AE425" s="33">
        <f t="shared" si="25"/>
        <v>0.28917100694444442</v>
      </c>
      <c r="AF425" s="85" t="s">
        <v>1836</v>
      </c>
      <c r="AG425" s="85" t="s">
        <v>1313</v>
      </c>
      <c r="AH425" s="85" t="s">
        <v>1309</v>
      </c>
      <c r="AI425" s="85" t="s">
        <v>1315</v>
      </c>
      <c r="AJ425" s="85" t="s">
        <v>1342</v>
      </c>
      <c r="AK425" s="37"/>
      <c r="AN425" s="18" t="s">
        <v>1932</v>
      </c>
      <c r="AO425" s="37" t="s">
        <v>490</v>
      </c>
    </row>
    <row r="426" spans="1:263" s="18" customFormat="1" ht="13.5" customHeight="1" x14ac:dyDescent="0.2">
      <c r="A426" s="18" t="s">
        <v>1837</v>
      </c>
      <c r="B426" s="1" t="s">
        <v>1206</v>
      </c>
      <c r="C426" s="1" t="s">
        <v>1550</v>
      </c>
      <c r="D426" s="1" t="s">
        <v>2540</v>
      </c>
      <c r="E426" s="18" t="s">
        <v>1916</v>
      </c>
      <c r="G426" s="3" t="s">
        <v>1275</v>
      </c>
      <c r="H426" s="3"/>
      <c r="I426" s="3"/>
      <c r="J426" s="37" t="s">
        <v>1299</v>
      </c>
      <c r="K426" s="36" t="s">
        <v>977</v>
      </c>
      <c r="L426" s="82">
        <v>19.989999999999998</v>
      </c>
      <c r="M426" s="35">
        <v>1</v>
      </c>
      <c r="N426" s="1">
        <v>50</v>
      </c>
      <c r="O426" s="349"/>
      <c r="P426" s="1"/>
      <c r="Q426" s="1"/>
      <c r="R426" s="239"/>
      <c r="S426" s="33">
        <v>0.25573622413445796</v>
      </c>
      <c r="T426" s="33">
        <v>9.125</v>
      </c>
      <c r="U426" s="33">
        <v>1.75</v>
      </c>
      <c r="V426" s="70">
        <v>1.375</v>
      </c>
      <c r="W426" s="90" t="s">
        <v>259</v>
      </c>
      <c r="X426" s="89" t="s">
        <v>259</v>
      </c>
      <c r="Y426" s="89" t="s">
        <v>259</v>
      </c>
      <c r="Z426" s="249" t="s">
        <v>259</v>
      </c>
      <c r="AA426" s="33">
        <v>14.3</v>
      </c>
      <c r="AB426" s="33">
        <v>12</v>
      </c>
      <c r="AC426" s="33">
        <v>12</v>
      </c>
      <c r="AD426" s="70">
        <v>10</v>
      </c>
      <c r="AE426" s="33">
        <f t="shared" si="25"/>
        <v>0.83333333333333337</v>
      </c>
      <c r="AF426" s="85" t="s">
        <v>1311</v>
      </c>
      <c r="AG426" s="85" t="s">
        <v>1308</v>
      </c>
      <c r="AH426" s="85" t="s">
        <v>1309</v>
      </c>
      <c r="AI426" s="37" t="s">
        <v>1410</v>
      </c>
      <c r="AJ426" s="85" t="s">
        <v>1312</v>
      </c>
      <c r="AK426" s="84" t="s">
        <v>1447</v>
      </c>
      <c r="AN426" s="18" t="s">
        <v>1932</v>
      </c>
      <c r="AO426" s="37" t="s">
        <v>490</v>
      </c>
    </row>
    <row r="427" spans="1:263" s="18" customFormat="1" ht="13.5" customHeight="1" x14ac:dyDescent="0.2">
      <c r="A427" s="18" t="s">
        <v>1837</v>
      </c>
      <c r="B427" s="1" t="s">
        <v>1209</v>
      </c>
      <c r="C427" s="1" t="s">
        <v>1294</v>
      </c>
      <c r="D427" s="1" t="s">
        <v>2527</v>
      </c>
      <c r="E427" s="18" t="s">
        <v>1916</v>
      </c>
      <c r="G427" s="3" t="s">
        <v>1278</v>
      </c>
      <c r="H427" s="3"/>
      <c r="I427" s="3"/>
      <c r="J427" s="37" t="s">
        <v>1299</v>
      </c>
      <c r="K427" s="36" t="s">
        <v>977</v>
      </c>
      <c r="L427" s="82">
        <v>22.99</v>
      </c>
      <c r="M427" s="35">
        <v>1</v>
      </c>
      <c r="N427" s="1">
        <v>15</v>
      </c>
      <c r="O427" s="349"/>
      <c r="P427" s="1"/>
      <c r="Q427" s="1"/>
      <c r="R427" s="239"/>
      <c r="S427" s="33">
        <v>0.29762405394958474</v>
      </c>
      <c r="T427" s="33">
        <v>9.1</v>
      </c>
      <c r="U427" s="33">
        <v>1.9</v>
      </c>
      <c r="V427" s="70">
        <v>1.4</v>
      </c>
      <c r="W427" s="90" t="s">
        <v>259</v>
      </c>
      <c r="X427" s="89" t="s">
        <v>259</v>
      </c>
      <c r="Y427" s="89" t="s">
        <v>259</v>
      </c>
      <c r="Z427" s="249" t="s">
        <v>259</v>
      </c>
      <c r="AA427" s="33">
        <v>5</v>
      </c>
      <c r="AB427" s="33">
        <v>9.75</v>
      </c>
      <c r="AC427" s="33">
        <v>5</v>
      </c>
      <c r="AD427" s="70">
        <v>10.25</v>
      </c>
      <c r="AE427" s="33">
        <f t="shared" si="25"/>
        <v>0.28917100694444442</v>
      </c>
      <c r="AF427" s="85" t="s">
        <v>1316</v>
      </c>
      <c r="AG427" s="85" t="s">
        <v>1313</v>
      </c>
      <c r="AH427" s="85" t="s">
        <v>1309</v>
      </c>
      <c r="AI427" s="37" t="s">
        <v>1410</v>
      </c>
      <c r="AJ427" s="85" t="s">
        <v>1343</v>
      </c>
      <c r="AK427" s="85" t="s">
        <v>1314</v>
      </c>
      <c r="AN427" s="18" t="s">
        <v>1932</v>
      </c>
      <c r="AO427" s="37" t="s">
        <v>490</v>
      </c>
    </row>
    <row r="428" spans="1:263" s="18" customFormat="1" ht="13.5" customHeight="1" x14ac:dyDescent="0.2">
      <c r="A428" s="18" t="s">
        <v>1837</v>
      </c>
      <c r="B428" s="1" t="s">
        <v>1210</v>
      </c>
      <c r="C428" s="1" t="s">
        <v>1294</v>
      </c>
      <c r="D428" s="1" t="s">
        <v>2539</v>
      </c>
      <c r="E428" s="18" t="s">
        <v>219</v>
      </c>
      <c r="G428" s="3" t="s">
        <v>1279</v>
      </c>
      <c r="H428" s="3"/>
      <c r="I428" s="3"/>
      <c r="J428" s="37" t="s">
        <v>1299</v>
      </c>
      <c r="K428" s="36" t="s">
        <v>977</v>
      </c>
      <c r="L428" s="82">
        <v>22.99</v>
      </c>
      <c r="M428" s="35">
        <v>1</v>
      </c>
      <c r="N428" s="1">
        <v>15</v>
      </c>
      <c r="O428" s="349"/>
      <c r="P428" s="1"/>
      <c r="Q428" s="1"/>
      <c r="R428" s="239"/>
      <c r="S428" s="33">
        <v>0.3</v>
      </c>
      <c r="T428" s="33">
        <v>9.1</v>
      </c>
      <c r="U428" s="33">
        <v>1.9</v>
      </c>
      <c r="V428" s="70">
        <v>1.4</v>
      </c>
      <c r="W428" s="90" t="s">
        <v>259</v>
      </c>
      <c r="X428" s="89" t="s">
        <v>259</v>
      </c>
      <c r="Y428" s="89" t="s">
        <v>259</v>
      </c>
      <c r="Z428" s="249" t="s">
        <v>259</v>
      </c>
      <c r="AA428" s="33">
        <v>5</v>
      </c>
      <c r="AB428" s="33">
        <v>9.75</v>
      </c>
      <c r="AC428" s="33">
        <v>5</v>
      </c>
      <c r="AD428" s="70">
        <v>10.25</v>
      </c>
      <c r="AE428" s="33">
        <f t="shared" si="25"/>
        <v>0.28917100694444442</v>
      </c>
      <c r="AF428" s="85" t="s">
        <v>1316</v>
      </c>
      <c r="AG428" s="85" t="s">
        <v>1313</v>
      </c>
      <c r="AH428" s="85" t="s">
        <v>1309</v>
      </c>
      <c r="AI428" s="37" t="s">
        <v>1410</v>
      </c>
      <c r="AJ428" s="85" t="s">
        <v>1343</v>
      </c>
      <c r="AK428" s="85" t="s">
        <v>1314</v>
      </c>
      <c r="AN428" s="18" t="s">
        <v>1932</v>
      </c>
      <c r="AO428" s="37" t="s">
        <v>490</v>
      </c>
    </row>
    <row r="429" spans="1:263" s="18" customFormat="1" ht="13.5" customHeight="1" x14ac:dyDescent="0.2">
      <c r="A429" s="18" t="s">
        <v>1837</v>
      </c>
      <c r="B429" s="1" t="s">
        <v>1220</v>
      </c>
      <c r="C429" s="1" t="s">
        <v>1298</v>
      </c>
      <c r="D429" s="1" t="s">
        <v>1626</v>
      </c>
      <c r="E429" s="18" t="s">
        <v>1829</v>
      </c>
      <c r="G429" s="95" t="s">
        <v>1287</v>
      </c>
      <c r="H429" s="95"/>
      <c r="I429" s="95"/>
      <c r="J429" s="37" t="s">
        <v>1299</v>
      </c>
      <c r="K429" s="36" t="s">
        <v>977</v>
      </c>
      <c r="L429" s="82">
        <v>129.99</v>
      </c>
      <c r="M429" s="35">
        <v>1</v>
      </c>
      <c r="N429" s="1">
        <v>1</v>
      </c>
      <c r="O429" s="349"/>
      <c r="P429" s="1"/>
      <c r="Q429" s="1"/>
      <c r="R429" s="239"/>
      <c r="S429" s="33">
        <v>0</v>
      </c>
      <c r="T429" s="33">
        <v>12</v>
      </c>
      <c r="U429" s="33">
        <v>6</v>
      </c>
      <c r="V429" s="70">
        <v>1.5</v>
      </c>
      <c r="W429" s="89" t="s">
        <v>259</v>
      </c>
      <c r="X429" s="89" t="s">
        <v>259</v>
      </c>
      <c r="Y429" s="89" t="s">
        <v>259</v>
      </c>
      <c r="Z429" s="249" t="s">
        <v>259</v>
      </c>
      <c r="AA429" s="89" t="s">
        <v>856</v>
      </c>
      <c r="AB429" s="89" t="s">
        <v>856</v>
      </c>
      <c r="AC429" s="89" t="s">
        <v>856</v>
      </c>
      <c r="AD429" s="249" t="s">
        <v>856</v>
      </c>
      <c r="AE429" s="33"/>
      <c r="AF429" s="85" t="s">
        <v>1415</v>
      </c>
      <c r="AG429" s="85" t="s">
        <v>1415</v>
      </c>
      <c r="AH429" s="85" t="s">
        <v>1409</v>
      </c>
      <c r="AI429" s="37" t="s">
        <v>1418</v>
      </c>
      <c r="AJ429" s="18" t="s">
        <v>1416</v>
      </c>
      <c r="AK429" s="85" t="s">
        <v>1417</v>
      </c>
      <c r="AN429" s="18" t="s">
        <v>1932</v>
      </c>
      <c r="AO429" s="37" t="s">
        <v>490</v>
      </c>
    </row>
    <row r="430" spans="1:263" s="18" customFormat="1" ht="13.5" customHeight="1" x14ac:dyDescent="0.2">
      <c r="A430" s="18" t="s">
        <v>1837</v>
      </c>
      <c r="B430" s="1" t="s">
        <v>1806</v>
      </c>
      <c r="C430" s="1" t="s">
        <v>1295</v>
      </c>
      <c r="D430" s="1" t="s">
        <v>2529</v>
      </c>
      <c r="E430" s="18" t="s">
        <v>1829</v>
      </c>
      <c r="G430" s="107">
        <v>7350006973000</v>
      </c>
      <c r="H430" s="107"/>
      <c r="I430" s="107"/>
      <c r="J430" s="37" t="s">
        <v>1299</v>
      </c>
      <c r="K430" s="36" t="s">
        <v>977</v>
      </c>
      <c r="L430" s="82">
        <v>229.99</v>
      </c>
      <c r="M430" s="35">
        <v>1</v>
      </c>
      <c r="N430" s="1">
        <v>1</v>
      </c>
      <c r="O430" s="349"/>
      <c r="P430" s="1"/>
      <c r="Q430" s="1"/>
      <c r="R430" s="239"/>
      <c r="S430" s="33">
        <v>0</v>
      </c>
      <c r="T430" s="33">
        <v>12</v>
      </c>
      <c r="U430" s="33">
        <v>6</v>
      </c>
      <c r="V430" s="70">
        <v>1.75</v>
      </c>
      <c r="W430" s="89" t="s">
        <v>259</v>
      </c>
      <c r="X430" s="89" t="s">
        <v>259</v>
      </c>
      <c r="Y430" s="89" t="s">
        <v>259</v>
      </c>
      <c r="Z430" s="249" t="s">
        <v>259</v>
      </c>
      <c r="AA430" s="89" t="s">
        <v>856</v>
      </c>
      <c r="AB430" s="89" t="s">
        <v>856</v>
      </c>
      <c r="AC430" s="89" t="s">
        <v>856</v>
      </c>
      <c r="AD430" s="249" t="s">
        <v>856</v>
      </c>
      <c r="AE430" s="33"/>
      <c r="AF430" s="85" t="s">
        <v>1821</v>
      </c>
      <c r="AG430" s="85" t="s">
        <v>1822</v>
      </c>
      <c r="AH430" s="85" t="s">
        <v>1409</v>
      </c>
      <c r="AI430" s="37" t="s">
        <v>1694</v>
      </c>
      <c r="AK430" s="85"/>
      <c r="AN430" s="18" t="s">
        <v>1932</v>
      </c>
      <c r="AO430" s="37" t="s">
        <v>490</v>
      </c>
    </row>
    <row r="431" spans="1:263" s="18" customFormat="1" ht="13.5" customHeight="1" x14ac:dyDescent="0.2">
      <c r="A431" s="18" t="s">
        <v>1837</v>
      </c>
      <c r="B431" s="1" t="s">
        <v>1223</v>
      </c>
      <c r="C431" s="1" t="s">
        <v>1550</v>
      </c>
      <c r="D431" s="1" t="s">
        <v>1627</v>
      </c>
      <c r="E431" s="18" t="s">
        <v>1303</v>
      </c>
      <c r="G431" s="3" t="s">
        <v>1288</v>
      </c>
      <c r="H431" s="3"/>
      <c r="I431" s="3"/>
      <c r="J431" s="37" t="s">
        <v>1299</v>
      </c>
      <c r="K431" s="36" t="s">
        <v>977</v>
      </c>
      <c r="L431" s="82">
        <v>34.99</v>
      </c>
      <c r="M431" s="35">
        <v>1</v>
      </c>
      <c r="N431" s="1">
        <v>15</v>
      </c>
      <c r="O431" s="349"/>
      <c r="P431" s="1"/>
      <c r="Q431" s="1"/>
      <c r="R431" s="239"/>
      <c r="S431" s="33">
        <v>0.2</v>
      </c>
      <c r="T431" s="33">
        <v>11.25</v>
      </c>
      <c r="U431" s="33">
        <v>1.5</v>
      </c>
      <c r="V431" s="70">
        <v>0.8</v>
      </c>
      <c r="W431" s="89" t="s">
        <v>259</v>
      </c>
      <c r="X431" s="89" t="s">
        <v>259</v>
      </c>
      <c r="Y431" s="89" t="s">
        <v>259</v>
      </c>
      <c r="Z431" s="249" t="s">
        <v>259</v>
      </c>
      <c r="AA431" s="33">
        <v>3.8</v>
      </c>
      <c r="AB431" s="33">
        <v>9.75</v>
      </c>
      <c r="AC431" s="33">
        <v>5</v>
      </c>
      <c r="AD431" s="70">
        <v>10.25</v>
      </c>
      <c r="AE431" s="33">
        <f t="shared" ref="AE431:AE446" si="26">AB431*AC431*AD431/(12^3)</f>
        <v>0.28917100694444442</v>
      </c>
      <c r="AF431" s="85" t="s">
        <v>1300</v>
      </c>
      <c r="AG431" s="84" t="s">
        <v>1301</v>
      </c>
      <c r="AH431" s="85" t="s">
        <v>1428</v>
      </c>
      <c r="AI431" s="37" t="s">
        <v>1424</v>
      </c>
      <c r="AJ431" s="85" t="s">
        <v>1411</v>
      </c>
      <c r="AK431" s="85" t="s">
        <v>1429</v>
      </c>
      <c r="AN431" s="18" t="s">
        <v>1932</v>
      </c>
      <c r="AO431" s="37" t="s">
        <v>490</v>
      </c>
    </row>
    <row r="432" spans="1:263" s="18" customFormat="1" ht="13.5" customHeight="1" x14ac:dyDescent="0.2">
      <c r="A432" s="18" t="s">
        <v>1837</v>
      </c>
      <c r="B432" s="1" t="s">
        <v>1225</v>
      </c>
      <c r="C432" s="1" t="s">
        <v>1550</v>
      </c>
      <c r="D432" s="1" t="s">
        <v>1628</v>
      </c>
      <c r="E432" s="18" t="s">
        <v>1303</v>
      </c>
      <c r="G432" s="3" t="s">
        <v>1290</v>
      </c>
      <c r="H432" s="3"/>
      <c r="I432" s="3"/>
      <c r="J432" s="37" t="s">
        <v>1299</v>
      </c>
      <c r="K432" s="36" t="s">
        <v>977</v>
      </c>
      <c r="L432" s="82">
        <v>34.99</v>
      </c>
      <c r="M432" s="35">
        <v>1</v>
      </c>
      <c r="N432" s="1">
        <v>15</v>
      </c>
      <c r="O432" s="349"/>
      <c r="P432" s="1"/>
      <c r="Q432" s="1"/>
      <c r="R432" s="239"/>
      <c r="S432" s="33">
        <v>0.27</v>
      </c>
      <c r="T432" s="33">
        <v>11.25</v>
      </c>
      <c r="U432" s="33">
        <v>1.5</v>
      </c>
      <c r="V432" s="70">
        <v>0.8</v>
      </c>
      <c r="W432" s="89" t="s">
        <v>259</v>
      </c>
      <c r="X432" s="89" t="s">
        <v>259</v>
      </c>
      <c r="Y432" s="89" t="s">
        <v>259</v>
      </c>
      <c r="Z432" s="249" t="s">
        <v>259</v>
      </c>
      <c r="AA432" s="33">
        <v>4.3499999999999996</v>
      </c>
      <c r="AB432" s="33">
        <v>9.75</v>
      </c>
      <c r="AC432" s="33">
        <v>5</v>
      </c>
      <c r="AD432" s="70">
        <v>10.25</v>
      </c>
      <c r="AE432" s="33">
        <f t="shared" si="26"/>
        <v>0.28917100694444442</v>
      </c>
      <c r="AF432" s="85" t="s">
        <v>1427</v>
      </c>
      <c r="AG432" s="84" t="s">
        <v>1301</v>
      </c>
      <c r="AH432" s="85" t="s">
        <v>1428</v>
      </c>
      <c r="AI432" s="37" t="s">
        <v>1424</v>
      </c>
      <c r="AJ432" s="85" t="s">
        <v>1412</v>
      </c>
      <c r="AK432" s="85" t="s">
        <v>1426</v>
      </c>
      <c r="AN432" s="18" t="s">
        <v>1932</v>
      </c>
      <c r="AO432" s="37" t="s">
        <v>490</v>
      </c>
    </row>
    <row r="433" spans="1:41" s="18" customFormat="1" ht="13.5" customHeight="1" x14ac:dyDescent="0.2">
      <c r="A433" s="18" t="s">
        <v>1837</v>
      </c>
      <c r="B433" s="1" t="s">
        <v>1228</v>
      </c>
      <c r="C433" s="1" t="s">
        <v>1550</v>
      </c>
      <c r="D433" s="1" t="s">
        <v>1630</v>
      </c>
      <c r="E433" s="18" t="s">
        <v>1303</v>
      </c>
      <c r="G433" s="3" t="s">
        <v>1293</v>
      </c>
      <c r="H433" s="3"/>
      <c r="I433" s="3"/>
      <c r="J433" s="37" t="s">
        <v>1299</v>
      </c>
      <c r="K433" s="36" t="s">
        <v>977</v>
      </c>
      <c r="L433" s="83">
        <v>22.99</v>
      </c>
      <c r="M433" s="35">
        <v>1</v>
      </c>
      <c r="N433" s="1">
        <v>15</v>
      </c>
      <c r="O433" s="349"/>
      <c r="P433" s="1"/>
      <c r="Q433" s="1"/>
      <c r="R433" s="239"/>
      <c r="S433" s="33">
        <v>0.2</v>
      </c>
      <c r="T433" s="33">
        <v>9.1</v>
      </c>
      <c r="U433" s="33">
        <v>1.9</v>
      </c>
      <c r="V433" s="70">
        <v>1.4</v>
      </c>
      <c r="W433" s="89" t="s">
        <v>259</v>
      </c>
      <c r="X433" s="89" t="s">
        <v>259</v>
      </c>
      <c r="Y433" s="89" t="s">
        <v>259</v>
      </c>
      <c r="Z433" s="249" t="s">
        <v>259</v>
      </c>
      <c r="AA433" s="33">
        <v>3.65</v>
      </c>
      <c r="AB433" s="33">
        <v>9.75</v>
      </c>
      <c r="AC433" s="33">
        <v>5</v>
      </c>
      <c r="AD433" s="70">
        <v>10.25</v>
      </c>
      <c r="AE433" s="33">
        <f t="shared" si="26"/>
        <v>0.28917100694444442</v>
      </c>
      <c r="AF433" s="85" t="s">
        <v>1423</v>
      </c>
      <c r="AG433" s="84" t="s">
        <v>1301</v>
      </c>
      <c r="AH433" s="85" t="s">
        <v>1302</v>
      </c>
      <c r="AI433" s="37" t="s">
        <v>1424</v>
      </c>
      <c r="AJ433" s="85" t="s">
        <v>1414</v>
      </c>
      <c r="AK433" s="85" t="s">
        <v>1430</v>
      </c>
      <c r="AN433" s="18" t="s">
        <v>1932</v>
      </c>
      <c r="AO433" s="37" t="s">
        <v>490</v>
      </c>
    </row>
    <row r="434" spans="1:41" s="18" customFormat="1" ht="13.5" customHeight="1" x14ac:dyDescent="0.2">
      <c r="A434" s="18" t="s">
        <v>1837</v>
      </c>
      <c r="B434" s="1" t="s">
        <v>1160</v>
      </c>
      <c r="C434" s="1" t="s">
        <v>1494</v>
      </c>
      <c r="D434" s="1" t="s">
        <v>1605</v>
      </c>
      <c r="E434" s="18" t="s">
        <v>222</v>
      </c>
      <c r="G434" s="3" t="s">
        <v>1229</v>
      </c>
      <c r="H434" s="3"/>
      <c r="I434" s="3"/>
      <c r="J434" s="37" t="s">
        <v>1299</v>
      </c>
      <c r="K434" s="36" t="s">
        <v>977</v>
      </c>
      <c r="L434" s="81">
        <v>9.99</v>
      </c>
      <c r="M434" s="35">
        <v>1</v>
      </c>
      <c r="N434" s="1">
        <v>20</v>
      </c>
      <c r="O434" s="349"/>
      <c r="P434" s="1"/>
      <c r="Q434" s="1"/>
      <c r="R434" s="239"/>
      <c r="S434" s="33">
        <v>0.21</v>
      </c>
      <c r="T434" s="33">
        <v>9</v>
      </c>
      <c r="U434" s="33">
        <v>1.75</v>
      </c>
      <c r="V434" s="70">
        <v>1.0625</v>
      </c>
      <c r="W434" s="89" t="s">
        <v>259</v>
      </c>
      <c r="X434" s="89" t="s">
        <v>259</v>
      </c>
      <c r="Y434" s="89" t="s">
        <v>259</v>
      </c>
      <c r="Z434" s="249" t="s">
        <v>259</v>
      </c>
      <c r="AA434" s="33">
        <v>4.75</v>
      </c>
      <c r="AB434" s="33">
        <v>9.75</v>
      </c>
      <c r="AC434" s="33">
        <v>5</v>
      </c>
      <c r="AD434" s="70">
        <v>10.25</v>
      </c>
      <c r="AE434" s="33">
        <f t="shared" si="26"/>
        <v>0.28917100694444442</v>
      </c>
      <c r="AF434" s="85" t="s">
        <v>1307</v>
      </c>
      <c r="AG434" s="84" t="s">
        <v>1436</v>
      </c>
      <c r="AH434" s="85" t="s">
        <v>1310</v>
      </c>
      <c r="AI434" s="37" t="s">
        <v>1437</v>
      </c>
      <c r="AJ434" s="18" t="s">
        <v>1389</v>
      </c>
      <c r="AK434" s="85" t="s">
        <v>1390</v>
      </c>
      <c r="AN434" s="18" t="s">
        <v>1932</v>
      </c>
      <c r="AO434" s="37" t="s">
        <v>490</v>
      </c>
    </row>
    <row r="435" spans="1:41" s="18" customFormat="1" ht="13.5" customHeight="1" x14ac:dyDescent="0.2">
      <c r="A435" s="18" t="s">
        <v>1837</v>
      </c>
      <c r="B435" s="1" t="s">
        <v>1161</v>
      </c>
      <c r="C435" s="1" t="s">
        <v>1494</v>
      </c>
      <c r="D435" s="1" t="s">
        <v>1605</v>
      </c>
      <c r="E435" s="18" t="s">
        <v>222</v>
      </c>
      <c r="G435" s="3" t="s">
        <v>1230</v>
      </c>
      <c r="H435" s="3"/>
      <c r="I435" s="3"/>
      <c r="J435" s="37" t="s">
        <v>1299</v>
      </c>
      <c r="K435" s="36" t="s">
        <v>977</v>
      </c>
      <c r="L435" s="81">
        <v>9.99</v>
      </c>
      <c r="M435" s="35">
        <v>1</v>
      </c>
      <c r="N435" s="1">
        <v>50</v>
      </c>
      <c r="O435" s="349"/>
      <c r="P435" s="1"/>
      <c r="Q435" s="1"/>
      <c r="R435" s="239"/>
      <c r="S435" s="33">
        <v>0.21</v>
      </c>
      <c r="T435" s="33">
        <v>9</v>
      </c>
      <c r="U435" s="33">
        <v>1.75</v>
      </c>
      <c r="V435" s="70">
        <v>1.0625</v>
      </c>
      <c r="W435" s="89" t="s">
        <v>259</v>
      </c>
      <c r="X435" s="89" t="s">
        <v>259</v>
      </c>
      <c r="Y435" s="89" t="s">
        <v>259</v>
      </c>
      <c r="Z435" s="249" t="s">
        <v>259</v>
      </c>
      <c r="AA435" s="33">
        <v>12</v>
      </c>
      <c r="AB435" s="33">
        <v>13</v>
      </c>
      <c r="AC435" s="33">
        <v>12</v>
      </c>
      <c r="AD435" s="70">
        <v>10</v>
      </c>
      <c r="AE435" s="33">
        <f t="shared" si="26"/>
        <v>0.90277777777777779</v>
      </c>
      <c r="AF435" s="85" t="s">
        <v>1307</v>
      </c>
      <c r="AG435" s="84" t="s">
        <v>1436</v>
      </c>
      <c r="AH435" s="85" t="s">
        <v>1310</v>
      </c>
      <c r="AI435" s="37" t="s">
        <v>1437</v>
      </c>
      <c r="AJ435" s="18" t="s">
        <v>1389</v>
      </c>
      <c r="AK435" s="85" t="s">
        <v>1390</v>
      </c>
      <c r="AN435" s="18" t="s">
        <v>1932</v>
      </c>
      <c r="AO435" s="37" t="s">
        <v>490</v>
      </c>
    </row>
    <row r="436" spans="1:41" s="18" customFormat="1" ht="13.5" customHeight="1" x14ac:dyDescent="0.2">
      <c r="A436" s="18" t="s">
        <v>1837</v>
      </c>
      <c r="B436" s="1" t="s">
        <v>1162</v>
      </c>
      <c r="C436" s="1" t="s">
        <v>1550</v>
      </c>
      <c r="D436" s="1" t="s">
        <v>1606</v>
      </c>
      <c r="E436" s="18" t="s">
        <v>217</v>
      </c>
      <c r="G436" s="3" t="s">
        <v>1231</v>
      </c>
      <c r="H436" s="3"/>
      <c r="I436" s="3"/>
      <c r="J436" s="37" t="s">
        <v>1299</v>
      </c>
      <c r="K436" s="36" t="s">
        <v>977</v>
      </c>
      <c r="L436" s="81">
        <v>11.99</v>
      </c>
      <c r="M436" s="35">
        <v>1</v>
      </c>
      <c r="N436" s="1">
        <v>20</v>
      </c>
      <c r="O436" s="349"/>
      <c r="P436" s="1"/>
      <c r="Q436" s="1"/>
      <c r="R436" s="239"/>
      <c r="S436" s="33">
        <v>0.21</v>
      </c>
      <c r="T436" s="33">
        <v>9</v>
      </c>
      <c r="U436" s="33">
        <v>1.75</v>
      </c>
      <c r="V436" s="70">
        <v>1.1499999999999999</v>
      </c>
      <c r="W436" s="89" t="s">
        <v>259</v>
      </c>
      <c r="X436" s="89" t="s">
        <v>259</v>
      </c>
      <c r="Y436" s="89" t="s">
        <v>259</v>
      </c>
      <c r="Z436" s="249" t="s">
        <v>259</v>
      </c>
      <c r="AA436" s="33">
        <v>4.75</v>
      </c>
      <c r="AB436" s="33">
        <v>9.75</v>
      </c>
      <c r="AC436" s="33">
        <v>5</v>
      </c>
      <c r="AD436" s="70">
        <v>10.25</v>
      </c>
      <c r="AE436" s="33">
        <f t="shared" si="26"/>
        <v>0.28917100694444442</v>
      </c>
      <c r="AF436" s="85" t="s">
        <v>1311</v>
      </c>
      <c r="AG436" s="84" t="s">
        <v>1436</v>
      </c>
      <c r="AH436" s="85" t="s">
        <v>1310</v>
      </c>
      <c r="AI436" s="37" t="s">
        <v>1437</v>
      </c>
      <c r="AJ436" s="18" t="s">
        <v>1389</v>
      </c>
      <c r="AK436" s="306" t="s">
        <v>1390</v>
      </c>
      <c r="AN436" s="18" t="s">
        <v>1932</v>
      </c>
      <c r="AO436" s="37" t="s">
        <v>490</v>
      </c>
    </row>
    <row r="437" spans="1:41" s="18" customFormat="1" ht="13.5" customHeight="1" x14ac:dyDescent="0.2">
      <c r="A437" s="18" t="s">
        <v>1837</v>
      </c>
      <c r="B437" s="1" t="s">
        <v>1913</v>
      </c>
      <c r="C437" s="1" t="s">
        <v>1550</v>
      </c>
      <c r="D437" s="1" t="s">
        <v>1915</v>
      </c>
      <c r="E437" s="18" t="s">
        <v>1916</v>
      </c>
      <c r="G437" s="3" t="s">
        <v>1914</v>
      </c>
      <c r="H437" s="3"/>
      <c r="I437" s="3"/>
      <c r="J437" s="37" t="s">
        <v>1299</v>
      </c>
      <c r="K437" s="36" t="s">
        <v>977</v>
      </c>
      <c r="L437" s="81">
        <v>34.99</v>
      </c>
      <c r="M437" s="35">
        <v>1</v>
      </c>
      <c r="N437" s="1">
        <v>10</v>
      </c>
      <c r="O437" s="349"/>
      <c r="P437" s="1"/>
      <c r="Q437" s="1"/>
      <c r="R437" s="239"/>
      <c r="S437" s="33">
        <v>0.35</v>
      </c>
      <c r="T437" s="33">
        <v>11.6</v>
      </c>
      <c r="U437" s="33">
        <v>2</v>
      </c>
      <c r="V437" s="70">
        <v>1.25</v>
      </c>
      <c r="W437" s="89" t="s">
        <v>259</v>
      </c>
      <c r="X437" s="89" t="s">
        <v>259</v>
      </c>
      <c r="Y437" s="89" t="s">
        <v>259</v>
      </c>
      <c r="Z437" s="249" t="s">
        <v>259</v>
      </c>
      <c r="AA437" s="33">
        <v>3.75</v>
      </c>
      <c r="AB437" s="33">
        <v>15</v>
      </c>
      <c r="AC437" s="33">
        <v>5.25</v>
      </c>
      <c r="AD437" s="70">
        <v>3.75</v>
      </c>
      <c r="AE437" s="33">
        <f t="shared" si="26"/>
        <v>0.1708984375</v>
      </c>
      <c r="AF437" s="85" t="s">
        <v>1311</v>
      </c>
      <c r="AG437" s="84" t="s">
        <v>1435</v>
      </c>
      <c r="AH437" s="85" t="s">
        <v>1918</v>
      </c>
      <c r="AI437" s="37" t="s">
        <v>1437</v>
      </c>
      <c r="AK437" s="85" t="s">
        <v>1917</v>
      </c>
      <c r="AN437" s="18" t="s">
        <v>1932</v>
      </c>
      <c r="AO437" s="37" t="s">
        <v>490</v>
      </c>
    </row>
    <row r="438" spans="1:41" s="18" customFormat="1" ht="13.5" customHeight="1" x14ac:dyDescent="0.2">
      <c r="A438" s="18" t="s">
        <v>1837</v>
      </c>
      <c r="B438" s="1" t="s">
        <v>1167</v>
      </c>
      <c r="C438" s="1" t="s">
        <v>2722</v>
      </c>
      <c r="D438" s="1" t="s">
        <v>1608</v>
      </c>
      <c r="E438" s="18" t="s">
        <v>1077</v>
      </c>
      <c r="G438" s="3" t="s">
        <v>1237</v>
      </c>
      <c r="H438" s="3"/>
      <c r="I438" s="3"/>
      <c r="J438" s="37" t="s">
        <v>1299</v>
      </c>
      <c r="K438" s="36" t="s">
        <v>977</v>
      </c>
      <c r="L438" s="81">
        <v>19.989999999999998</v>
      </c>
      <c r="M438" s="35">
        <v>1</v>
      </c>
      <c r="N438" s="1">
        <v>15</v>
      </c>
      <c r="O438" s="349"/>
      <c r="P438" s="1"/>
      <c r="Q438" s="1"/>
      <c r="R438" s="239"/>
      <c r="S438" s="33">
        <v>0.26</v>
      </c>
      <c r="T438" s="33">
        <v>9.1</v>
      </c>
      <c r="U438" s="33">
        <v>1.9</v>
      </c>
      <c r="V438" s="70">
        <v>1.75</v>
      </c>
      <c r="W438" s="89" t="s">
        <v>259</v>
      </c>
      <c r="X438" s="89" t="s">
        <v>259</v>
      </c>
      <c r="Y438" s="89" t="s">
        <v>259</v>
      </c>
      <c r="Z438" s="249" t="s">
        <v>259</v>
      </c>
      <c r="AA438" s="33">
        <v>4.4000000000000004</v>
      </c>
      <c r="AB438" s="33">
        <v>9.75</v>
      </c>
      <c r="AC438" s="33">
        <v>5</v>
      </c>
      <c r="AD438" s="70">
        <v>10.25</v>
      </c>
      <c r="AE438" s="33">
        <f t="shared" si="26"/>
        <v>0.28917100694444442</v>
      </c>
      <c r="AF438" s="85" t="s">
        <v>1311</v>
      </c>
      <c r="AG438" s="18" t="s">
        <v>1317</v>
      </c>
      <c r="AH438" s="85" t="s">
        <v>1310</v>
      </c>
      <c r="AI438" s="37" t="s">
        <v>1336</v>
      </c>
      <c r="AJ438" s="85" t="s">
        <v>1344</v>
      </c>
      <c r="AK438" s="85" t="s">
        <v>1318</v>
      </c>
      <c r="AN438" s="18" t="s">
        <v>1932</v>
      </c>
      <c r="AO438" s="37" t="s">
        <v>490</v>
      </c>
    </row>
    <row r="439" spans="1:41" s="18" customFormat="1" ht="13.5" customHeight="1" x14ac:dyDescent="0.2">
      <c r="A439" s="18" t="s">
        <v>1837</v>
      </c>
      <c r="B439" s="1" t="s">
        <v>1168</v>
      </c>
      <c r="C439" s="1" t="s">
        <v>1295</v>
      </c>
      <c r="D439" s="1" t="s">
        <v>1608</v>
      </c>
      <c r="E439" s="18" t="s">
        <v>1077</v>
      </c>
      <c r="G439" s="3" t="s">
        <v>1238</v>
      </c>
      <c r="H439" s="3"/>
      <c r="I439" s="3"/>
      <c r="J439" s="37" t="s">
        <v>1299</v>
      </c>
      <c r="K439" s="36" t="s">
        <v>977</v>
      </c>
      <c r="L439" s="81">
        <v>19.989999999999998</v>
      </c>
      <c r="M439" s="35">
        <v>1</v>
      </c>
      <c r="N439" s="1">
        <v>15</v>
      </c>
      <c r="O439" s="349"/>
      <c r="P439" s="1"/>
      <c r="Q439" s="1"/>
      <c r="R439" s="239"/>
      <c r="S439" s="33">
        <v>0.26</v>
      </c>
      <c r="T439" s="33">
        <v>9.1</v>
      </c>
      <c r="U439" s="33">
        <v>1.9</v>
      </c>
      <c r="V439" s="70">
        <v>1.4</v>
      </c>
      <c r="W439" s="89" t="s">
        <v>259</v>
      </c>
      <c r="X439" s="89" t="s">
        <v>259</v>
      </c>
      <c r="Y439" s="89" t="s">
        <v>259</v>
      </c>
      <c r="Z439" s="249" t="s">
        <v>259</v>
      </c>
      <c r="AA439" s="33">
        <v>4.4000000000000004</v>
      </c>
      <c r="AB439" s="33">
        <v>9.75</v>
      </c>
      <c r="AC439" s="33">
        <v>5</v>
      </c>
      <c r="AD439" s="70">
        <v>10.25</v>
      </c>
      <c r="AE439" s="33">
        <f t="shared" si="26"/>
        <v>0.28917100694444442</v>
      </c>
      <c r="AF439" s="85" t="s">
        <v>1311</v>
      </c>
      <c r="AG439" s="18" t="s">
        <v>1317</v>
      </c>
      <c r="AH439" s="85" t="s">
        <v>1310</v>
      </c>
      <c r="AI439" s="37" t="s">
        <v>1336</v>
      </c>
      <c r="AJ439" s="85" t="s">
        <v>1344</v>
      </c>
      <c r="AK439" s="85" t="s">
        <v>1318</v>
      </c>
      <c r="AN439" s="18" t="s">
        <v>1932</v>
      </c>
      <c r="AO439" s="37" t="s">
        <v>490</v>
      </c>
    </row>
    <row r="440" spans="1:41" s="18" customFormat="1" ht="13.5" customHeight="1" x14ac:dyDescent="0.2">
      <c r="A440" s="18" t="s">
        <v>1837</v>
      </c>
      <c r="B440" s="1" t="s">
        <v>1170</v>
      </c>
      <c r="C440" s="1" t="s">
        <v>1295</v>
      </c>
      <c r="D440" s="1" t="s">
        <v>1610</v>
      </c>
      <c r="E440" s="18" t="s">
        <v>1077</v>
      </c>
      <c r="G440" s="3" t="s">
        <v>1240</v>
      </c>
      <c r="H440" s="3"/>
      <c r="I440" s="3"/>
      <c r="J440" s="37" t="s">
        <v>1299</v>
      </c>
      <c r="K440" s="36" t="s">
        <v>977</v>
      </c>
      <c r="L440" s="81">
        <v>22.99</v>
      </c>
      <c r="M440" s="35">
        <v>1</v>
      </c>
      <c r="N440" s="1">
        <v>15</v>
      </c>
      <c r="O440" s="349"/>
      <c r="P440" s="1"/>
      <c r="Q440" s="1"/>
      <c r="R440" s="239"/>
      <c r="S440" s="33">
        <v>0.21</v>
      </c>
      <c r="T440" s="33">
        <v>9.1</v>
      </c>
      <c r="U440" s="33">
        <v>1.9</v>
      </c>
      <c r="V440" s="70">
        <v>1.4</v>
      </c>
      <c r="W440" s="89" t="s">
        <v>259</v>
      </c>
      <c r="X440" s="89" t="s">
        <v>259</v>
      </c>
      <c r="Y440" s="89" t="s">
        <v>259</v>
      </c>
      <c r="Z440" s="249" t="s">
        <v>259</v>
      </c>
      <c r="AA440" s="33">
        <v>3.62</v>
      </c>
      <c r="AB440" s="33">
        <v>9.75</v>
      </c>
      <c r="AC440" s="33">
        <v>5</v>
      </c>
      <c r="AD440" s="70">
        <v>10.25</v>
      </c>
      <c r="AE440" s="33">
        <f t="shared" si="26"/>
        <v>0.28917100694444442</v>
      </c>
      <c r="AF440" s="85" t="s">
        <v>1322</v>
      </c>
      <c r="AG440" s="18" t="s">
        <v>1317</v>
      </c>
      <c r="AH440" s="85" t="s">
        <v>1310</v>
      </c>
      <c r="AI440" s="37" t="s">
        <v>1338</v>
      </c>
      <c r="AJ440" s="85" t="s">
        <v>1346</v>
      </c>
      <c r="AK440" s="85" t="s">
        <v>1328</v>
      </c>
      <c r="AN440" s="18" t="s">
        <v>1932</v>
      </c>
      <c r="AO440" s="37" t="s">
        <v>490</v>
      </c>
    </row>
    <row r="441" spans="1:41" s="18" customFormat="1" ht="13.5" customHeight="1" x14ac:dyDescent="0.2">
      <c r="A441" s="18" t="s">
        <v>1837</v>
      </c>
      <c r="B441" s="1" t="s">
        <v>1172</v>
      </c>
      <c r="C441" s="1" t="s">
        <v>1296</v>
      </c>
      <c r="D441" s="1" t="s">
        <v>1612</v>
      </c>
      <c r="E441" s="18" t="s">
        <v>1325</v>
      </c>
      <c r="G441" s="3" t="s">
        <v>1242</v>
      </c>
      <c r="H441" s="3"/>
      <c r="I441" s="3"/>
      <c r="J441" s="37" t="s">
        <v>1299</v>
      </c>
      <c r="K441" s="36" t="s">
        <v>977</v>
      </c>
      <c r="L441" s="81">
        <v>22.99</v>
      </c>
      <c r="M441" s="35">
        <v>1</v>
      </c>
      <c r="N441" s="1">
        <v>15</v>
      </c>
      <c r="O441" s="349"/>
      <c r="P441" s="1"/>
      <c r="Q441" s="1"/>
      <c r="R441" s="239"/>
      <c r="S441" s="33">
        <v>0.26</v>
      </c>
      <c r="T441" s="33">
        <v>9.1</v>
      </c>
      <c r="U441" s="33">
        <v>1.75</v>
      </c>
      <c r="V441" s="70">
        <v>1.4</v>
      </c>
      <c r="W441" s="89" t="s">
        <v>259</v>
      </c>
      <c r="X441" s="89" t="s">
        <v>259</v>
      </c>
      <c r="Y441" s="89" t="s">
        <v>259</v>
      </c>
      <c r="Z441" s="249" t="s">
        <v>259</v>
      </c>
      <c r="AA441" s="33">
        <v>4.4000000000000004</v>
      </c>
      <c r="AB441" s="33">
        <v>9.75</v>
      </c>
      <c r="AC441" s="33">
        <v>5</v>
      </c>
      <c r="AD441" s="70">
        <v>10.25</v>
      </c>
      <c r="AE441" s="33">
        <f t="shared" si="26"/>
        <v>0.28917100694444442</v>
      </c>
      <c r="AF441" s="85" t="s">
        <v>1311</v>
      </c>
      <c r="AG441" s="18" t="s">
        <v>1317</v>
      </c>
      <c r="AH441" s="85" t="s">
        <v>1310</v>
      </c>
      <c r="AI441" s="37" t="s">
        <v>1340</v>
      </c>
      <c r="AJ441" s="85" t="s">
        <v>1344</v>
      </c>
      <c r="AK441" s="85" t="s">
        <v>1320</v>
      </c>
      <c r="AN441" s="18" t="s">
        <v>1932</v>
      </c>
      <c r="AO441" s="37" t="s">
        <v>490</v>
      </c>
    </row>
    <row r="442" spans="1:41" s="18" customFormat="1" ht="13.5" customHeight="1" x14ac:dyDescent="0.2">
      <c r="A442" s="18" t="s">
        <v>1837</v>
      </c>
      <c r="B442" s="1" t="s">
        <v>1174</v>
      </c>
      <c r="C442" s="1" t="s">
        <v>1494</v>
      </c>
      <c r="D442" s="1" t="s">
        <v>1614</v>
      </c>
      <c r="E442" s="18" t="s">
        <v>1332</v>
      </c>
      <c r="G442" s="3" t="s">
        <v>1463</v>
      </c>
      <c r="H442" s="3"/>
      <c r="I442" s="3"/>
      <c r="J442" s="37" t="s">
        <v>1299</v>
      </c>
      <c r="K442" s="36" t="s">
        <v>977</v>
      </c>
      <c r="L442" s="82">
        <v>19.989999999999998</v>
      </c>
      <c r="M442" s="35">
        <v>1</v>
      </c>
      <c r="N442" s="35">
        <v>15</v>
      </c>
      <c r="O442" s="345"/>
      <c r="P442" s="35"/>
      <c r="Q442" s="35"/>
      <c r="R442" s="187"/>
      <c r="S442" s="33">
        <v>0.3</v>
      </c>
      <c r="T442" s="33">
        <v>9.5</v>
      </c>
      <c r="U442" s="33">
        <v>1.75</v>
      </c>
      <c r="V442" s="70">
        <v>1.5</v>
      </c>
      <c r="W442" s="89" t="s">
        <v>259</v>
      </c>
      <c r="X442" s="89" t="s">
        <v>259</v>
      </c>
      <c r="Y442" s="89" t="s">
        <v>259</v>
      </c>
      <c r="Z442" s="249" t="s">
        <v>259</v>
      </c>
      <c r="AA442" s="33">
        <v>5.0199999999999996</v>
      </c>
      <c r="AB442" s="33">
        <v>9.8125</v>
      </c>
      <c r="AC442" s="33">
        <v>5.25</v>
      </c>
      <c r="AD442" s="70">
        <v>10.25</v>
      </c>
      <c r="AE442" s="33">
        <f t="shared" si="26"/>
        <v>0.3055759006076389</v>
      </c>
      <c r="AF442" s="85" t="s">
        <v>1307</v>
      </c>
      <c r="AG442" s="85" t="s">
        <v>1446</v>
      </c>
      <c r="AH442" s="85" t="s">
        <v>1334</v>
      </c>
      <c r="AI442" s="37" t="s">
        <v>1350</v>
      </c>
      <c r="AJ442" s="85" t="s">
        <v>1349</v>
      </c>
      <c r="AK442" s="85" t="s">
        <v>1333</v>
      </c>
      <c r="AN442" s="18" t="s">
        <v>1932</v>
      </c>
      <c r="AO442" s="37" t="s">
        <v>490</v>
      </c>
    </row>
    <row r="443" spans="1:41" s="18" customFormat="1" ht="13.5" customHeight="1" x14ac:dyDescent="0.2">
      <c r="A443" s="18" t="s">
        <v>1837</v>
      </c>
      <c r="B443" s="1" t="s">
        <v>1175</v>
      </c>
      <c r="C443" s="1" t="s">
        <v>2722</v>
      </c>
      <c r="D443" s="1" t="s">
        <v>1615</v>
      </c>
      <c r="E443" s="18" t="s">
        <v>1330</v>
      </c>
      <c r="G443" s="3" t="s">
        <v>1245</v>
      </c>
      <c r="H443" s="3"/>
      <c r="I443" s="3"/>
      <c r="J443" s="37" t="s">
        <v>1299</v>
      </c>
      <c r="K443" s="36" t="s">
        <v>977</v>
      </c>
      <c r="L443" s="82">
        <v>17.989999999999998</v>
      </c>
      <c r="M443" s="35">
        <v>1</v>
      </c>
      <c r="N443" s="35">
        <v>15</v>
      </c>
      <c r="O443" s="345"/>
      <c r="P443" s="35"/>
      <c r="Q443" s="35"/>
      <c r="R443" s="187"/>
      <c r="S443" s="33">
        <v>0.23</v>
      </c>
      <c r="T443" s="33">
        <v>9.25</v>
      </c>
      <c r="U443" s="33">
        <v>2</v>
      </c>
      <c r="V443" s="70">
        <v>1.6</v>
      </c>
      <c r="W443" s="89" t="s">
        <v>259</v>
      </c>
      <c r="X443" s="89" t="s">
        <v>259</v>
      </c>
      <c r="Y443" s="89" t="s">
        <v>259</v>
      </c>
      <c r="Z443" s="249" t="s">
        <v>259</v>
      </c>
      <c r="AA443" s="33">
        <v>4</v>
      </c>
      <c r="AB443" s="33">
        <v>9.75</v>
      </c>
      <c r="AC443" s="33">
        <v>5</v>
      </c>
      <c r="AD443" s="70">
        <v>10.25</v>
      </c>
      <c r="AE443" s="33">
        <f t="shared" si="26"/>
        <v>0.28917100694444442</v>
      </c>
      <c r="AF443" s="85" t="s">
        <v>1311</v>
      </c>
      <c r="AG443" s="85" t="s">
        <v>1446</v>
      </c>
      <c r="AH443" s="85" t="s">
        <v>1335</v>
      </c>
      <c r="AI443" s="37" t="s">
        <v>1350</v>
      </c>
      <c r="AJ443" s="85" t="s">
        <v>1351</v>
      </c>
      <c r="AK443" s="18" t="s">
        <v>1352</v>
      </c>
      <c r="AN443" s="18" t="s">
        <v>1932</v>
      </c>
      <c r="AO443" s="37" t="s">
        <v>490</v>
      </c>
    </row>
    <row r="444" spans="1:41" s="18" customFormat="1" ht="13.5" customHeight="1" x14ac:dyDescent="0.2">
      <c r="A444" s="18" t="s">
        <v>1837</v>
      </c>
      <c r="B444" s="1" t="s">
        <v>1177</v>
      </c>
      <c r="C444" s="1" t="s">
        <v>1494</v>
      </c>
      <c r="D444" s="1" t="s">
        <v>2534</v>
      </c>
      <c r="E444" s="18" t="s">
        <v>1331</v>
      </c>
      <c r="G444" s="3" t="s">
        <v>1247</v>
      </c>
      <c r="H444" s="3"/>
      <c r="I444" s="3"/>
      <c r="J444" s="37" t="s">
        <v>1299</v>
      </c>
      <c r="K444" s="36" t="s">
        <v>977</v>
      </c>
      <c r="L444" s="82">
        <v>19.989999999999998</v>
      </c>
      <c r="M444" s="35">
        <v>1</v>
      </c>
      <c r="N444" s="35">
        <v>15</v>
      </c>
      <c r="O444" s="345"/>
      <c r="P444" s="35"/>
      <c r="Q444" s="35"/>
      <c r="R444" s="187"/>
      <c r="S444" s="33">
        <v>0.26</v>
      </c>
      <c r="T444" s="33">
        <v>9.25</v>
      </c>
      <c r="U444" s="33">
        <v>1.4</v>
      </c>
      <c r="V444" s="70">
        <v>1.6</v>
      </c>
      <c r="W444" s="89" t="s">
        <v>259</v>
      </c>
      <c r="X444" s="89" t="s">
        <v>259</v>
      </c>
      <c r="Y444" s="89" t="s">
        <v>259</v>
      </c>
      <c r="Z444" s="249" t="s">
        <v>259</v>
      </c>
      <c r="AA444" s="33">
        <v>4.5</v>
      </c>
      <c r="AB444" s="33">
        <v>9.75</v>
      </c>
      <c r="AC444" s="33">
        <v>5</v>
      </c>
      <c r="AD444" s="70">
        <v>10.25</v>
      </c>
      <c r="AE444" s="33">
        <f t="shared" si="26"/>
        <v>0.28917100694444442</v>
      </c>
      <c r="AF444" s="85" t="s">
        <v>1307</v>
      </c>
      <c r="AG444" s="85" t="s">
        <v>1446</v>
      </c>
      <c r="AH444" s="85" t="s">
        <v>1324</v>
      </c>
      <c r="AI444" s="37" t="s">
        <v>1341</v>
      </c>
      <c r="AJ444" s="85" t="s">
        <v>1356</v>
      </c>
      <c r="AK444" s="85" t="s">
        <v>1355</v>
      </c>
      <c r="AN444" s="18" t="s">
        <v>1932</v>
      </c>
      <c r="AO444" s="37" t="s">
        <v>490</v>
      </c>
    </row>
    <row r="445" spans="1:41" s="18" customFormat="1" ht="13.5" customHeight="1" x14ac:dyDescent="0.2">
      <c r="A445" s="18" t="s">
        <v>1837</v>
      </c>
      <c r="B445" s="1" t="s">
        <v>1178</v>
      </c>
      <c r="C445" s="1" t="s">
        <v>1494</v>
      </c>
      <c r="D445" s="1" t="s">
        <v>1615</v>
      </c>
      <c r="E445" s="18" t="s">
        <v>217</v>
      </c>
      <c r="G445" s="3" t="s">
        <v>1248</v>
      </c>
      <c r="H445" s="3"/>
      <c r="I445" s="3"/>
      <c r="J445" s="37" t="s">
        <v>1299</v>
      </c>
      <c r="K445" s="36" t="s">
        <v>977</v>
      </c>
      <c r="L445" s="82">
        <v>17.989999999999998</v>
      </c>
      <c r="M445" s="35">
        <v>1</v>
      </c>
      <c r="N445" s="35">
        <v>15</v>
      </c>
      <c r="O445" s="345"/>
      <c r="P445" s="35"/>
      <c r="Q445" s="35"/>
      <c r="R445" s="187"/>
      <c r="S445" s="33">
        <v>0.23</v>
      </c>
      <c r="T445" s="33">
        <v>9.25</v>
      </c>
      <c r="U445" s="33">
        <v>2</v>
      </c>
      <c r="V445" s="70">
        <v>1.6</v>
      </c>
      <c r="W445" s="89" t="s">
        <v>259</v>
      </c>
      <c r="X445" s="89" t="s">
        <v>259</v>
      </c>
      <c r="Y445" s="89" t="s">
        <v>259</v>
      </c>
      <c r="Z445" s="249" t="s">
        <v>259</v>
      </c>
      <c r="AA445" s="33">
        <v>4</v>
      </c>
      <c r="AB445" s="33">
        <v>9.75</v>
      </c>
      <c r="AC445" s="33">
        <v>5</v>
      </c>
      <c r="AD445" s="70">
        <v>10.25</v>
      </c>
      <c r="AE445" s="33">
        <f t="shared" si="26"/>
        <v>0.28917100694444442</v>
      </c>
      <c r="AF445" s="85" t="s">
        <v>1307</v>
      </c>
      <c r="AG445" s="85" t="s">
        <v>1360</v>
      </c>
      <c r="AH445" s="85" t="s">
        <v>1335</v>
      </c>
      <c r="AI445" s="37" t="s">
        <v>1336</v>
      </c>
      <c r="AJ445" s="85" t="s">
        <v>1358</v>
      </c>
      <c r="AK445" s="85" t="s">
        <v>1357</v>
      </c>
      <c r="AN445" s="18" t="s">
        <v>1932</v>
      </c>
      <c r="AO445" s="37" t="s">
        <v>490</v>
      </c>
    </row>
    <row r="446" spans="1:41" s="18" customFormat="1" x14ac:dyDescent="0.2">
      <c r="A446" s="18" t="s">
        <v>1837</v>
      </c>
      <c r="B446" s="33" t="s">
        <v>1808</v>
      </c>
      <c r="C446" s="1" t="s">
        <v>2722</v>
      </c>
      <c r="D446" s="34" t="s">
        <v>2533</v>
      </c>
      <c r="E446" s="18" t="s">
        <v>1835</v>
      </c>
      <c r="G446" s="223" t="s">
        <v>1910</v>
      </c>
      <c r="H446" s="223"/>
      <c r="I446" s="223"/>
      <c r="J446" s="37" t="s">
        <v>1299</v>
      </c>
      <c r="K446" s="36" t="s">
        <v>977</v>
      </c>
      <c r="L446" s="5">
        <v>19.989999999999998</v>
      </c>
      <c r="M446" s="35">
        <v>1</v>
      </c>
      <c r="N446" s="35">
        <v>15</v>
      </c>
      <c r="O446" s="345"/>
      <c r="P446" s="35"/>
      <c r="Q446" s="35"/>
      <c r="R446" s="187"/>
      <c r="S446" s="33">
        <v>0.23</v>
      </c>
      <c r="T446" s="33">
        <v>9.25</v>
      </c>
      <c r="U446" s="33">
        <v>2</v>
      </c>
      <c r="V446" s="70">
        <v>1.6</v>
      </c>
      <c r="W446" s="89" t="s">
        <v>259</v>
      </c>
      <c r="X446" s="89" t="s">
        <v>259</v>
      </c>
      <c r="Y446" s="89" t="s">
        <v>259</v>
      </c>
      <c r="Z446" s="249" t="s">
        <v>259</v>
      </c>
      <c r="AA446" s="33">
        <v>4</v>
      </c>
      <c r="AB446" s="33">
        <v>9.75</v>
      </c>
      <c r="AC446" s="33">
        <v>5</v>
      </c>
      <c r="AD446" s="70">
        <v>10.25</v>
      </c>
      <c r="AE446" s="33">
        <f t="shared" si="26"/>
        <v>0.28917100694444442</v>
      </c>
      <c r="AN446" s="18" t="s">
        <v>1932</v>
      </c>
    </row>
    <row r="447" spans="1:41" s="18" customFormat="1" ht="13.5" customHeight="1" x14ac:dyDescent="0.2">
      <c r="A447" s="18" t="s">
        <v>1837</v>
      </c>
      <c r="B447" s="1" t="s">
        <v>1179</v>
      </c>
      <c r="C447" s="1" t="s">
        <v>1295</v>
      </c>
      <c r="D447" s="1" t="s">
        <v>1617</v>
      </c>
      <c r="E447" s="18" t="s">
        <v>222</v>
      </c>
      <c r="G447" s="3" t="s">
        <v>1249</v>
      </c>
      <c r="H447" s="3"/>
      <c r="I447" s="3"/>
      <c r="J447" s="37" t="s">
        <v>1299</v>
      </c>
      <c r="K447" s="36" t="s">
        <v>977</v>
      </c>
      <c r="L447" s="81">
        <v>39.99</v>
      </c>
      <c r="M447" s="35">
        <v>1</v>
      </c>
      <c r="N447" s="1">
        <v>10</v>
      </c>
      <c r="O447" s="349"/>
      <c r="P447" s="1"/>
      <c r="Q447" s="1"/>
      <c r="R447" s="239"/>
      <c r="S447" s="33">
        <v>0.45</v>
      </c>
      <c r="T447" s="33">
        <v>19.5</v>
      </c>
      <c r="U447" s="33">
        <v>1.75</v>
      </c>
      <c r="V447" s="70">
        <v>0.75</v>
      </c>
      <c r="W447" s="89" t="s">
        <v>259</v>
      </c>
      <c r="X447" s="89" t="s">
        <v>259</v>
      </c>
      <c r="Y447" s="89" t="s">
        <v>259</v>
      </c>
      <c r="Z447" s="249" t="s">
        <v>259</v>
      </c>
      <c r="AA447" s="33">
        <v>5</v>
      </c>
      <c r="AB447" s="33">
        <v>21</v>
      </c>
      <c r="AC447" s="33">
        <v>6</v>
      </c>
      <c r="AD447" s="70">
        <v>2.5</v>
      </c>
      <c r="AE447" s="33">
        <f t="shared" ref="AE447:AE452" si="27">AB447*AC447*AD447/(12^3)</f>
        <v>0.18229166666666666</v>
      </c>
      <c r="AF447" s="85" t="s">
        <v>1311</v>
      </c>
      <c r="AG447" s="18" t="s">
        <v>1360</v>
      </c>
      <c r="AH447" s="85" t="s">
        <v>1439</v>
      </c>
      <c r="AI447" s="307" t="s">
        <v>1440</v>
      </c>
      <c r="AJ447" s="86" t="s">
        <v>1359</v>
      </c>
      <c r="AK447" s="86" t="s">
        <v>1443</v>
      </c>
      <c r="AN447" s="18" t="s">
        <v>1932</v>
      </c>
      <c r="AO447" s="37" t="s">
        <v>490</v>
      </c>
    </row>
    <row r="448" spans="1:41" s="18" customFormat="1" ht="13.5" customHeight="1" x14ac:dyDescent="0.2">
      <c r="A448" s="18" t="s">
        <v>1837</v>
      </c>
      <c r="B448" s="1" t="s">
        <v>1227</v>
      </c>
      <c r="C448" s="1" t="s">
        <v>1550</v>
      </c>
      <c r="D448" s="2" t="s">
        <v>1629</v>
      </c>
      <c r="E448" s="18" t="s">
        <v>1303</v>
      </c>
      <c r="F448" s="18" t="s">
        <v>2522</v>
      </c>
      <c r="G448" s="3" t="s">
        <v>1292</v>
      </c>
      <c r="J448" s="37" t="s">
        <v>1299</v>
      </c>
      <c r="K448" s="36" t="s">
        <v>977</v>
      </c>
      <c r="L448" s="83">
        <v>22.99</v>
      </c>
      <c r="M448" s="35">
        <v>1</v>
      </c>
      <c r="N448" s="239">
        <v>15</v>
      </c>
      <c r="O448" s="33"/>
      <c r="P448" s="33"/>
      <c r="Q448" s="33">
        <v>3.8582677165354329</v>
      </c>
      <c r="R448" s="70">
        <v>2</v>
      </c>
      <c r="S448" s="33">
        <v>0.2</v>
      </c>
      <c r="T448" s="33">
        <v>9.1</v>
      </c>
      <c r="U448" s="33">
        <v>1.9</v>
      </c>
      <c r="V448" s="70">
        <v>1.4</v>
      </c>
      <c r="W448" s="89" t="s">
        <v>259</v>
      </c>
      <c r="X448" s="89" t="s">
        <v>259</v>
      </c>
      <c r="Y448" s="89" t="s">
        <v>259</v>
      </c>
      <c r="Z448" s="249" t="s">
        <v>259</v>
      </c>
      <c r="AA448" s="33">
        <v>3.85</v>
      </c>
      <c r="AB448" s="33">
        <v>9.75</v>
      </c>
      <c r="AC448" s="33">
        <v>5</v>
      </c>
      <c r="AD448" s="70">
        <v>10.25</v>
      </c>
      <c r="AE448" s="33">
        <f t="shared" si="27"/>
        <v>0.28917100694444442</v>
      </c>
      <c r="AF448" s="85" t="s">
        <v>1425</v>
      </c>
      <c r="AG448" s="84" t="s">
        <v>1301</v>
      </c>
      <c r="AH448" s="85" t="s">
        <v>1302</v>
      </c>
      <c r="AI448" s="37" t="s">
        <v>1424</v>
      </c>
      <c r="AJ448" s="85" t="s">
        <v>1413</v>
      </c>
      <c r="AK448" s="85" t="s">
        <v>1426</v>
      </c>
      <c r="AL448" s="18" t="s">
        <v>1932</v>
      </c>
      <c r="AM448" s="37" t="s">
        <v>490</v>
      </c>
    </row>
    <row r="449" spans="1:42" s="18" customFormat="1" ht="13.5" customHeight="1" x14ac:dyDescent="0.2">
      <c r="A449" s="18" t="s">
        <v>1837</v>
      </c>
      <c r="B449" s="1" t="s">
        <v>1169</v>
      </c>
      <c r="C449" s="1" t="s">
        <v>1295</v>
      </c>
      <c r="D449" s="1" t="s">
        <v>1609</v>
      </c>
      <c r="E449" s="18" t="s">
        <v>1323</v>
      </c>
      <c r="F449" s="18" t="s">
        <v>2522</v>
      </c>
      <c r="G449" s="3" t="s">
        <v>1239</v>
      </c>
      <c r="J449" s="37" t="s">
        <v>1299</v>
      </c>
      <c r="K449" s="36" t="s">
        <v>977</v>
      </c>
      <c r="L449" s="81">
        <v>22.99</v>
      </c>
      <c r="M449" s="35">
        <v>1</v>
      </c>
      <c r="N449" s="239">
        <v>15</v>
      </c>
      <c r="O449" s="44"/>
      <c r="P449" s="33"/>
      <c r="Q449" s="33"/>
      <c r="R449" s="249" t="s">
        <v>2654</v>
      </c>
      <c r="S449" s="44">
        <v>0.2</v>
      </c>
      <c r="T449" s="33">
        <v>7.5</v>
      </c>
      <c r="U449" s="33">
        <v>1.75</v>
      </c>
      <c r="V449" s="70">
        <v>1.4</v>
      </c>
      <c r="W449" s="90" t="s">
        <v>259</v>
      </c>
      <c r="X449" s="89" t="s">
        <v>259</v>
      </c>
      <c r="Y449" s="89" t="s">
        <v>259</v>
      </c>
      <c r="Z449" s="249" t="s">
        <v>259</v>
      </c>
      <c r="AA449" s="44">
        <v>3.5</v>
      </c>
      <c r="AB449" s="33">
        <v>9.75</v>
      </c>
      <c r="AC449" s="33">
        <v>5</v>
      </c>
      <c r="AD449" s="70">
        <v>10.25</v>
      </c>
      <c r="AE449" s="44">
        <f t="shared" si="27"/>
        <v>0.28917100694444442</v>
      </c>
      <c r="AF449" s="85" t="s">
        <v>1311</v>
      </c>
      <c r="AG449" s="18" t="s">
        <v>1317</v>
      </c>
      <c r="AH449" s="85" t="s">
        <v>1310</v>
      </c>
      <c r="AI449" s="37" t="s">
        <v>1337</v>
      </c>
      <c r="AJ449" s="85" t="s">
        <v>1345</v>
      </c>
      <c r="AK449" s="85" t="s">
        <v>1327</v>
      </c>
      <c r="AL449" s="18" t="s">
        <v>1932</v>
      </c>
      <c r="AM449" s="37" t="s">
        <v>490</v>
      </c>
    </row>
    <row r="450" spans="1:42" s="18" customFormat="1" ht="13.5" customHeight="1" x14ac:dyDescent="0.2">
      <c r="A450" s="18" t="s">
        <v>1837</v>
      </c>
      <c r="B450" s="37" t="s">
        <v>1870</v>
      </c>
      <c r="C450" s="1" t="s">
        <v>1550</v>
      </c>
      <c r="D450" s="1" t="s">
        <v>1897</v>
      </c>
      <c r="E450" s="18" t="s">
        <v>484</v>
      </c>
      <c r="F450" s="18" t="s">
        <v>2520</v>
      </c>
      <c r="G450" s="66">
        <v>7391846015413</v>
      </c>
      <c r="J450" s="37" t="s">
        <v>1299</v>
      </c>
      <c r="K450" s="36" t="s">
        <v>977</v>
      </c>
      <c r="L450" s="82">
        <v>84.99</v>
      </c>
      <c r="M450" s="35">
        <v>1</v>
      </c>
      <c r="N450" s="239">
        <v>10</v>
      </c>
      <c r="O450" s="44">
        <f>CONVERT(0.163,"kg","lbm")</f>
        <v>0.35935348736135048</v>
      </c>
      <c r="P450" s="441">
        <f>CONVERT(232,"mm","in")</f>
        <v>9.133858267716537</v>
      </c>
      <c r="Q450" s="441">
        <f>CONVERT(109,"mm","in")</f>
        <v>4.2913385826771657</v>
      </c>
      <c r="R450" s="442">
        <v>3.2</v>
      </c>
      <c r="S450" s="44">
        <v>0.36</v>
      </c>
      <c r="T450" s="33">
        <v>9.4</v>
      </c>
      <c r="U450" s="33">
        <v>1.9</v>
      </c>
      <c r="V450" s="70">
        <v>1.6</v>
      </c>
      <c r="W450" s="90" t="s">
        <v>259</v>
      </c>
      <c r="X450" s="89" t="s">
        <v>259</v>
      </c>
      <c r="Y450" s="89" t="s">
        <v>259</v>
      </c>
      <c r="Z450" s="249" t="s">
        <v>259</v>
      </c>
      <c r="AA450" s="44">
        <v>5.85</v>
      </c>
      <c r="AB450" s="33">
        <v>9.75</v>
      </c>
      <c r="AC450" s="33">
        <v>5</v>
      </c>
      <c r="AD450" s="70">
        <v>10.25</v>
      </c>
      <c r="AE450" s="44">
        <f t="shared" si="27"/>
        <v>0.28917100694444442</v>
      </c>
      <c r="AF450" s="85" t="s">
        <v>3497</v>
      </c>
      <c r="AG450" s="85" t="s">
        <v>3496</v>
      </c>
      <c r="AH450" s="85" t="s">
        <v>3492</v>
      </c>
      <c r="AI450" s="85" t="s">
        <v>3490</v>
      </c>
      <c r="AJ450" s="85" t="s">
        <v>3498</v>
      </c>
      <c r="AK450" s="85"/>
      <c r="AL450" s="85"/>
      <c r="AM450" s="85"/>
      <c r="AN450" s="37" t="s">
        <v>3499</v>
      </c>
      <c r="AO450" s="18" t="s">
        <v>2909</v>
      </c>
      <c r="AP450" s="18" t="s">
        <v>1932</v>
      </c>
    </row>
    <row r="451" spans="1:42" s="18" customFormat="1" ht="13.5" customHeight="1" x14ac:dyDescent="0.2">
      <c r="A451" s="18" t="s">
        <v>1837</v>
      </c>
      <c r="B451" s="1" t="s">
        <v>1201</v>
      </c>
      <c r="C451" s="1" t="s">
        <v>1550</v>
      </c>
      <c r="D451" s="1" t="s">
        <v>1620</v>
      </c>
      <c r="E451" s="18" t="s">
        <v>219</v>
      </c>
      <c r="F451" s="18" t="s">
        <v>3344</v>
      </c>
      <c r="G451" s="3" t="s">
        <v>1271</v>
      </c>
      <c r="J451" s="37" t="s">
        <v>1299</v>
      </c>
      <c r="K451" s="36" t="s">
        <v>977</v>
      </c>
      <c r="L451" s="82">
        <v>49.99</v>
      </c>
      <c r="M451" s="35">
        <v>1</v>
      </c>
      <c r="N451" s="239">
        <v>15</v>
      </c>
      <c r="O451" s="44">
        <f>CONVERT(0.1735,"kg","lbm")</f>
        <v>0.38250202489076257</v>
      </c>
      <c r="P451" s="441">
        <f>CONVERT(232,"mm","in")</f>
        <v>9.133858267716537</v>
      </c>
      <c r="Q451" s="441">
        <f>CONVERT(109,"mm","in")</f>
        <v>4.2913385826771657</v>
      </c>
      <c r="R451" s="442">
        <v>3.2</v>
      </c>
      <c r="S451" s="131">
        <v>0.36</v>
      </c>
      <c r="T451" s="33">
        <v>9.4</v>
      </c>
      <c r="U451" s="33">
        <v>1.9</v>
      </c>
      <c r="V451" s="70">
        <v>1.6</v>
      </c>
      <c r="W451" s="90" t="s">
        <v>259</v>
      </c>
      <c r="X451" s="89" t="s">
        <v>259</v>
      </c>
      <c r="Y451" s="89" t="s">
        <v>259</v>
      </c>
      <c r="Z451" s="249" t="s">
        <v>259</v>
      </c>
      <c r="AA451" s="44">
        <v>5.85</v>
      </c>
      <c r="AB451" s="33">
        <v>9.75</v>
      </c>
      <c r="AC451" s="33">
        <v>5</v>
      </c>
      <c r="AD451" s="70">
        <v>10.25</v>
      </c>
      <c r="AE451" s="44">
        <f t="shared" si="27"/>
        <v>0.28917100694444442</v>
      </c>
      <c r="AF451" s="85" t="s">
        <v>3516</v>
      </c>
      <c r="AG451" s="85" t="s">
        <v>3517</v>
      </c>
      <c r="AH451" s="85" t="s">
        <v>3518</v>
      </c>
      <c r="AI451" s="85" t="s">
        <v>3520</v>
      </c>
      <c r="AJ451" s="85" t="s">
        <v>3521</v>
      </c>
      <c r="AK451" s="477"/>
      <c r="AL451" s="477"/>
      <c r="AM451" s="477"/>
      <c r="AN451" s="59" t="s">
        <v>3522</v>
      </c>
      <c r="AO451" s="18" t="s">
        <v>2909</v>
      </c>
      <c r="AP451" s="18" t="s">
        <v>1932</v>
      </c>
    </row>
    <row r="452" spans="1:42" s="18" customFormat="1" ht="13.5" customHeight="1" x14ac:dyDescent="0.2">
      <c r="A452" s="18" t="s">
        <v>1837</v>
      </c>
      <c r="B452" s="426" t="s">
        <v>1804</v>
      </c>
      <c r="C452" s="1" t="s">
        <v>1494</v>
      </c>
      <c r="D452" s="426" t="s">
        <v>3535</v>
      </c>
      <c r="E452" s="18" t="s">
        <v>484</v>
      </c>
      <c r="F452" s="18" t="s">
        <v>2520</v>
      </c>
      <c r="G452" s="66">
        <v>7391846013457</v>
      </c>
      <c r="J452" s="37" t="s">
        <v>1299</v>
      </c>
      <c r="K452" s="36" t="s">
        <v>977</v>
      </c>
      <c r="L452" s="443">
        <v>129.99</v>
      </c>
      <c r="M452" s="35">
        <v>1</v>
      </c>
      <c r="N452" s="444">
        <v>10</v>
      </c>
      <c r="O452" s="44">
        <f>CONVERT(0.25,"kg","lbm")</f>
        <v>0.55115565546219392</v>
      </c>
      <c r="P452" s="441">
        <f>CONVERT(295,"mm","in")</f>
        <v>11.614173228346457</v>
      </c>
      <c r="Q452" s="441">
        <f>CONVERT(170,"mm","in")</f>
        <v>6.6929133858267713</v>
      </c>
      <c r="R452" s="442">
        <v>3.2</v>
      </c>
      <c r="S452" s="44">
        <v>0.8</v>
      </c>
      <c r="T452" s="478">
        <v>14</v>
      </c>
      <c r="U452" s="478">
        <v>2</v>
      </c>
      <c r="V452" s="479">
        <v>1.6</v>
      </c>
      <c r="W452" s="90" t="s">
        <v>259</v>
      </c>
      <c r="X452" s="89" t="s">
        <v>259</v>
      </c>
      <c r="Y452" s="89" t="s">
        <v>259</v>
      </c>
      <c r="Z452" s="249" t="s">
        <v>259</v>
      </c>
      <c r="AA452" s="44"/>
      <c r="AB452" s="33"/>
      <c r="AC452" s="33"/>
      <c r="AD452" s="70"/>
      <c r="AE452" s="44">
        <f t="shared" si="27"/>
        <v>0</v>
      </c>
      <c r="AF452" s="84" t="s">
        <v>2701</v>
      </c>
      <c r="AG452" s="85" t="s">
        <v>3496</v>
      </c>
      <c r="AH452" s="85" t="s">
        <v>3492</v>
      </c>
      <c r="AI452" s="85" t="s">
        <v>3500</v>
      </c>
      <c r="AJ452" s="85" t="s">
        <v>3534</v>
      </c>
      <c r="AN452" s="480" t="s">
        <v>3533</v>
      </c>
      <c r="AO452" s="18" t="s">
        <v>2909</v>
      </c>
      <c r="AP452" s="18" t="s">
        <v>1932</v>
      </c>
    </row>
    <row r="453" spans="1:42" s="18" customFormat="1" ht="13.5" customHeight="1" x14ac:dyDescent="0.2">
      <c r="A453" s="18" t="s">
        <v>1837</v>
      </c>
      <c r="B453" s="1" t="s">
        <v>1171</v>
      </c>
      <c r="C453" s="1" t="s">
        <v>1295</v>
      </c>
      <c r="D453" s="1" t="s">
        <v>1611</v>
      </c>
      <c r="E453" s="18" t="s">
        <v>1303</v>
      </c>
      <c r="F453" s="18" t="s">
        <v>2522</v>
      </c>
      <c r="G453" s="3" t="s">
        <v>1241</v>
      </c>
      <c r="J453" s="37" t="s">
        <v>1299</v>
      </c>
      <c r="K453" s="36" t="s">
        <v>977</v>
      </c>
      <c r="L453" s="81">
        <v>22.99</v>
      </c>
      <c r="M453" s="35">
        <v>1</v>
      </c>
      <c r="N453" s="239">
        <v>15</v>
      </c>
      <c r="O453" s="44">
        <f>CONVERT(0.092,"kg","lbm")</f>
        <v>0.20282528121008736</v>
      </c>
      <c r="P453" s="441"/>
      <c r="Q453" s="441">
        <v>1.7</v>
      </c>
      <c r="R453" s="481">
        <v>2</v>
      </c>
      <c r="S453" s="44">
        <v>0.21</v>
      </c>
      <c r="T453" s="33">
        <v>7.5</v>
      </c>
      <c r="U453" s="33">
        <v>1.75</v>
      </c>
      <c r="V453" s="70">
        <v>1.4</v>
      </c>
      <c r="W453" s="90" t="s">
        <v>259</v>
      </c>
      <c r="X453" s="89" t="s">
        <v>259</v>
      </c>
      <c r="Y453" s="89" t="s">
        <v>259</v>
      </c>
      <c r="Z453" s="249" t="s">
        <v>259</v>
      </c>
      <c r="AA453" s="44">
        <v>3.62</v>
      </c>
      <c r="AB453" s="33">
        <v>9.75</v>
      </c>
      <c r="AC453" s="33">
        <v>5</v>
      </c>
      <c r="AD453" s="70">
        <v>10.25</v>
      </c>
      <c r="AE453" s="44">
        <f>AB453*AC453*AD453/(12^3)</f>
        <v>0.28917100694444442</v>
      </c>
      <c r="AF453" s="85" t="s">
        <v>1319</v>
      </c>
      <c r="AG453" s="18" t="s">
        <v>1317</v>
      </c>
      <c r="AH453" s="85" t="s">
        <v>1310</v>
      </c>
      <c r="AI453" s="37" t="s">
        <v>1339</v>
      </c>
      <c r="AJ453" s="85" t="s">
        <v>1347</v>
      </c>
      <c r="AK453" s="85"/>
      <c r="AL453" s="85"/>
      <c r="AM453" s="85"/>
      <c r="AN453" s="85" t="s">
        <v>1321</v>
      </c>
      <c r="AO453" s="18" t="s">
        <v>2909</v>
      </c>
      <c r="AP453" s="18" t="s">
        <v>1932</v>
      </c>
    </row>
    <row r="454" spans="1:42" s="18" customFormat="1" ht="13.5" customHeight="1" x14ac:dyDescent="0.2">
      <c r="A454" s="18" t="s">
        <v>1837</v>
      </c>
      <c r="B454" s="1" t="s">
        <v>1176</v>
      </c>
      <c r="C454" s="1" t="s">
        <v>1494</v>
      </c>
      <c r="D454" s="1" t="s">
        <v>1616</v>
      </c>
      <c r="E454" s="18" t="s">
        <v>1331</v>
      </c>
      <c r="F454" s="18" t="s">
        <v>2522</v>
      </c>
      <c r="G454" s="3" t="s">
        <v>1246</v>
      </c>
      <c r="J454" s="37" t="s">
        <v>1299</v>
      </c>
      <c r="K454" s="36" t="s">
        <v>977</v>
      </c>
      <c r="L454" s="82">
        <v>17.989999999999998</v>
      </c>
      <c r="M454" s="35">
        <v>1</v>
      </c>
      <c r="N454" s="187">
        <v>15</v>
      </c>
      <c r="O454" s="44">
        <f>CONVERT(0.094,"kg","lbm")</f>
        <v>0.20723452645378493</v>
      </c>
      <c r="P454" s="482"/>
      <c r="Q454" s="441">
        <v>1.7</v>
      </c>
      <c r="R454" s="481">
        <v>2</v>
      </c>
      <c r="S454" s="44">
        <v>0.21</v>
      </c>
      <c r="T454" s="33">
        <v>7.5</v>
      </c>
      <c r="U454" s="33">
        <v>1.4</v>
      </c>
      <c r="V454" s="70">
        <v>1.6</v>
      </c>
      <c r="W454" s="90" t="s">
        <v>259</v>
      </c>
      <c r="X454" s="89" t="s">
        <v>259</v>
      </c>
      <c r="Y454" s="89" t="s">
        <v>259</v>
      </c>
      <c r="Z454" s="249" t="s">
        <v>259</v>
      </c>
      <c r="AA454" s="44">
        <v>3.6</v>
      </c>
      <c r="AB454" s="33">
        <v>9.75</v>
      </c>
      <c r="AC454" s="33">
        <v>5</v>
      </c>
      <c r="AD454" s="70">
        <v>10.25</v>
      </c>
      <c r="AE454" s="44">
        <f>AB454*AC454*AD454/(12^3)</f>
        <v>0.28917100694444442</v>
      </c>
      <c r="AF454" s="85" t="s">
        <v>1307</v>
      </c>
      <c r="AG454" s="85" t="s">
        <v>1446</v>
      </c>
      <c r="AH454" s="85" t="s">
        <v>1324</v>
      </c>
      <c r="AI454" s="37" t="s">
        <v>1339</v>
      </c>
      <c r="AJ454" s="85" t="s">
        <v>1354</v>
      </c>
      <c r="AK454" s="85"/>
      <c r="AL454" s="85"/>
      <c r="AM454" s="85"/>
      <c r="AN454" s="85" t="s">
        <v>1353</v>
      </c>
      <c r="AO454" s="18" t="s">
        <v>2909</v>
      </c>
      <c r="AP454" s="18" t="s">
        <v>1932</v>
      </c>
    </row>
    <row r="455" spans="1:42" s="18" customFormat="1" ht="13.5" customHeight="1" x14ac:dyDescent="0.2">
      <c r="A455" s="18" t="s">
        <v>1837</v>
      </c>
      <c r="B455" s="1" t="s">
        <v>1803</v>
      </c>
      <c r="C455" s="1" t="s">
        <v>1494</v>
      </c>
      <c r="D455" s="1" t="s">
        <v>3370</v>
      </c>
      <c r="E455" s="18" t="s">
        <v>484</v>
      </c>
      <c r="F455" s="18" t="s">
        <v>2520</v>
      </c>
      <c r="G455" s="54" t="s">
        <v>1879</v>
      </c>
      <c r="J455" s="37" t="s">
        <v>1299</v>
      </c>
      <c r="K455" s="36" t="s">
        <v>977</v>
      </c>
      <c r="L455" s="509">
        <v>124.99</v>
      </c>
      <c r="M455" s="35">
        <v>1</v>
      </c>
      <c r="N455" s="239">
        <v>10</v>
      </c>
      <c r="O455" s="44">
        <f>CONVERT(0.18,"kg","lbm")</f>
        <v>0.39683207193277964</v>
      </c>
      <c r="P455" s="441">
        <f>CONVERT(232,"mm","in")</f>
        <v>9.133858267716537</v>
      </c>
      <c r="Q455" s="441">
        <f>CONVERT(109,"mm","in")</f>
        <v>4.2913385826771657</v>
      </c>
      <c r="R455" s="442">
        <v>3.2</v>
      </c>
      <c r="S455" s="44">
        <v>0.36</v>
      </c>
      <c r="T455" s="33">
        <v>9.4</v>
      </c>
      <c r="U455" s="33">
        <v>1.9</v>
      </c>
      <c r="V455" s="70">
        <v>1.6</v>
      </c>
      <c r="W455" s="90" t="s">
        <v>259</v>
      </c>
      <c r="X455" s="89" t="s">
        <v>259</v>
      </c>
      <c r="Y455" s="89" t="s">
        <v>259</v>
      </c>
      <c r="Z455" s="249" t="s">
        <v>259</v>
      </c>
      <c r="AA455" s="44">
        <v>5.85</v>
      </c>
      <c r="AB455" s="33">
        <v>9.75</v>
      </c>
      <c r="AC455" s="33">
        <v>5</v>
      </c>
      <c r="AD455" s="70">
        <v>10.25</v>
      </c>
      <c r="AE455" s="44">
        <f>AB455*AC455*AD455/(12^3)</f>
        <v>0.28917100694444442</v>
      </c>
      <c r="AF455" s="85" t="s">
        <v>3514</v>
      </c>
      <c r="AG455" s="85" t="s">
        <v>3496</v>
      </c>
      <c r="AH455" s="85" t="s">
        <v>3492</v>
      </c>
      <c r="AI455" s="85" t="s">
        <v>3500</v>
      </c>
      <c r="AJ455" s="85" t="s">
        <v>3501</v>
      </c>
      <c r="AK455" s="85"/>
      <c r="AL455" s="85"/>
      <c r="AM455" s="85"/>
      <c r="AN455" s="37" t="s">
        <v>3502</v>
      </c>
      <c r="AO455" s="18" t="s">
        <v>2909</v>
      </c>
      <c r="AP455" s="18" t="s">
        <v>1932</v>
      </c>
    </row>
    <row r="456" spans="1:42" s="18" customFormat="1" ht="13.5" customHeight="1" x14ac:dyDescent="0.2">
      <c r="A456" s="18" t="s">
        <v>1837</v>
      </c>
      <c r="B456" s="1" t="s">
        <v>1802</v>
      </c>
      <c r="C456" s="1" t="s">
        <v>1550</v>
      </c>
      <c r="D456" s="1" t="s">
        <v>3371</v>
      </c>
      <c r="E456" s="18" t="s">
        <v>484</v>
      </c>
      <c r="F456" s="18" t="s">
        <v>2520</v>
      </c>
      <c r="G456" s="66">
        <v>7391846015284</v>
      </c>
      <c r="J456" s="37" t="s">
        <v>1299</v>
      </c>
      <c r="K456" s="36" t="s">
        <v>977</v>
      </c>
      <c r="L456" s="509">
        <v>129.99</v>
      </c>
      <c r="M456" s="35">
        <v>1</v>
      </c>
      <c r="N456" s="239">
        <v>10</v>
      </c>
      <c r="O456" s="44">
        <f>CONVERT(0.18,"kg","lbm")</f>
        <v>0.39683207193277964</v>
      </c>
      <c r="P456" s="441">
        <f>CONVERT(232,"mm","in")</f>
        <v>9.133858267716537</v>
      </c>
      <c r="Q456" s="441">
        <f>CONVERT(109,"mm","in")</f>
        <v>4.2913385826771657</v>
      </c>
      <c r="R456" s="442">
        <v>3.2</v>
      </c>
      <c r="S456" s="44">
        <v>0.36</v>
      </c>
      <c r="T456" s="33">
        <v>9.4</v>
      </c>
      <c r="U456" s="33">
        <v>1.9</v>
      </c>
      <c r="V456" s="70">
        <v>1.6</v>
      </c>
      <c r="W456" s="90" t="s">
        <v>259</v>
      </c>
      <c r="X456" s="89" t="s">
        <v>259</v>
      </c>
      <c r="Y456" s="89" t="s">
        <v>259</v>
      </c>
      <c r="Z456" s="249" t="s">
        <v>259</v>
      </c>
      <c r="AA456" s="44">
        <v>5.85</v>
      </c>
      <c r="AB456" s="33">
        <v>9.75</v>
      </c>
      <c r="AC456" s="33">
        <v>5</v>
      </c>
      <c r="AD456" s="70">
        <v>10.25</v>
      </c>
      <c r="AE456" s="44">
        <f>AB456*AC456*AD456/(12^3)</f>
        <v>0.28917100694444442</v>
      </c>
      <c r="AF456" s="85" t="s">
        <v>3497</v>
      </c>
      <c r="AG456" s="85" t="s">
        <v>3496</v>
      </c>
      <c r="AH456" s="85" t="s">
        <v>3492</v>
      </c>
      <c r="AI456" s="85" t="s">
        <v>3500</v>
      </c>
      <c r="AJ456" s="85" t="s">
        <v>3501</v>
      </c>
      <c r="AK456" s="85"/>
      <c r="AL456" s="85"/>
      <c r="AM456" s="85"/>
      <c r="AN456" s="37" t="s">
        <v>3503</v>
      </c>
      <c r="AO456" s="18" t="s">
        <v>2909</v>
      </c>
      <c r="AP456" s="18" t="s">
        <v>1932</v>
      </c>
    </row>
    <row r="457" spans="1:42" s="18" customFormat="1" x14ac:dyDescent="0.2">
      <c r="A457" s="18" t="s">
        <v>1837</v>
      </c>
      <c r="B457" s="33" t="s">
        <v>3985</v>
      </c>
      <c r="C457" s="33" t="s">
        <v>1550</v>
      </c>
      <c r="D457" s="34" t="s">
        <v>3987</v>
      </c>
      <c r="E457" s="18" t="s">
        <v>3986</v>
      </c>
      <c r="F457" s="18" t="s">
        <v>3344</v>
      </c>
      <c r="G457" s="66">
        <v>7391846017745</v>
      </c>
      <c r="J457" s="36" t="s">
        <v>1299</v>
      </c>
      <c r="K457" s="36" t="s">
        <v>977</v>
      </c>
      <c r="L457" s="504">
        <v>24.99</v>
      </c>
      <c r="M457" s="35">
        <v>1</v>
      </c>
      <c r="N457" s="187">
        <v>15</v>
      </c>
      <c r="O457" s="44">
        <v>0.26</v>
      </c>
      <c r="P457" s="441">
        <v>8.6</v>
      </c>
      <c r="Q457" s="441">
        <v>4.0999999999999996</v>
      </c>
      <c r="R457" s="442">
        <v>2.5</v>
      </c>
      <c r="S457" s="44">
        <v>0.26</v>
      </c>
      <c r="T457" s="33">
        <v>9.1300000000000008</v>
      </c>
      <c r="U457" s="33">
        <v>1.75</v>
      </c>
      <c r="V457" s="70">
        <v>1.38</v>
      </c>
      <c r="W457" s="44" t="s">
        <v>259</v>
      </c>
      <c r="X457" s="89" t="s">
        <v>259</v>
      </c>
      <c r="Y457" s="89" t="s">
        <v>259</v>
      </c>
      <c r="Z457" s="89" t="s">
        <v>259</v>
      </c>
      <c r="AA457" s="44">
        <v>4.3</v>
      </c>
      <c r="AB457" s="33">
        <v>10</v>
      </c>
      <c r="AC457" s="33">
        <v>5.25</v>
      </c>
      <c r="AD457" s="70">
        <v>10.5</v>
      </c>
      <c r="AE457" s="44"/>
    </row>
    <row r="458" spans="1:42" s="18" customFormat="1" x14ac:dyDescent="0.2">
      <c r="A458" s="18" t="s">
        <v>1837</v>
      </c>
      <c r="B458" s="1" t="s">
        <v>1216</v>
      </c>
      <c r="C458" s="1" t="s">
        <v>1550</v>
      </c>
      <c r="D458" s="1" t="s">
        <v>3385</v>
      </c>
      <c r="E458" s="18" t="s">
        <v>3386</v>
      </c>
      <c r="F458" s="18" t="s">
        <v>3344</v>
      </c>
      <c r="G458" s="3" t="s">
        <v>1285</v>
      </c>
      <c r="J458" s="37" t="s">
        <v>3387</v>
      </c>
      <c r="K458" s="36" t="s">
        <v>977</v>
      </c>
      <c r="L458" s="509">
        <v>29.99</v>
      </c>
      <c r="M458" s="35">
        <v>1</v>
      </c>
      <c r="N458" s="239">
        <v>15</v>
      </c>
      <c r="O458" s="44">
        <f>CONVERT(0.069,"kg","lbm")</f>
        <v>0.15211896090756555</v>
      </c>
      <c r="P458" s="441">
        <f>CONVERT(175,"mm","in")</f>
        <v>6.8897637795275584</v>
      </c>
      <c r="Q458" s="441">
        <f>CONVERT(85,"mm","in")</f>
        <v>3.3464566929133857</v>
      </c>
      <c r="R458" s="442">
        <v>2</v>
      </c>
      <c r="S458" s="44">
        <v>0.15211896090756552</v>
      </c>
      <c r="T458" s="33">
        <v>9.75</v>
      </c>
      <c r="U458" s="33">
        <v>5</v>
      </c>
      <c r="V458" s="70">
        <v>1.5</v>
      </c>
      <c r="W458" s="90" t="s">
        <v>259</v>
      </c>
      <c r="X458" s="89" t="s">
        <v>259</v>
      </c>
      <c r="Y458" s="89" t="s">
        <v>259</v>
      </c>
      <c r="Z458" s="249" t="s">
        <v>259</v>
      </c>
      <c r="AA458" s="44">
        <v>3.1</v>
      </c>
      <c r="AB458" s="33">
        <v>9.75</v>
      </c>
      <c r="AC458" s="33">
        <v>5</v>
      </c>
      <c r="AD458" s="70">
        <v>10.25</v>
      </c>
      <c r="AE458" s="44">
        <f>AB458*AC458*AD458/(12^3)</f>
        <v>0.28917100694444442</v>
      </c>
      <c r="AF458" s="85" t="s">
        <v>3573</v>
      </c>
      <c r="AG458" s="18" t="s">
        <v>3575</v>
      </c>
      <c r="AH458" s="85" t="s">
        <v>3574</v>
      </c>
      <c r="AI458" s="85" t="s">
        <v>3591</v>
      </c>
      <c r="AJ458" s="85" t="s">
        <v>3576</v>
      </c>
      <c r="AN458" s="85" t="s">
        <v>3577</v>
      </c>
      <c r="AO458" s="18" t="s">
        <v>2909</v>
      </c>
      <c r="AP458" s="18" t="s">
        <v>1932</v>
      </c>
    </row>
    <row r="459" spans="1:42" s="18" customFormat="1" ht="12.75" customHeight="1" x14ac:dyDescent="0.2">
      <c r="A459" s="18" t="s">
        <v>1837</v>
      </c>
      <c r="B459" s="1" t="s">
        <v>1805</v>
      </c>
      <c r="C459" s="1" t="s">
        <v>1550</v>
      </c>
      <c r="D459" s="1" t="s">
        <v>2525</v>
      </c>
      <c r="E459" s="18" t="s">
        <v>3439</v>
      </c>
      <c r="F459" s="18" t="s">
        <v>2523</v>
      </c>
      <c r="G459" s="3" t="s">
        <v>1834</v>
      </c>
      <c r="J459" s="37" t="s">
        <v>3387</v>
      </c>
      <c r="K459" s="36" t="s">
        <v>977</v>
      </c>
      <c r="L459" s="509">
        <v>299.99</v>
      </c>
      <c r="M459" s="35">
        <v>1</v>
      </c>
      <c r="N459" s="239">
        <v>1</v>
      </c>
      <c r="O459" s="44">
        <f>CONVERT(0.25,"kg","lbm")</f>
        <v>0.55115565546219392</v>
      </c>
      <c r="P459" s="441">
        <f>CONVERT(200,"mm","in")</f>
        <v>7.8740157480314963</v>
      </c>
      <c r="Q459" s="441">
        <f>CONVERT(95,"mm","in")</f>
        <v>3.7401574803149606</v>
      </c>
      <c r="R459" s="442">
        <v>3</v>
      </c>
      <c r="S459" s="44">
        <v>0.55115565546219392</v>
      </c>
      <c r="T459" s="33">
        <v>12</v>
      </c>
      <c r="U459" s="33">
        <v>6</v>
      </c>
      <c r="V459" s="70">
        <v>1.5</v>
      </c>
      <c r="W459" s="90" t="s">
        <v>259</v>
      </c>
      <c r="X459" s="89" t="s">
        <v>259</v>
      </c>
      <c r="Y459" s="89" t="s">
        <v>259</v>
      </c>
      <c r="Z459" s="249" t="s">
        <v>259</v>
      </c>
      <c r="AA459" s="90">
        <v>0.55000000000000004</v>
      </c>
      <c r="AB459" s="89">
        <v>10</v>
      </c>
      <c r="AC459" s="89">
        <v>2.25</v>
      </c>
      <c r="AD459" s="249">
        <v>1.875</v>
      </c>
      <c r="AE459" s="44"/>
      <c r="AF459" s="85" t="s">
        <v>3590</v>
      </c>
      <c r="AG459" s="85" t="s">
        <v>3589</v>
      </c>
      <c r="AH459" s="85" t="s">
        <v>3592</v>
      </c>
      <c r="AI459" s="85" t="s">
        <v>3593</v>
      </c>
      <c r="AJ459" s="85"/>
      <c r="AK459" s="85"/>
      <c r="AL459" s="85"/>
      <c r="AM459" s="85"/>
      <c r="AN459" s="86" t="s">
        <v>3594</v>
      </c>
      <c r="AO459" s="18" t="s">
        <v>2909</v>
      </c>
      <c r="AP459" s="18" t="s">
        <v>1932</v>
      </c>
    </row>
    <row r="460" spans="1:42" s="18" customFormat="1" ht="12.75" customHeight="1" x14ac:dyDescent="0.2">
      <c r="A460" s="18" t="s">
        <v>1837</v>
      </c>
      <c r="B460" s="1" t="s">
        <v>1219</v>
      </c>
      <c r="C460" s="1" t="s">
        <v>1298</v>
      </c>
      <c r="D460" s="1" t="s">
        <v>1625</v>
      </c>
      <c r="E460" s="18" t="s">
        <v>3439</v>
      </c>
      <c r="F460" s="18" t="s">
        <v>2523</v>
      </c>
      <c r="G460" s="107">
        <v>7391846012351</v>
      </c>
      <c r="J460" s="37" t="s">
        <v>3387</v>
      </c>
      <c r="K460" s="36" t="s">
        <v>977</v>
      </c>
      <c r="L460" s="509">
        <v>129.99</v>
      </c>
      <c r="M460" s="35">
        <v>1</v>
      </c>
      <c r="N460" s="239">
        <v>1</v>
      </c>
      <c r="O460" s="44">
        <f>CONVERT(0.18,"kg","lbm")</f>
        <v>0.39683207193277964</v>
      </c>
      <c r="P460" s="441">
        <f>CONVERT(205,"mm","in")</f>
        <v>8.0708661417322833</v>
      </c>
      <c r="Q460" s="441">
        <f>CONVERT(101,"mm","in")</f>
        <v>3.9763779527559056</v>
      </c>
      <c r="R460" s="442">
        <v>2.7</v>
      </c>
      <c r="S460" s="44">
        <v>0.39683207193277964</v>
      </c>
      <c r="T460" s="33">
        <v>8.19</v>
      </c>
      <c r="U460" s="33">
        <v>6</v>
      </c>
      <c r="V460" s="70">
        <v>1.5</v>
      </c>
      <c r="W460" s="90" t="s">
        <v>259</v>
      </c>
      <c r="X460" s="89" t="s">
        <v>259</v>
      </c>
      <c r="Y460" s="89" t="s">
        <v>259</v>
      </c>
      <c r="Z460" s="249" t="s">
        <v>259</v>
      </c>
      <c r="AA460" s="90" t="s">
        <v>856</v>
      </c>
      <c r="AB460" s="89" t="s">
        <v>856</v>
      </c>
      <c r="AC460" s="89" t="s">
        <v>856</v>
      </c>
      <c r="AD460" s="249" t="s">
        <v>856</v>
      </c>
      <c r="AE460" s="44"/>
      <c r="AF460" s="85" t="s">
        <v>3595</v>
      </c>
      <c r="AG460" s="85" t="s">
        <v>3596</v>
      </c>
      <c r="AH460" s="85" t="s">
        <v>3592</v>
      </c>
      <c r="AI460" s="85" t="s">
        <v>3597</v>
      </c>
      <c r="AJ460" s="86"/>
      <c r="AK460" s="86"/>
      <c r="AL460" s="86"/>
      <c r="AM460" s="86"/>
      <c r="AN460" s="85" t="s">
        <v>3598</v>
      </c>
      <c r="AO460" s="18" t="s">
        <v>2909</v>
      </c>
      <c r="AP460" s="18" t="s">
        <v>1932</v>
      </c>
    </row>
    <row r="461" spans="1:42" s="18" customFormat="1" x14ac:dyDescent="0.2">
      <c r="A461" s="18" t="s">
        <v>1837</v>
      </c>
      <c r="B461" s="84" t="s">
        <v>1933</v>
      </c>
      <c r="C461" s="1" t="s">
        <v>1494</v>
      </c>
      <c r="D461" s="196" t="s">
        <v>2536</v>
      </c>
      <c r="E461" s="18" t="s">
        <v>3403</v>
      </c>
      <c r="F461" s="18" t="s">
        <v>2547</v>
      </c>
      <c r="G461" s="109">
        <v>7391846002093</v>
      </c>
      <c r="J461" s="37" t="s">
        <v>3387</v>
      </c>
      <c r="K461" s="36" t="s">
        <v>977</v>
      </c>
      <c r="L461" s="510">
        <v>22.99</v>
      </c>
      <c r="M461" s="35">
        <v>1</v>
      </c>
      <c r="N461" s="239">
        <v>5</v>
      </c>
      <c r="O461" s="44">
        <f>CONVERT(0.0857,"kg","lbm")</f>
        <v>0.18893615869244007</v>
      </c>
      <c r="P461" s="441">
        <f>CONVERT(210,"mm","in")</f>
        <v>8.2677165354330704</v>
      </c>
      <c r="Q461" s="441">
        <f>CONVERT(106,"mm","in")</f>
        <v>4.1732283464566926</v>
      </c>
      <c r="R461" s="442">
        <v>2.5</v>
      </c>
      <c r="S461" s="44">
        <v>0.30864716705882861</v>
      </c>
      <c r="T461" s="33">
        <v>5.5</v>
      </c>
      <c r="U461" s="33">
        <v>1.25</v>
      </c>
      <c r="V461" s="70">
        <v>11.8125</v>
      </c>
      <c r="W461" s="90" t="s">
        <v>259</v>
      </c>
      <c r="X461" s="89" t="s">
        <v>259</v>
      </c>
      <c r="Y461" s="89" t="s">
        <v>259</v>
      </c>
      <c r="Z461" s="249" t="s">
        <v>259</v>
      </c>
      <c r="AA461" s="44">
        <v>1.7416518712605329</v>
      </c>
      <c r="AB461" s="33">
        <v>12.0625</v>
      </c>
      <c r="AC461" s="33">
        <v>5.75</v>
      </c>
      <c r="AD461" s="70">
        <v>5.75</v>
      </c>
      <c r="AE461" s="44"/>
      <c r="AF461" s="85" t="s">
        <v>1307</v>
      </c>
      <c r="AG461" s="18" t="s">
        <v>1378</v>
      </c>
      <c r="AH461" s="85" t="s">
        <v>1310</v>
      </c>
      <c r="AI461" s="37" t="s">
        <v>1336</v>
      </c>
      <c r="AJ461" s="18" t="s">
        <v>1379</v>
      </c>
      <c r="AN461" s="85" t="s">
        <v>1377</v>
      </c>
      <c r="AO461" s="18" t="s">
        <v>2909</v>
      </c>
      <c r="AP461" s="18" t="s">
        <v>1932</v>
      </c>
    </row>
    <row r="462" spans="1:42" s="18" customFormat="1" x14ac:dyDescent="0.2">
      <c r="A462" s="18" t="s">
        <v>1837</v>
      </c>
      <c r="B462" s="1" t="s">
        <v>1183</v>
      </c>
      <c r="C462" s="1" t="s">
        <v>1298</v>
      </c>
      <c r="D462" s="1" t="s">
        <v>1619</v>
      </c>
      <c r="E462" s="18" t="s">
        <v>3386</v>
      </c>
      <c r="F462" s="18" t="s">
        <v>2520</v>
      </c>
      <c r="G462" s="3" t="s">
        <v>1253</v>
      </c>
      <c r="J462" s="37" t="s">
        <v>3387</v>
      </c>
      <c r="K462" s="36" t="s">
        <v>977</v>
      </c>
      <c r="L462" s="510">
        <v>59.99</v>
      </c>
      <c r="M462" s="35">
        <v>1</v>
      </c>
      <c r="N462" s="239">
        <v>10</v>
      </c>
      <c r="O462" s="44">
        <f>CONVERT(0.0857,"kg","lbm")</f>
        <v>0.18893615869244007</v>
      </c>
      <c r="P462" s="441">
        <f>CONVERT(198,"mm","in")</f>
        <v>7.7952755905511815</v>
      </c>
      <c r="Q462" s="441">
        <f>CONVERT(99,"mm","in")</f>
        <v>3.8976377952755907</v>
      </c>
      <c r="R462" s="442">
        <v>2.7</v>
      </c>
      <c r="S462" s="44">
        <v>0.1889361586924401</v>
      </c>
      <c r="T462" s="33">
        <v>8.25</v>
      </c>
      <c r="U462" s="33">
        <v>1.0625</v>
      </c>
      <c r="V462" s="70">
        <v>1</v>
      </c>
      <c r="W462" s="90" t="s">
        <v>259</v>
      </c>
      <c r="X462" s="89" t="s">
        <v>259</v>
      </c>
      <c r="Y462" s="89" t="s">
        <v>259</v>
      </c>
      <c r="Z462" s="249" t="s">
        <v>259</v>
      </c>
      <c r="AA462" s="44">
        <v>1.8518830023529715</v>
      </c>
      <c r="AB462" s="33">
        <v>9.25</v>
      </c>
      <c r="AC462" s="33">
        <v>3.875</v>
      </c>
      <c r="AD462" s="70">
        <v>3.125</v>
      </c>
      <c r="AE462" s="44">
        <f t="shared" ref="AE462:AE470" si="28">AB462*AC462*AD462/(12^3)</f>
        <v>6.4821596498842587E-2</v>
      </c>
      <c r="AF462" s="85" t="s">
        <v>1372</v>
      </c>
      <c r="AG462" s="18" t="s">
        <v>1366</v>
      </c>
      <c r="AH462" s="85" t="s">
        <v>1373</v>
      </c>
      <c r="AI462" s="37" t="s">
        <v>1336</v>
      </c>
      <c r="AJ462" s="85" t="s">
        <v>1374</v>
      </c>
      <c r="AK462" s="85"/>
      <c r="AL462" s="85"/>
      <c r="AM462" s="85"/>
      <c r="AN462" s="85" t="s">
        <v>1375</v>
      </c>
      <c r="AO462" s="18" t="s">
        <v>2909</v>
      </c>
      <c r="AP462" s="18" t="s">
        <v>1932</v>
      </c>
    </row>
    <row r="463" spans="1:42" s="18" customFormat="1" x14ac:dyDescent="0.2">
      <c r="A463" s="18" t="s">
        <v>1837</v>
      </c>
      <c r="B463" s="1" t="s">
        <v>1188</v>
      </c>
      <c r="C463" s="1" t="s">
        <v>1494</v>
      </c>
      <c r="D463" s="1" t="s">
        <v>3404</v>
      </c>
      <c r="E463" s="18" t="s">
        <v>3403</v>
      </c>
      <c r="F463" s="18" t="s">
        <v>2520</v>
      </c>
      <c r="G463" s="3" t="s">
        <v>1258</v>
      </c>
      <c r="J463" s="37" t="s">
        <v>1299</v>
      </c>
      <c r="K463" s="36" t="s">
        <v>977</v>
      </c>
      <c r="L463" s="510">
        <v>22.99</v>
      </c>
      <c r="M463" s="35">
        <v>1</v>
      </c>
      <c r="N463" s="239">
        <v>10</v>
      </c>
      <c r="O463" s="44">
        <f>CONVERT(0.082,"kg","lbm")</f>
        <v>0.18077905499159963</v>
      </c>
      <c r="P463" s="441">
        <f>CONVERT(200,"mm","in")</f>
        <v>7.8740157480314963</v>
      </c>
      <c r="Q463" s="441">
        <f>CONVERT(98,"mm","in")</f>
        <v>3.8582677165354329</v>
      </c>
      <c r="R463" s="442">
        <v>2</v>
      </c>
      <c r="S463" s="44" t="s">
        <v>2698</v>
      </c>
      <c r="T463" s="33">
        <v>8.875</v>
      </c>
      <c r="U463" s="33">
        <v>1.875</v>
      </c>
      <c r="V463" s="70">
        <v>1.25</v>
      </c>
      <c r="W463" s="90" t="s">
        <v>259</v>
      </c>
      <c r="X463" s="89" t="s">
        <v>259</v>
      </c>
      <c r="Y463" s="89" t="s">
        <v>259</v>
      </c>
      <c r="Z463" s="249" t="s">
        <v>259</v>
      </c>
      <c r="AA463" s="44">
        <v>1.906998567899191</v>
      </c>
      <c r="AB463" s="33">
        <v>10.5</v>
      </c>
      <c r="AC463" s="33">
        <v>8.75</v>
      </c>
      <c r="AD463" s="70">
        <v>1.875</v>
      </c>
      <c r="AE463" s="44">
        <f t="shared" si="28"/>
        <v>9.9690755208333329E-2</v>
      </c>
      <c r="AF463" s="85" t="s">
        <v>1384</v>
      </c>
      <c r="AG463" s="18" t="s">
        <v>1378</v>
      </c>
      <c r="AH463" s="85" t="s">
        <v>1310</v>
      </c>
      <c r="AI463" s="37" t="s">
        <v>1336</v>
      </c>
      <c r="AJ463" s="18" t="s">
        <v>1383</v>
      </c>
      <c r="AN463" s="85" t="s">
        <v>1385</v>
      </c>
      <c r="AO463" s="18" t="s">
        <v>2909</v>
      </c>
      <c r="AP463" s="18" t="s">
        <v>1932</v>
      </c>
    </row>
    <row r="464" spans="1:42" s="18" customFormat="1" x14ac:dyDescent="0.2">
      <c r="A464" s="18" t="s">
        <v>1837</v>
      </c>
      <c r="B464" s="84" t="s">
        <v>1493</v>
      </c>
      <c r="C464" s="1" t="s">
        <v>1494</v>
      </c>
      <c r="D464" s="84" t="s">
        <v>3409</v>
      </c>
      <c r="E464" s="18" t="s">
        <v>3386</v>
      </c>
      <c r="F464" s="18" t="s">
        <v>2520</v>
      </c>
      <c r="G464" s="109">
        <v>7316220021033</v>
      </c>
      <c r="J464" s="37" t="s">
        <v>3407</v>
      </c>
      <c r="K464" s="36" t="s">
        <v>977</v>
      </c>
      <c r="L464" s="512">
        <v>25.99</v>
      </c>
      <c r="M464" s="35">
        <v>1</v>
      </c>
      <c r="N464" s="239">
        <v>10</v>
      </c>
      <c r="O464" s="44">
        <f>CONVERT(0.051,"kg","lbm")</f>
        <v>0.11243575371428756</v>
      </c>
      <c r="P464" s="441">
        <f>CONVERT(170,"mm","in")</f>
        <v>6.6929133858267713</v>
      </c>
      <c r="Q464" s="441">
        <f>CONVERT(76,"mm","in")</f>
        <v>2.9921259842519685</v>
      </c>
      <c r="R464" s="442">
        <v>2.5</v>
      </c>
      <c r="S464" s="44" t="s">
        <v>2700</v>
      </c>
      <c r="T464" s="33">
        <v>7.875</v>
      </c>
      <c r="U464" s="33">
        <v>1.375</v>
      </c>
      <c r="V464" s="70">
        <v>0.875</v>
      </c>
      <c r="W464" s="90" t="s">
        <v>259</v>
      </c>
      <c r="X464" s="89" t="s">
        <v>259</v>
      </c>
      <c r="Y464" s="89" t="s">
        <v>259</v>
      </c>
      <c r="Z464" s="249" t="s">
        <v>259</v>
      </c>
      <c r="AA464" s="44">
        <v>1.2566348944538022</v>
      </c>
      <c r="AB464" s="33">
        <v>8.625</v>
      </c>
      <c r="AC464" s="33">
        <v>5</v>
      </c>
      <c r="AD464" s="70">
        <v>2.0625</v>
      </c>
      <c r="AE464" s="44">
        <f t="shared" si="28"/>
        <v>5.1472981770833336E-2</v>
      </c>
      <c r="AF464" s="37" t="s">
        <v>1495</v>
      </c>
      <c r="AG464" s="37" t="s">
        <v>1496</v>
      </c>
      <c r="AH464" s="37" t="s">
        <v>1497</v>
      </c>
      <c r="AI464" s="37" t="s">
        <v>1498</v>
      </c>
      <c r="AJ464" s="558" t="s">
        <v>1499</v>
      </c>
      <c r="AK464" s="558"/>
      <c r="AL464" s="558"/>
      <c r="AM464" s="558"/>
      <c r="AN464" s="104" t="s">
        <v>1500</v>
      </c>
      <c r="AO464" s="18" t="s">
        <v>2909</v>
      </c>
      <c r="AP464" s="18" t="s">
        <v>1932</v>
      </c>
    </row>
    <row r="465" spans="1:42" s="18" customFormat="1" x14ac:dyDescent="0.2">
      <c r="A465" s="18" t="s">
        <v>1837</v>
      </c>
      <c r="B465" s="1" t="s">
        <v>1196</v>
      </c>
      <c r="C465" s="1" t="s">
        <v>1494</v>
      </c>
      <c r="D465" s="1" t="s">
        <v>3410</v>
      </c>
      <c r="E465" s="18" t="s">
        <v>3386</v>
      </c>
      <c r="F465" s="18" t="s">
        <v>2520</v>
      </c>
      <c r="G465" s="3" t="s">
        <v>1266</v>
      </c>
      <c r="J465" s="37" t="s">
        <v>3407</v>
      </c>
      <c r="K465" s="36" t="s">
        <v>977</v>
      </c>
      <c r="L465" s="510">
        <v>34.99</v>
      </c>
      <c r="M465" s="35">
        <v>1</v>
      </c>
      <c r="N465" s="239">
        <v>10</v>
      </c>
      <c r="O465" s="44">
        <f>CONVERT(0.069,"kg","lbm")</f>
        <v>0.15211896090756555</v>
      </c>
      <c r="P465" s="441">
        <f>CONVERT(165,"mm","in")</f>
        <v>6.4960629921259843</v>
      </c>
      <c r="Q465" s="441">
        <f>CONVERT(55,"mm","in")</f>
        <v>2.1653543307086616</v>
      </c>
      <c r="R465" s="442">
        <v>2.5</v>
      </c>
      <c r="S465" s="44">
        <v>0.15211896090756552</v>
      </c>
      <c r="T465" s="33">
        <v>6.375</v>
      </c>
      <c r="U465" s="33">
        <v>1.25</v>
      </c>
      <c r="V465" s="70">
        <v>1.25</v>
      </c>
      <c r="W465" s="90" t="s">
        <v>259</v>
      </c>
      <c r="X465" s="89" t="s">
        <v>259</v>
      </c>
      <c r="Y465" s="89" t="s">
        <v>259</v>
      </c>
      <c r="Z465" s="249" t="s">
        <v>259</v>
      </c>
      <c r="AA465" s="44">
        <v>1.3778891386554848</v>
      </c>
      <c r="AB465" s="33">
        <v>9.25</v>
      </c>
      <c r="AC465" s="33">
        <v>3.875</v>
      </c>
      <c r="AD465" s="70">
        <v>3.125</v>
      </c>
      <c r="AE465" s="44">
        <f t="shared" si="28"/>
        <v>6.4821596498842587E-2</v>
      </c>
      <c r="AF465" s="85" t="s">
        <v>1399</v>
      </c>
      <c r="AG465" s="18" t="s">
        <v>1366</v>
      </c>
      <c r="AH465" s="574" t="s">
        <v>1403</v>
      </c>
      <c r="AI465" s="37" t="s">
        <v>1391</v>
      </c>
      <c r="AJ465" s="18" t="s">
        <v>1400</v>
      </c>
      <c r="AN465" s="85" t="s">
        <v>1401</v>
      </c>
      <c r="AO465" s="18" t="s">
        <v>2909</v>
      </c>
      <c r="AP465" s="18" t="s">
        <v>1932</v>
      </c>
    </row>
    <row r="466" spans="1:42" s="18" customFormat="1" ht="12.75" customHeight="1" x14ac:dyDescent="0.2">
      <c r="A466" s="18" t="s">
        <v>1837</v>
      </c>
      <c r="B466" s="1" t="s">
        <v>1197</v>
      </c>
      <c r="C466" s="1" t="s">
        <v>1494</v>
      </c>
      <c r="D466" s="1" t="s">
        <v>3411</v>
      </c>
      <c r="E466" s="18" t="s">
        <v>3386</v>
      </c>
      <c r="F466" s="18" t="s">
        <v>2520</v>
      </c>
      <c r="G466" s="3" t="s">
        <v>1267</v>
      </c>
      <c r="J466" s="37" t="s">
        <v>3407</v>
      </c>
      <c r="K466" s="36" t="s">
        <v>977</v>
      </c>
      <c r="L466" s="510">
        <v>34.99</v>
      </c>
      <c r="M466" s="35">
        <v>1</v>
      </c>
      <c r="N466" s="239">
        <v>10</v>
      </c>
      <c r="O466" s="44">
        <f>CONVERT(0.055,"kg","lbm")</f>
        <v>0.12125424420168267</v>
      </c>
      <c r="P466" s="441">
        <f>CONVERT(178,"mm","in")</f>
        <v>7.0078740157480315</v>
      </c>
      <c r="Q466" s="441">
        <f>CONVERT(70,"mm","in")</f>
        <v>2.7559055118110236</v>
      </c>
      <c r="R466" s="442">
        <v>2.5</v>
      </c>
      <c r="S466" s="44">
        <v>0.12125424420168267</v>
      </c>
      <c r="T466" s="33">
        <v>7</v>
      </c>
      <c r="U466" s="33">
        <v>1.125</v>
      </c>
      <c r="V466" s="70">
        <v>0.875</v>
      </c>
      <c r="W466" s="90" t="s">
        <v>259</v>
      </c>
      <c r="X466" s="89" t="s">
        <v>259</v>
      </c>
      <c r="Y466" s="89" t="s">
        <v>259</v>
      </c>
      <c r="Z466" s="249" t="s">
        <v>259</v>
      </c>
      <c r="AA466" s="44">
        <v>1.366866025546241</v>
      </c>
      <c r="AB466" s="33">
        <v>9.25</v>
      </c>
      <c r="AC466" s="33">
        <v>3.875</v>
      </c>
      <c r="AD466" s="70">
        <v>3.125</v>
      </c>
      <c r="AE466" s="44">
        <f t="shared" si="28"/>
        <v>6.4821596498842587E-2</v>
      </c>
      <c r="AF466" s="85" t="s">
        <v>1399</v>
      </c>
      <c r="AG466" s="18" t="s">
        <v>1366</v>
      </c>
      <c r="AH466" s="18" t="s">
        <v>1404</v>
      </c>
      <c r="AI466" s="37" t="s">
        <v>1391</v>
      </c>
      <c r="AN466" s="555" t="s">
        <v>1402</v>
      </c>
      <c r="AO466" s="18" t="s">
        <v>2909</v>
      </c>
      <c r="AP466" s="18" t="s">
        <v>1932</v>
      </c>
    </row>
    <row r="467" spans="1:42" s="18" customFormat="1" ht="12.75" customHeight="1" x14ac:dyDescent="0.2">
      <c r="A467" s="18" t="s">
        <v>1837</v>
      </c>
      <c r="B467" s="1" t="s">
        <v>1198</v>
      </c>
      <c r="C467" s="1" t="s">
        <v>1494</v>
      </c>
      <c r="D467" s="1" t="s">
        <v>3412</v>
      </c>
      <c r="E467" s="18" t="s">
        <v>3386</v>
      </c>
      <c r="F467" s="18" t="s">
        <v>2520</v>
      </c>
      <c r="G467" s="3" t="s">
        <v>1268</v>
      </c>
      <c r="J467" s="37" t="s">
        <v>3407</v>
      </c>
      <c r="K467" s="36" t="s">
        <v>977</v>
      </c>
      <c r="L467" s="510">
        <v>34.99</v>
      </c>
      <c r="M467" s="35">
        <v>1</v>
      </c>
      <c r="N467" s="239">
        <v>10</v>
      </c>
      <c r="O467" s="44">
        <f>CONVERT(0.059,"kg","lbm")</f>
        <v>0.13007273468907776</v>
      </c>
      <c r="P467" s="441">
        <f>CONVERT(160,"mm","in")</f>
        <v>6.2992125984251972</v>
      </c>
      <c r="Q467" s="441">
        <f>CONVERT(50,"mm","in")</f>
        <v>1.9685039370078741</v>
      </c>
      <c r="R467" s="442">
        <v>2.5</v>
      </c>
      <c r="S467" s="44">
        <v>0.13007273468907776</v>
      </c>
      <c r="T467" s="33">
        <v>6.375</v>
      </c>
      <c r="U467" s="33">
        <v>1.125</v>
      </c>
      <c r="V467" s="70">
        <v>1.125</v>
      </c>
      <c r="W467" s="90" t="s">
        <v>259</v>
      </c>
      <c r="X467" s="89" t="s">
        <v>259</v>
      </c>
      <c r="Y467" s="89" t="s">
        <v>259</v>
      </c>
      <c r="Z467" s="249" t="s">
        <v>259</v>
      </c>
      <c r="AA467" s="44">
        <v>1.3227735731092654</v>
      </c>
      <c r="AB467" s="33">
        <v>9.25</v>
      </c>
      <c r="AC467" s="33">
        <v>3.875</v>
      </c>
      <c r="AD467" s="70">
        <v>3.125</v>
      </c>
      <c r="AE467" s="44">
        <f t="shared" si="28"/>
        <v>6.4821596498842587E-2</v>
      </c>
      <c r="AF467" s="85" t="s">
        <v>1399</v>
      </c>
      <c r="AG467" s="18" t="s">
        <v>1366</v>
      </c>
      <c r="AH467" s="85" t="s">
        <v>1405</v>
      </c>
      <c r="AI467" s="37" t="s">
        <v>1391</v>
      </c>
      <c r="AJ467" s="555" t="s">
        <v>1368</v>
      </c>
      <c r="AK467" s="555"/>
      <c r="AL467" s="555"/>
      <c r="AM467" s="555"/>
      <c r="AN467" s="85" t="s">
        <v>1367</v>
      </c>
      <c r="AO467" s="18" t="s">
        <v>2909</v>
      </c>
      <c r="AP467" s="18" t="s">
        <v>1932</v>
      </c>
    </row>
    <row r="468" spans="1:42" s="18" customFormat="1" ht="13.5" customHeight="1" x14ac:dyDescent="0.2">
      <c r="A468" s="18" t="s">
        <v>1837</v>
      </c>
      <c r="B468" s="1" t="s">
        <v>1173</v>
      </c>
      <c r="C468" s="1" t="s">
        <v>1297</v>
      </c>
      <c r="D468" s="1" t="s">
        <v>1613</v>
      </c>
      <c r="E468" s="18" t="s">
        <v>1303</v>
      </c>
      <c r="F468" s="18" t="s">
        <v>2522</v>
      </c>
      <c r="G468" s="3" t="s">
        <v>1243</v>
      </c>
      <c r="J468" s="37" t="s">
        <v>1299</v>
      </c>
      <c r="K468" s="36" t="s">
        <v>977</v>
      </c>
      <c r="L468" s="510">
        <v>22.99</v>
      </c>
      <c r="M468" s="35">
        <v>1</v>
      </c>
      <c r="N468" s="239">
        <v>15</v>
      </c>
      <c r="O468" s="44">
        <f>CONVERT(0.116,"kg","lbm")</f>
        <v>0.25573622413445801</v>
      </c>
      <c r="P468" s="441"/>
      <c r="Q468" s="441">
        <v>3.1</v>
      </c>
      <c r="R468" s="442">
        <v>2.2999999999999998</v>
      </c>
      <c r="S468" s="44">
        <v>0.26</v>
      </c>
      <c r="T468" s="33">
        <v>9.1</v>
      </c>
      <c r="U468" s="33">
        <v>1.75</v>
      </c>
      <c r="V468" s="70">
        <v>1.4</v>
      </c>
      <c r="W468" s="90" t="s">
        <v>259</v>
      </c>
      <c r="X468" s="89" t="s">
        <v>259</v>
      </c>
      <c r="Y468" s="89" t="s">
        <v>259</v>
      </c>
      <c r="Z468" s="249" t="s">
        <v>259</v>
      </c>
      <c r="AA468" s="44">
        <v>4.4000000000000004</v>
      </c>
      <c r="AB468" s="33">
        <v>9.75</v>
      </c>
      <c r="AC468" s="33">
        <v>5</v>
      </c>
      <c r="AD468" s="70">
        <v>10.25</v>
      </c>
      <c r="AE468" s="44">
        <f t="shared" si="28"/>
        <v>0.28917100694444442</v>
      </c>
      <c r="AF468" s="85" t="s">
        <v>1311</v>
      </c>
      <c r="AG468" s="18" t="s">
        <v>1317</v>
      </c>
      <c r="AH468" s="85" t="s">
        <v>1310</v>
      </c>
      <c r="AI468" s="37" t="s">
        <v>1341</v>
      </c>
      <c r="AJ468" s="85" t="s">
        <v>1348</v>
      </c>
      <c r="AK468" s="85"/>
      <c r="AL468" s="85"/>
      <c r="AM468" s="85"/>
      <c r="AN468" s="85" t="s">
        <v>1326</v>
      </c>
      <c r="AO468" s="18" t="s">
        <v>2909</v>
      </c>
      <c r="AP468" s="18" t="s">
        <v>1932</v>
      </c>
    </row>
    <row r="469" spans="1:42" s="18" customFormat="1" x14ac:dyDescent="0.2">
      <c r="A469" s="18" t="s">
        <v>1837</v>
      </c>
      <c r="B469" s="453" t="s">
        <v>1182</v>
      </c>
      <c r="C469" s="453" t="s">
        <v>1494</v>
      </c>
      <c r="D469" s="453" t="s">
        <v>2721</v>
      </c>
      <c r="E469" s="18" t="s">
        <v>3403</v>
      </c>
      <c r="F469" s="18" t="s">
        <v>2520</v>
      </c>
      <c r="G469" s="97" t="s">
        <v>1252</v>
      </c>
      <c r="J469" s="37" t="s">
        <v>3407</v>
      </c>
      <c r="K469" s="36" t="s">
        <v>977</v>
      </c>
      <c r="L469" s="514" t="e">
        <f>IF($B469="","",VLOOKUP($B469,'2017 Pricelist'!$C:$I,7,FALSE))</f>
        <v>#N/A</v>
      </c>
      <c r="M469" s="35">
        <v>1</v>
      </c>
      <c r="N469" s="454">
        <v>10</v>
      </c>
      <c r="O469" s="44">
        <f>CONVERT(0.151,"kg","lbm")</f>
        <v>0.33289801589916512</v>
      </c>
      <c r="P469" s="441">
        <f>CONVERT(359,"mm","in")</f>
        <v>14.133858267716537</v>
      </c>
      <c r="Q469" s="441">
        <f>CONVERT(114,"mm","in")</f>
        <v>4.4881889763779528</v>
      </c>
      <c r="R469" s="442">
        <v>2.5</v>
      </c>
      <c r="S469" s="44">
        <v>0.33289801589916512</v>
      </c>
      <c r="T469" s="33">
        <v>14</v>
      </c>
      <c r="U469" s="33">
        <v>1.25</v>
      </c>
      <c r="V469" s="70">
        <v>1.25</v>
      </c>
      <c r="W469" s="90" t="s">
        <v>259</v>
      </c>
      <c r="X469" s="89" t="s">
        <v>259</v>
      </c>
      <c r="Y469" s="89" t="s">
        <v>259</v>
      </c>
      <c r="Z469" s="249" t="s">
        <v>259</v>
      </c>
      <c r="AA469" s="44">
        <v>3.45</v>
      </c>
      <c r="AB469" s="33">
        <v>14.5</v>
      </c>
      <c r="AC469" s="33">
        <v>5</v>
      </c>
      <c r="AD469" s="70">
        <v>3</v>
      </c>
      <c r="AE469" s="44">
        <f>AB469*AC469*AD469/(12^3)</f>
        <v>0.12586805555555555</v>
      </c>
      <c r="AF469" s="37" t="s">
        <v>1370</v>
      </c>
      <c r="AG469" s="18" t="s">
        <v>1378</v>
      </c>
      <c r="AI469" s="37" t="s">
        <v>1448</v>
      </c>
      <c r="AJ469" s="37" t="s">
        <v>1371</v>
      </c>
      <c r="AK469" s="37"/>
      <c r="AL469" s="37"/>
      <c r="AM469" s="37"/>
      <c r="AN469" s="37" t="s">
        <v>1369</v>
      </c>
      <c r="AO469" s="18" t="s">
        <v>2909</v>
      </c>
      <c r="AP469" s="18" t="s">
        <v>1932</v>
      </c>
    </row>
    <row r="470" spans="1:42" s="18" customFormat="1" x14ac:dyDescent="0.2">
      <c r="A470" s="18" t="s">
        <v>1837</v>
      </c>
      <c r="B470" s="84" t="s">
        <v>1708</v>
      </c>
      <c r="C470" s="1" t="s">
        <v>3459</v>
      </c>
      <c r="D470" s="84" t="s">
        <v>3462</v>
      </c>
      <c r="F470" s="18" t="s">
        <v>2547</v>
      </c>
      <c r="G470" s="109">
        <v>7316220023433</v>
      </c>
      <c r="J470" s="37" t="s">
        <v>3457</v>
      </c>
      <c r="K470" s="36" t="s">
        <v>977</v>
      </c>
      <c r="L470" s="512">
        <v>34.99</v>
      </c>
      <c r="M470" s="35">
        <v>1</v>
      </c>
      <c r="N470" s="239">
        <v>5</v>
      </c>
      <c r="O470" s="44">
        <f>CONVERT(0.059,"kg","lbm")</f>
        <v>0.13007273468907776</v>
      </c>
      <c r="P470" s="33">
        <v>7.75</v>
      </c>
      <c r="Q470" s="441">
        <f>CONVERT(110,"mm","in")</f>
        <v>4.3307086614173231</v>
      </c>
      <c r="R470" s="442">
        <v>2.7</v>
      </c>
      <c r="S470" s="91">
        <v>0.13007273468907776</v>
      </c>
      <c r="T470" s="37">
        <v>13.5</v>
      </c>
      <c r="U470" s="37">
        <v>2.5</v>
      </c>
      <c r="V470" s="237">
        <v>0.2</v>
      </c>
      <c r="W470" s="90">
        <v>0.55000000000000004</v>
      </c>
      <c r="X470" s="89">
        <v>8.5</v>
      </c>
      <c r="Y470" s="89">
        <v>13</v>
      </c>
      <c r="Z470" s="249">
        <v>0.1</v>
      </c>
      <c r="AA470" s="44"/>
      <c r="AB470" s="33">
        <v>14</v>
      </c>
      <c r="AC470" s="33">
        <v>9</v>
      </c>
      <c r="AD470" s="70">
        <v>2</v>
      </c>
      <c r="AE470" s="44">
        <f t="shared" si="28"/>
        <v>0.14583333333333334</v>
      </c>
      <c r="AF470" s="1" t="s">
        <v>1298</v>
      </c>
      <c r="AG470" s="37" t="s">
        <v>1957</v>
      </c>
      <c r="AH470" s="37" t="s">
        <v>1960</v>
      </c>
      <c r="AI470" s="37" t="s">
        <v>1971</v>
      </c>
      <c r="AJ470" s="37" t="s">
        <v>1978</v>
      </c>
      <c r="AK470" s="37"/>
      <c r="AL470" s="37"/>
      <c r="AM470" s="37"/>
      <c r="AN470" s="104"/>
      <c r="AO470" s="18" t="s">
        <v>2909</v>
      </c>
      <c r="AP470" s="18" t="s">
        <v>1932</v>
      </c>
    </row>
    <row r="471" spans="1:42" s="18" customFormat="1" ht="13.5" customHeight="1" x14ac:dyDescent="0.2">
      <c r="B471" s="1"/>
      <c r="C471" s="1"/>
      <c r="D471" s="1"/>
      <c r="G471" s="3"/>
      <c r="J471" s="37"/>
      <c r="K471" s="36"/>
      <c r="L471" s="82"/>
      <c r="M471" s="35"/>
      <c r="N471" s="35"/>
      <c r="O471" s="44"/>
      <c r="P471" s="482"/>
      <c r="Q471" s="441"/>
      <c r="R471" s="481"/>
      <c r="S471" s="33"/>
      <c r="T471" s="33"/>
      <c r="U471" s="33"/>
      <c r="V471" s="33"/>
      <c r="W471" s="90"/>
      <c r="X471" s="89"/>
      <c r="Y471" s="89"/>
      <c r="Z471" s="249"/>
      <c r="AA471" s="44"/>
      <c r="AB471" s="33"/>
      <c r="AC471" s="33"/>
      <c r="AD471" s="70"/>
      <c r="AE471" s="33"/>
      <c r="AF471" s="85"/>
      <c r="AG471" s="85"/>
      <c r="AH471" s="85"/>
      <c r="AI471" s="37"/>
      <c r="AJ471" s="85"/>
      <c r="AK471" s="85"/>
      <c r="AL471" s="85"/>
      <c r="AM471" s="85"/>
      <c r="AN471" s="85"/>
    </row>
    <row r="472" spans="1:42" s="18" customFormat="1" x14ac:dyDescent="0.2">
      <c r="A472" s="18" t="s">
        <v>649</v>
      </c>
      <c r="B472" s="19" t="s">
        <v>644</v>
      </c>
      <c r="C472" s="18" t="s">
        <v>647</v>
      </c>
      <c r="D472" s="24" t="s">
        <v>643</v>
      </c>
      <c r="E472" s="18" t="s">
        <v>647</v>
      </c>
      <c r="G472" s="55" t="s">
        <v>640</v>
      </c>
      <c r="H472" s="55"/>
      <c r="I472" s="55"/>
      <c r="J472" s="55" t="s">
        <v>852</v>
      </c>
      <c r="K472" s="36" t="s">
        <v>975</v>
      </c>
      <c r="L472" s="5">
        <v>19.989999999999998</v>
      </c>
      <c r="M472" s="35">
        <v>6</v>
      </c>
      <c r="N472" s="35">
        <v>24</v>
      </c>
      <c r="O472" s="345"/>
      <c r="P472" s="35"/>
      <c r="Q472" s="35"/>
      <c r="R472" s="187"/>
      <c r="S472" s="33">
        <v>0.23</v>
      </c>
      <c r="T472" s="33">
        <v>1.5</v>
      </c>
      <c r="U472" s="33">
        <v>6.5</v>
      </c>
      <c r="V472" s="33">
        <v>5.5</v>
      </c>
      <c r="W472" s="44">
        <v>1.2</v>
      </c>
      <c r="X472" s="33">
        <v>12.5</v>
      </c>
      <c r="Y472" s="33">
        <v>5</v>
      </c>
      <c r="Z472" s="70">
        <v>6</v>
      </c>
      <c r="AA472" s="44">
        <v>6</v>
      </c>
      <c r="AB472" s="33">
        <v>13</v>
      </c>
      <c r="AC472" s="33">
        <v>11</v>
      </c>
      <c r="AD472" s="70">
        <v>12.5</v>
      </c>
      <c r="AE472" s="33">
        <f t="shared" ref="AE472:AE477" si="29">AB472*AC472*AD472/(12^3)</f>
        <v>1.0344328703703705</v>
      </c>
      <c r="AF472" s="37" t="s">
        <v>56</v>
      </c>
      <c r="AG472" s="19" t="s">
        <v>57</v>
      </c>
      <c r="AH472" s="19" t="s">
        <v>58</v>
      </c>
      <c r="AI472" s="19" t="s">
        <v>59</v>
      </c>
      <c r="AJ472" s="19"/>
      <c r="AK472" s="19"/>
      <c r="AL472" s="19"/>
      <c r="AM472" s="19"/>
      <c r="AN472" s="38" t="s">
        <v>80</v>
      </c>
      <c r="AO472" s="37" t="s">
        <v>1072</v>
      </c>
      <c r="AP472" s="18" t="s">
        <v>490</v>
      </c>
    </row>
    <row r="473" spans="1:42" s="18" customFormat="1" x14ac:dyDescent="0.2">
      <c r="A473" s="18" t="s">
        <v>649</v>
      </c>
      <c r="B473" s="19" t="s">
        <v>646</v>
      </c>
      <c r="C473" s="18" t="s">
        <v>484</v>
      </c>
      <c r="D473" s="24" t="s">
        <v>645</v>
      </c>
      <c r="E473" s="18" t="s">
        <v>484</v>
      </c>
      <c r="G473" s="55" t="s">
        <v>641</v>
      </c>
      <c r="H473" s="55"/>
      <c r="I473" s="55"/>
      <c r="J473" s="55" t="s">
        <v>851</v>
      </c>
      <c r="K473" s="36" t="s">
        <v>975</v>
      </c>
      <c r="L473" s="5">
        <v>29.99</v>
      </c>
      <c r="M473" s="35">
        <v>6</v>
      </c>
      <c r="N473" s="35">
        <v>24</v>
      </c>
      <c r="O473" s="345"/>
      <c r="P473" s="35"/>
      <c r="Q473" s="35"/>
      <c r="R473" s="187"/>
      <c r="S473" s="33">
        <v>0.19</v>
      </c>
      <c r="T473" s="33">
        <v>1.25</v>
      </c>
      <c r="U473" s="33">
        <v>7</v>
      </c>
      <c r="V473" s="33">
        <v>5.25</v>
      </c>
      <c r="W473" s="44">
        <v>1.4</v>
      </c>
      <c r="X473" s="33">
        <v>6.5</v>
      </c>
      <c r="Y473" s="33">
        <v>5.5</v>
      </c>
      <c r="Z473" s="70">
        <v>7.5</v>
      </c>
      <c r="AA473" s="44">
        <v>6.35</v>
      </c>
      <c r="AB473" s="33">
        <v>12</v>
      </c>
      <c r="AC473" s="33">
        <v>13.5</v>
      </c>
      <c r="AD473" s="70">
        <v>8</v>
      </c>
      <c r="AE473" s="33">
        <f t="shared" si="29"/>
        <v>0.75</v>
      </c>
      <c r="AF473" s="37" t="s">
        <v>53</v>
      </c>
      <c r="AG473" s="19" t="s">
        <v>54</v>
      </c>
      <c r="AH473" s="19" t="s">
        <v>55</v>
      </c>
      <c r="AI473" s="19" t="s">
        <v>57</v>
      </c>
      <c r="AJ473" s="19" t="s">
        <v>59</v>
      </c>
      <c r="AK473" s="19"/>
      <c r="AL473" s="19"/>
      <c r="AM473" s="19"/>
      <c r="AN473" s="37" t="s">
        <v>97</v>
      </c>
      <c r="AO473" s="37" t="s">
        <v>1072</v>
      </c>
      <c r="AP473" s="18" t="s">
        <v>490</v>
      </c>
    </row>
    <row r="474" spans="1:42" s="18" customFormat="1" ht="13.5" customHeight="1" x14ac:dyDescent="0.2">
      <c r="A474" s="18" t="s">
        <v>649</v>
      </c>
      <c r="B474" s="19" t="s">
        <v>559</v>
      </c>
      <c r="C474" s="19" t="s">
        <v>484</v>
      </c>
      <c r="D474" s="24" t="s">
        <v>173</v>
      </c>
      <c r="E474" s="18" t="s">
        <v>484</v>
      </c>
      <c r="G474" s="28" t="s">
        <v>174</v>
      </c>
      <c r="H474" s="28"/>
      <c r="I474" s="28"/>
      <c r="J474" s="55" t="s">
        <v>879</v>
      </c>
      <c r="K474" s="55" t="s">
        <v>976</v>
      </c>
      <c r="L474" s="5">
        <v>19.989999999999998</v>
      </c>
      <c r="M474" s="35">
        <v>12</v>
      </c>
      <c r="N474" s="35">
        <v>24</v>
      </c>
      <c r="O474" s="345"/>
      <c r="P474" s="35"/>
      <c r="Q474" s="35"/>
      <c r="R474" s="187"/>
      <c r="S474" s="33">
        <v>0.17599999999999999</v>
      </c>
      <c r="T474" s="33">
        <v>3.5</v>
      </c>
      <c r="U474" s="33">
        <v>1.25</v>
      </c>
      <c r="V474" s="70">
        <v>6.5</v>
      </c>
      <c r="W474" s="44"/>
      <c r="X474" s="33"/>
      <c r="Y474" s="33"/>
      <c r="Z474" s="70"/>
      <c r="AA474" s="44"/>
      <c r="AB474" s="33"/>
      <c r="AC474" s="33"/>
      <c r="AD474" s="70"/>
      <c r="AE474" s="33">
        <f t="shared" si="29"/>
        <v>0</v>
      </c>
      <c r="AF474" s="24" t="s">
        <v>168</v>
      </c>
      <c r="AG474" s="24" t="s">
        <v>169</v>
      </c>
      <c r="AH474" s="19" t="s">
        <v>170</v>
      </c>
      <c r="AI474" s="19" t="s">
        <v>171</v>
      </c>
      <c r="AJ474" s="37"/>
      <c r="AK474" s="37"/>
      <c r="AL474" s="37"/>
      <c r="AM474" s="37"/>
      <c r="AN474" s="37" t="s">
        <v>172</v>
      </c>
      <c r="AO474" s="37" t="s">
        <v>1072</v>
      </c>
      <c r="AP474" s="18" t="s">
        <v>490</v>
      </c>
    </row>
    <row r="475" spans="1:42" s="18" customFormat="1" x14ac:dyDescent="0.2">
      <c r="A475" s="18" t="s">
        <v>649</v>
      </c>
      <c r="B475" s="19" t="s">
        <v>420</v>
      </c>
      <c r="C475" s="19" t="s">
        <v>484</v>
      </c>
      <c r="D475" s="24" t="s">
        <v>642</v>
      </c>
      <c r="E475" s="18" t="s">
        <v>484</v>
      </c>
      <c r="G475" s="55" t="s">
        <v>639</v>
      </c>
      <c r="H475" s="55"/>
      <c r="I475" s="55"/>
      <c r="J475" s="55" t="s">
        <v>851</v>
      </c>
      <c r="K475" s="36" t="s">
        <v>975</v>
      </c>
      <c r="L475" s="5">
        <v>19.989999999999998</v>
      </c>
      <c r="M475" s="35">
        <v>6</v>
      </c>
      <c r="N475" s="35">
        <v>24</v>
      </c>
      <c r="O475" s="345"/>
      <c r="P475" s="35"/>
      <c r="Q475" s="35"/>
      <c r="R475" s="187"/>
      <c r="S475" s="33">
        <v>0.13</v>
      </c>
      <c r="T475" s="33">
        <v>0.625</v>
      </c>
      <c r="U475" s="33">
        <v>4.25</v>
      </c>
      <c r="V475" s="33">
        <v>8.5</v>
      </c>
      <c r="W475" s="44">
        <v>1</v>
      </c>
      <c r="X475" s="33">
        <v>9</v>
      </c>
      <c r="Y475" s="33">
        <v>4.5</v>
      </c>
      <c r="Z475" s="70">
        <v>4.5</v>
      </c>
      <c r="AA475" s="44">
        <v>4.8</v>
      </c>
      <c r="AB475" s="33">
        <v>10</v>
      </c>
      <c r="AC475" s="33">
        <v>10</v>
      </c>
      <c r="AD475" s="70">
        <v>10</v>
      </c>
      <c r="AE475" s="33">
        <f t="shared" si="29"/>
        <v>0.57870370370370372</v>
      </c>
      <c r="AF475" s="24" t="s">
        <v>53</v>
      </c>
      <c r="AG475" s="19" t="s">
        <v>54</v>
      </c>
      <c r="AH475" s="19" t="s">
        <v>55</v>
      </c>
      <c r="AI475" s="19" t="s">
        <v>233</v>
      </c>
      <c r="AJ475" s="19" t="s">
        <v>232</v>
      </c>
      <c r="AK475" s="19"/>
      <c r="AL475" s="19"/>
      <c r="AM475" s="19"/>
      <c r="AN475" s="38" t="s">
        <v>419</v>
      </c>
      <c r="AO475" s="37" t="s">
        <v>1072</v>
      </c>
      <c r="AP475" s="18" t="s">
        <v>490</v>
      </c>
    </row>
    <row r="476" spans="1:42" s="18" customFormat="1" x14ac:dyDescent="0.2">
      <c r="A476" s="18" t="s">
        <v>649</v>
      </c>
      <c r="B476" s="19" t="s">
        <v>1589</v>
      </c>
      <c r="C476" s="19" t="s">
        <v>219</v>
      </c>
      <c r="D476" s="19" t="s">
        <v>1590</v>
      </c>
      <c r="E476" s="18" t="s">
        <v>219</v>
      </c>
      <c r="G476" s="28" t="s">
        <v>251</v>
      </c>
      <c r="H476" s="28"/>
      <c r="I476" s="28"/>
      <c r="J476" s="55" t="s">
        <v>879</v>
      </c>
      <c r="K476" s="55" t="s">
        <v>976</v>
      </c>
      <c r="L476" s="5">
        <v>14.99</v>
      </c>
      <c r="M476" s="35">
        <v>1</v>
      </c>
      <c r="N476" s="35">
        <v>50</v>
      </c>
      <c r="O476" s="345"/>
      <c r="P476" s="35"/>
      <c r="Q476" s="35"/>
      <c r="R476" s="187"/>
      <c r="S476" s="33">
        <v>0.2</v>
      </c>
      <c r="T476" s="33">
        <v>1.5</v>
      </c>
      <c r="U476" s="33">
        <v>8</v>
      </c>
      <c r="V476" s="70">
        <v>5.5</v>
      </c>
      <c r="W476" s="44" t="s">
        <v>856</v>
      </c>
      <c r="X476" s="33" t="s">
        <v>856</v>
      </c>
      <c r="Y476" s="33" t="s">
        <v>856</v>
      </c>
      <c r="Z476" s="70" t="s">
        <v>856</v>
      </c>
      <c r="AA476" s="44"/>
      <c r="AB476" s="33">
        <v>12</v>
      </c>
      <c r="AC476" s="33">
        <v>18</v>
      </c>
      <c r="AD476" s="70">
        <v>9.5</v>
      </c>
      <c r="AE476" s="33">
        <f t="shared" si="29"/>
        <v>1.1875</v>
      </c>
      <c r="AF476" s="19" t="s">
        <v>254</v>
      </c>
      <c r="AG476" s="19" t="s">
        <v>255</v>
      </c>
      <c r="AH476" s="19" t="s">
        <v>256</v>
      </c>
      <c r="AI476" s="19" t="s">
        <v>257</v>
      </c>
      <c r="AJ476" s="19" t="s">
        <v>454</v>
      </c>
      <c r="AK476" s="19"/>
      <c r="AL476" s="19"/>
      <c r="AM476" s="19"/>
      <c r="AN476" s="38" t="s">
        <v>453</v>
      </c>
      <c r="AO476" s="37" t="s">
        <v>1072</v>
      </c>
      <c r="AP476" s="18" t="s">
        <v>490</v>
      </c>
    </row>
    <row r="477" spans="1:42" s="18" customFormat="1" x14ac:dyDescent="0.2">
      <c r="A477" s="18" t="s">
        <v>649</v>
      </c>
      <c r="B477" s="19" t="s">
        <v>1589</v>
      </c>
      <c r="C477" s="19" t="s">
        <v>483</v>
      </c>
      <c r="D477" s="24" t="s">
        <v>1591</v>
      </c>
      <c r="E477" s="18" t="s">
        <v>483</v>
      </c>
      <c r="G477" s="55" t="s">
        <v>252</v>
      </c>
      <c r="H477" s="55"/>
      <c r="I477" s="55"/>
      <c r="J477" s="55" t="s">
        <v>879</v>
      </c>
      <c r="K477" s="55" t="s">
        <v>976</v>
      </c>
      <c r="L477" s="5">
        <v>14.99</v>
      </c>
      <c r="M477" s="35">
        <v>1</v>
      </c>
      <c r="N477" s="35">
        <v>50</v>
      </c>
      <c r="O477" s="345"/>
      <c r="P477" s="35"/>
      <c r="Q477" s="35"/>
      <c r="R477" s="187"/>
      <c r="S477" s="33">
        <v>0.2</v>
      </c>
      <c r="T477" s="33">
        <v>1.5</v>
      </c>
      <c r="U477" s="33">
        <v>8</v>
      </c>
      <c r="V477" s="70">
        <v>5.5</v>
      </c>
      <c r="W477" s="44" t="s">
        <v>856</v>
      </c>
      <c r="X477" s="33" t="s">
        <v>856</v>
      </c>
      <c r="Y477" s="33" t="s">
        <v>856</v>
      </c>
      <c r="Z477" s="70" t="s">
        <v>856</v>
      </c>
      <c r="AA477" s="44"/>
      <c r="AB477" s="33">
        <v>12</v>
      </c>
      <c r="AC477" s="33">
        <v>18</v>
      </c>
      <c r="AD477" s="70">
        <v>9.5</v>
      </c>
      <c r="AE477" s="33">
        <f t="shared" si="29"/>
        <v>1.1875</v>
      </c>
      <c r="AF477" s="24" t="s">
        <v>254</v>
      </c>
      <c r="AG477" s="19" t="s">
        <v>255</v>
      </c>
      <c r="AH477" s="19" t="s">
        <v>256</v>
      </c>
      <c r="AI477" s="19" t="s">
        <v>257</v>
      </c>
      <c r="AJ477" s="19" t="s">
        <v>455</v>
      </c>
      <c r="AK477" s="19"/>
      <c r="AL477" s="19"/>
      <c r="AM477" s="19"/>
      <c r="AN477" s="38" t="s">
        <v>453</v>
      </c>
      <c r="AO477" s="37" t="s">
        <v>1072</v>
      </c>
      <c r="AP477" s="18" t="s">
        <v>490</v>
      </c>
    </row>
    <row r="478" spans="1:42" s="18" customFormat="1" x14ac:dyDescent="0.2">
      <c r="A478" s="18" t="s">
        <v>649</v>
      </c>
      <c r="B478" s="19" t="s">
        <v>556</v>
      </c>
      <c r="D478" s="24" t="s">
        <v>2678</v>
      </c>
      <c r="E478" s="18" t="s">
        <v>266</v>
      </c>
      <c r="G478" s="55" t="s">
        <v>267</v>
      </c>
      <c r="H478" s="55"/>
      <c r="I478" s="55"/>
      <c r="J478" s="55" t="s">
        <v>879</v>
      </c>
      <c r="K478" s="55" t="s">
        <v>976</v>
      </c>
      <c r="L478" s="5">
        <v>21.99</v>
      </c>
      <c r="M478" s="35">
        <v>1</v>
      </c>
      <c r="N478" s="35">
        <v>48</v>
      </c>
      <c r="O478" s="345"/>
      <c r="P478" s="35"/>
      <c r="Q478" s="35"/>
      <c r="R478" s="187"/>
      <c r="S478" s="33">
        <v>0.4</v>
      </c>
      <c r="T478" s="33">
        <v>2.25</v>
      </c>
      <c r="U478" s="33">
        <v>8.6300000000000008</v>
      </c>
      <c r="V478" s="33">
        <v>7.5</v>
      </c>
      <c r="W478" s="44"/>
      <c r="X478" s="33"/>
      <c r="Y478" s="33"/>
      <c r="Z478" s="33"/>
      <c r="AA478" s="44"/>
      <c r="AB478" s="33">
        <v>16.25</v>
      </c>
      <c r="AC478" s="33">
        <v>31</v>
      </c>
      <c r="AD478" s="70">
        <v>9.5</v>
      </c>
      <c r="AE478" s="33">
        <f t="shared" ref="AE478" si="30">AB478*AC478*AD478/(12^3)</f>
        <v>2.7694589120370372</v>
      </c>
      <c r="AF478" s="24" t="s">
        <v>254</v>
      </c>
      <c r="AG478" s="19" t="s">
        <v>255</v>
      </c>
      <c r="AH478" s="19" t="s">
        <v>256</v>
      </c>
      <c r="AI478" s="19" t="s">
        <v>660</v>
      </c>
      <c r="AJ478" s="19" t="s">
        <v>661</v>
      </c>
      <c r="AK478" s="38" t="s">
        <v>268</v>
      </c>
      <c r="AN478" s="37" t="s">
        <v>1072</v>
      </c>
      <c r="AO478" s="18" t="s">
        <v>490</v>
      </c>
    </row>
    <row r="479" spans="1:42" s="18" customFormat="1" ht="19.5" customHeight="1" x14ac:dyDescent="0.2">
      <c r="A479" s="102" t="s">
        <v>1006</v>
      </c>
      <c r="B479" s="33"/>
      <c r="C479" s="33"/>
      <c r="D479" s="34"/>
      <c r="G479" s="66"/>
      <c r="H479" s="66"/>
      <c r="I479" s="66"/>
      <c r="J479" s="47"/>
      <c r="K479" s="36"/>
      <c r="L479" s="5"/>
      <c r="M479" s="35"/>
      <c r="N479" s="35"/>
      <c r="O479" s="345"/>
      <c r="P479" s="35"/>
      <c r="Q479" s="35"/>
      <c r="R479" s="187"/>
      <c r="S479" s="33"/>
      <c r="T479" s="33"/>
      <c r="U479" s="33"/>
      <c r="V479" s="70"/>
      <c r="W479" s="44"/>
      <c r="X479" s="33"/>
      <c r="Y479" s="33"/>
      <c r="Z479" s="70"/>
      <c r="AA479" s="44"/>
      <c r="AB479" s="33"/>
      <c r="AC479" s="33"/>
      <c r="AD479" s="70"/>
      <c r="AE479" s="33"/>
      <c r="AO479" s="96"/>
    </row>
    <row r="480" spans="1:42" s="18" customFormat="1" x14ac:dyDescent="0.2">
      <c r="A480" s="18" t="s">
        <v>744</v>
      </c>
      <c r="B480" s="19" t="s">
        <v>745</v>
      </c>
      <c r="C480" s="19"/>
      <c r="D480" s="19" t="s">
        <v>746</v>
      </c>
      <c r="G480" s="47">
        <v>611102000104</v>
      </c>
      <c r="H480" s="47"/>
      <c r="I480" s="47"/>
      <c r="J480" s="28" t="s">
        <v>878</v>
      </c>
      <c r="K480" s="36" t="s">
        <v>975</v>
      </c>
      <c r="L480" s="5">
        <v>37.99</v>
      </c>
      <c r="M480" s="35">
        <v>12</v>
      </c>
      <c r="N480" s="35">
        <v>12</v>
      </c>
      <c r="O480" s="345"/>
      <c r="P480" s="35"/>
      <c r="Q480" s="35"/>
      <c r="R480" s="187"/>
      <c r="S480" s="33">
        <v>0.25</v>
      </c>
      <c r="T480" s="33">
        <v>1</v>
      </c>
      <c r="U480" s="33">
        <v>4.13</v>
      </c>
      <c r="V480" s="70">
        <v>7</v>
      </c>
      <c r="W480" s="44"/>
      <c r="X480" s="33"/>
      <c r="Y480" s="33"/>
      <c r="Z480" s="70"/>
      <c r="AA480" s="44" t="s">
        <v>259</v>
      </c>
      <c r="AB480" s="33"/>
      <c r="AC480" s="33"/>
      <c r="AD480" s="70"/>
      <c r="AE480" s="33">
        <f>AB480*AC480*AD480/(12^3)</f>
        <v>0</v>
      </c>
      <c r="AF480" s="37" t="s">
        <v>747</v>
      </c>
      <c r="AG480" s="37" t="s">
        <v>5</v>
      </c>
      <c r="AH480" s="37" t="s">
        <v>6</v>
      </c>
      <c r="AI480" s="37" t="s">
        <v>7</v>
      </c>
      <c r="AJ480" s="37" t="s">
        <v>748</v>
      </c>
      <c r="AK480" s="37"/>
      <c r="AL480" s="37"/>
      <c r="AM480" s="37"/>
      <c r="AN480" s="37" t="s">
        <v>9</v>
      </c>
      <c r="AO480" s="94"/>
      <c r="AP480" s="13"/>
    </row>
    <row r="481" spans="1:42" s="18" customFormat="1" ht="13.5" customHeight="1" x14ac:dyDescent="0.2">
      <c r="A481" s="18" t="s">
        <v>744</v>
      </c>
      <c r="B481" s="19" t="s">
        <v>749</v>
      </c>
      <c r="C481" s="19"/>
      <c r="D481" s="19" t="s">
        <v>750</v>
      </c>
      <c r="G481" s="47">
        <v>611102000432</v>
      </c>
      <c r="H481" s="47"/>
      <c r="I481" s="47"/>
      <c r="J481" s="28" t="s">
        <v>878</v>
      </c>
      <c r="K481" s="36" t="s">
        <v>975</v>
      </c>
      <c r="L481" s="5"/>
      <c r="M481" s="35"/>
      <c r="N481" s="35"/>
      <c r="O481" s="345"/>
      <c r="P481" s="35"/>
      <c r="Q481" s="35"/>
      <c r="R481" s="187"/>
      <c r="S481" s="33"/>
      <c r="T481" s="33"/>
      <c r="U481" s="33"/>
      <c r="V481" s="70"/>
      <c r="W481" s="44"/>
      <c r="X481" s="33"/>
      <c r="Y481" s="33"/>
      <c r="Z481" s="70"/>
      <c r="AA481" s="44"/>
      <c r="AB481" s="33"/>
      <c r="AC481" s="33"/>
      <c r="AD481" s="70"/>
      <c r="AE481" s="33"/>
      <c r="AF481" s="84" t="s">
        <v>752</v>
      </c>
      <c r="AG481" s="84" t="s">
        <v>753</v>
      </c>
      <c r="AH481" s="84" t="s">
        <v>754</v>
      </c>
      <c r="AI481" s="84" t="s">
        <v>755</v>
      </c>
      <c r="AJ481" s="84" t="s">
        <v>756</v>
      </c>
      <c r="AK481" s="84"/>
      <c r="AL481" s="84"/>
      <c r="AM481" s="84"/>
      <c r="AN481" s="37" t="s">
        <v>751</v>
      </c>
      <c r="AO481" s="63"/>
      <c r="AP481" s="13"/>
    </row>
    <row r="482" spans="1:42" s="18" customFormat="1" ht="12" customHeight="1" x14ac:dyDescent="0.2">
      <c r="A482" s="18" t="s">
        <v>846</v>
      </c>
      <c r="B482" s="33" t="s">
        <v>740</v>
      </c>
      <c r="C482" s="33" t="s">
        <v>854</v>
      </c>
      <c r="D482" s="34" t="s">
        <v>939</v>
      </c>
      <c r="G482" s="75" t="s">
        <v>766</v>
      </c>
      <c r="H482" s="75"/>
      <c r="I482" s="75"/>
      <c r="J482" s="28" t="s">
        <v>878</v>
      </c>
      <c r="K482" s="36" t="s">
        <v>975</v>
      </c>
      <c r="L482" s="5">
        <v>18.989999999999998</v>
      </c>
      <c r="M482" s="35">
        <v>12</v>
      </c>
      <c r="N482" s="35">
        <v>60</v>
      </c>
      <c r="O482" s="345"/>
      <c r="P482" s="35"/>
      <c r="Q482" s="35"/>
      <c r="R482" s="187"/>
      <c r="S482" s="33">
        <v>0.2</v>
      </c>
      <c r="T482" s="33">
        <v>6</v>
      </c>
      <c r="U482" s="33">
        <v>1</v>
      </c>
      <c r="V482" s="70">
        <v>3.75</v>
      </c>
      <c r="W482" s="44">
        <v>1.85</v>
      </c>
      <c r="X482" s="33">
        <v>7.5</v>
      </c>
      <c r="Y482" s="33">
        <v>3.5</v>
      </c>
      <c r="Z482" s="70">
        <v>2.5</v>
      </c>
      <c r="AA482" s="44">
        <v>9.9</v>
      </c>
      <c r="AB482" s="33">
        <v>14</v>
      </c>
      <c r="AC482" s="33">
        <v>8.5</v>
      </c>
      <c r="AD482" s="70">
        <v>4</v>
      </c>
      <c r="AE482" s="33">
        <f>AB482*AC482*AD482/(12^3)</f>
        <v>0.27546296296296297</v>
      </c>
      <c r="AF482" s="18" t="s">
        <v>764</v>
      </c>
      <c r="AG482" s="18" t="s">
        <v>758</v>
      </c>
      <c r="AH482" s="18" t="s">
        <v>759</v>
      </c>
      <c r="AI482" s="18" t="s">
        <v>760</v>
      </c>
      <c r="AJ482" s="18" t="s">
        <v>765</v>
      </c>
      <c r="AN482" s="37" t="s">
        <v>763</v>
      </c>
      <c r="AO482" s="96" t="s">
        <v>521</v>
      </c>
    </row>
    <row r="483" spans="1:42" s="18" customFormat="1" ht="12" customHeight="1" x14ac:dyDescent="0.2">
      <c r="A483" s="18" t="s">
        <v>846</v>
      </c>
      <c r="B483" s="33" t="s">
        <v>740</v>
      </c>
      <c r="C483" s="33" t="s">
        <v>855</v>
      </c>
      <c r="D483" s="34" t="s">
        <v>939</v>
      </c>
      <c r="G483" s="75" t="s">
        <v>766</v>
      </c>
      <c r="H483" s="75"/>
      <c r="I483" s="75"/>
      <c r="J483" s="28" t="s">
        <v>878</v>
      </c>
      <c r="K483" s="36" t="s">
        <v>975</v>
      </c>
      <c r="L483" s="5">
        <v>18.989999999999998</v>
      </c>
      <c r="M483" s="35">
        <v>12</v>
      </c>
      <c r="N483" s="35">
        <v>60</v>
      </c>
      <c r="O483" s="345"/>
      <c r="P483" s="35"/>
      <c r="Q483" s="35"/>
      <c r="R483" s="187"/>
      <c r="S483" s="33">
        <v>0.2</v>
      </c>
      <c r="T483" s="33">
        <v>6</v>
      </c>
      <c r="U483" s="33">
        <v>1</v>
      </c>
      <c r="V483" s="70">
        <v>3.75</v>
      </c>
      <c r="W483" s="44">
        <v>2.7</v>
      </c>
      <c r="X483" s="33">
        <v>12.5</v>
      </c>
      <c r="Y483" s="33">
        <v>8</v>
      </c>
      <c r="Z483" s="70">
        <v>3</v>
      </c>
      <c r="AA483" s="44">
        <v>14.95</v>
      </c>
      <c r="AB483" s="33">
        <v>16</v>
      </c>
      <c r="AC483" s="33">
        <v>13</v>
      </c>
      <c r="AD483" s="70">
        <v>9</v>
      </c>
      <c r="AE483" s="33">
        <f>AB483*AC483*AD483/(12^3)</f>
        <v>1.0833333333333333</v>
      </c>
      <c r="AF483" s="18" t="s">
        <v>764</v>
      </c>
      <c r="AG483" s="18" t="s">
        <v>758</v>
      </c>
      <c r="AH483" s="18" t="s">
        <v>759</v>
      </c>
      <c r="AI483" s="18" t="s">
        <v>760</v>
      </c>
      <c r="AJ483" s="18" t="s">
        <v>765</v>
      </c>
      <c r="AN483" s="37" t="s">
        <v>763</v>
      </c>
      <c r="AO483" s="96" t="s">
        <v>521</v>
      </c>
    </row>
    <row r="484" spans="1:42" s="18" customFormat="1" ht="12" customHeight="1" x14ac:dyDescent="0.2">
      <c r="A484" s="18" t="s">
        <v>846</v>
      </c>
      <c r="B484" s="33" t="s">
        <v>276</v>
      </c>
      <c r="C484" s="33"/>
      <c r="D484" s="34" t="s">
        <v>941</v>
      </c>
      <c r="G484" s="28" t="s">
        <v>362</v>
      </c>
      <c r="H484" s="28"/>
      <c r="I484" s="28"/>
      <c r="J484" s="47" t="s">
        <v>406</v>
      </c>
      <c r="K484" s="36" t="s">
        <v>975</v>
      </c>
      <c r="L484" s="5">
        <v>39.99</v>
      </c>
      <c r="M484" s="35">
        <v>6</v>
      </c>
      <c r="N484" s="35">
        <v>60</v>
      </c>
      <c r="O484" s="345"/>
      <c r="P484" s="35"/>
      <c r="Q484" s="35"/>
      <c r="R484" s="187"/>
      <c r="S484" s="33">
        <v>0.5</v>
      </c>
      <c r="T484" s="33">
        <v>8.5</v>
      </c>
      <c r="U484" s="33">
        <v>2.5</v>
      </c>
      <c r="V484" s="70">
        <v>2</v>
      </c>
      <c r="W484" s="44">
        <v>4.7666666666666666</v>
      </c>
      <c r="X484" s="33">
        <v>9</v>
      </c>
      <c r="Y484" s="33">
        <v>8</v>
      </c>
      <c r="Z484" s="70">
        <v>4</v>
      </c>
      <c r="AA484" s="44">
        <v>28.6</v>
      </c>
      <c r="AB484" s="33">
        <v>22</v>
      </c>
      <c r="AC484" s="33">
        <v>9.5</v>
      </c>
      <c r="AD484" s="70">
        <v>17</v>
      </c>
      <c r="AE484" s="33">
        <f>AB484*AC484*AD484/(12^3)</f>
        <v>2.0561342592592591</v>
      </c>
      <c r="AF484" s="18" t="s">
        <v>391</v>
      </c>
      <c r="AG484" s="18" t="s">
        <v>363</v>
      </c>
      <c r="AH484" s="18" t="s">
        <v>364</v>
      </c>
      <c r="AI484" s="18" t="s">
        <v>390</v>
      </c>
      <c r="AJ484" s="18" t="s">
        <v>392</v>
      </c>
      <c r="AN484" s="18" t="s">
        <v>393</v>
      </c>
      <c r="AO484" s="96" t="s">
        <v>521</v>
      </c>
    </row>
    <row r="485" spans="1:42" s="18" customFormat="1" ht="12" customHeight="1" x14ac:dyDescent="0.2">
      <c r="A485" s="18" t="s">
        <v>846</v>
      </c>
      <c r="B485" s="33" t="s">
        <v>938</v>
      </c>
      <c r="C485" s="33"/>
      <c r="D485" s="34" t="s">
        <v>942</v>
      </c>
      <c r="G485" s="66">
        <v>836514009204</v>
      </c>
      <c r="H485" s="66"/>
      <c r="I485" s="66"/>
      <c r="J485" s="28" t="s">
        <v>878</v>
      </c>
      <c r="K485" s="36" t="s">
        <v>975</v>
      </c>
      <c r="L485" s="5">
        <v>39.99</v>
      </c>
      <c r="M485" s="35">
        <v>12</v>
      </c>
      <c r="N485" s="35">
        <v>120</v>
      </c>
      <c r="O485" s="345"/>
      <c r="P485" s="35"/>
      <c r="Q485" s="35"/>
      <c r="R485" s="187"/>
      <c r="S485" s="33"/>
      <c r="T485" s="33"/>
      <c r="U485" s="33"/>
      <c r="V485" s="70"/>
      <c r="W485" s="44"/>
      <c r="X485" s="33"/>
      <c r="Y485" s="33"/>
      <c r="Z485" s="70"/>
      <c r="AA485" s="44"/>
      <c r="AB485" s="33"/>
      <c r="AC485" s="33"/>
      <c r="AD485" s="70"/>
      <c r="AE485" s="33"/>
      <c r="AF485" s="18" t="s">
        <v>1099</v>
      </c>
      <c r="AG485" s="18" t="s">
        <v>1100</v>
      </c>
      <c r="AH485" s="18" t="s">
        <v>1101</v>
      </c>
      <c r="AI485" s="18" t="s">
        <v>1102</v>
      </c>
      <c r="AJ485" s="18" t="s">
        <v>1103</v>
      </c>
      <c r="AO485" s="96"/>
    </row>
    <row r="486" spans="1:42" s="18" customFormat="1" ht="12" customHeight="1" x14ac:dyDescent="0.2">
      <c r="A486" s="18" t="s">
        <v>846</v>
      </c>
      <c r="B486" s="33" t="s">
        <v>275</v>
      </c>
      <c r="C486" s="33"/>
      <c r="D486" s="34" t="s">
        <v>288</v>
      </c>
      <c r="G486" s="28" t="s">
        <v>15</v>
      </c>
      <c r="H486" s="28"/>
      <c r="I486" s="28"/>
      <c r="J486" s="374" t="s">
        <v>190</v>
      </c>
      <c r="K486" s="36" t="s">
        <v>975</v>
      </c>
      <c r="L486" s="5">
        <v>10.99</v>
      </c>
      <c r="M486" s="35">
        <v>1</v>
      </c>
      <c r="N486" s="35">
        <v>48</v>
      </c>
      <c r="O486" s="345"/>
      <c r="P486" s="35"/>
      <c r="Q486" s="35"/>
      <c r="R486" s="187"/>
      <c r="S486" s="33">
        <v>0.27</v>
      </c>
      <c r="T486" s="33">
        <v>3</v>
      </c>
      <c r="U486" s="33">
        <v>3</v>
      </c>
      <c r="V486" s="70">
        <v>8.25</v>
      </c>
      <c r="W486" s="90" t="s">
        <v>856</v>
      </c>
      <c r="X486" s="33" t="s">
        <v>856</v>
      </c>
      <c r="Y486" s="33" t="s">
        <v>856</v>
      </c>
      <c r="Z486" s="70" t="s">
        <v>856</v>
      </c>
      <c r="AA486" s="44">
        <v>17</v>
      </c>
      <c r="AB486" s="33">
        <v>24.5</v>
      </c>
      <c r="AC486" s="33">
        <v>19</v>
      </c>
      <c r="AD486" s="70">
        <v>9.5</v>
      </c>
      <c r="AE486" s="33">
        <f t="shared" ref="AE486:AE493" si="31">AB486*AC486*AD486/(12^3)</f>
        <v>2.5591724537037037</v>
      </c>
      <c r="AF486" s="18" t="s">
        <v>284</v>
      </c>
      <c r="AG486" s="18" t="s">
        <v>285</v>
      </c>
      <c r="AH486" s="85"/>
      <c r="AI486" s="85"/>
      <c r="AJ486" s="18" t="s">
        <v>283</v>
      </c>
      <c r="AN486" s="569" t="s">
        <v>405</v>
      </c>
      <c r="AO486" s="96" t="s">
        <v>521</v>
      </c>
    </row>
    <row r="487" spans="1:42" s="18" customFormat="1" ht="12" customHeight="1" x14ac:dyDescent="0.2">
      <c r="A487" s="18" t="s">
        <v>846</v>
      </c>
      <c r="B487" s="33" t="s">
        <v>650</v>
      </c>
      <c r="C487" s="33"/>
      <c r="D487" s="34" t="s">
        <v>289</v>
      </c>
      <c r="G487" s="28" t="s">
        <v>16</v>
      </c>
      <c r="H487" s="28"/>
      <c r="I487" s="28"/>
      <c r="J487" s="374" t="s">
        <v>190</v>
      </c>
      <c r="K487" s="36" t="s">
        <v>975</v>
      </c>
      <c r="L487" s="5">
        <v>12.99</v>
      </c>
      <c r="M487" s="35">
        <v>1</v>
      </c>
      <c r="N487" s="35">
        <v>48</v>
      </c>
      <c r="O487" s="345"/>
      <c r="P487" s="35"/>
      <c r="Q487" s="35"/>
      <c r="R487" s="187"/>
      <c r="S487" s="33">
        <v>0.31</v>
      </c>
      <c r="T487" s="33">
        <v>3</v>
      </c>
      <c r="U487" s="33">
        <v>3</v>
      </c>
      <c r="V487" s="70">
        <v>9.6</v>
      </c>
      <c r="W487" s="44" t="s">
        <v>856</v>
      </c>
      <c r="X487" s="33" t="s">
        <v>856</v>
      </c>
      <c r="Y487" s="33" t="s">
        <v>856</v>
      </c>
      <c r="Z487" s="70" t="s">
        <v>856</v>
      </c>
      <c r="AA487" s="44">
        <v>19</v>
      </c>
      <c r="AB487" s="33">
        <v>24.5</v>
      </c>
      <c r="AC487" s="33">
        <v>19</v>
      </c>
      <c r="AD487" s="70">
        <v>10.5</v>
      </c>
      <c r="AE487" s="33">
        <f t="shared" si="31"/>
        <v>2.8285590277777777</v>
      </c>
      <c r="AF487" s="18" t="s">
        <v>284</v>
      </c>
      <c r="AG487" s="18" t="s">
        <v>179</v>
      </c>
      <c r="AH487" s="85"/>
      <c r="AI487" s="85"/>
      <c r="AJ487" s="18" t="s">
        <v>283</v>
      </c>
      <c r="AN487" s="569" t="s">
        <v>394</v>
      </c>
      <c r="AO487" s="96" t="s">
        <v>521</v>
      </c>
    </row>
    <row r="488" spans="1:42" s="18" customFormat="1" ht="12" customHeight="1" x14ac:dyDescent="0.2">
      <c r="A488" s="18" t="s">
        <v>846</v>
      </c>
      <c r="B488" s="33" t="s">
        <v>651</v>
      </c>
      <c r="C488" s="33"/>
      <c r="D488" s="34" t="s">
        <v>290</v>
      </c>
      <c r="G488" s="28" t="s">
        <v>17</v>
      </c>
      <c r="H488" s="28"/>
      <c r="I488" s="28"/>
      <c r="J488" s="374" t="s">
        <v>190</v>
      </c>
      <c r="K488" s="36" t="s">
        <v>975</v>
      </c>
      <c r="L488" s="5">
        <v>14.99</v>
      </c>
      <c r="M488" s="35">
        <v>1</v>
      </c>
      <c r="N488" s="35">
        <v>48</v>
      </c>
      <c r="O488" s="345"/>
      <c r="P488" s="35"/>
      <c r="Q488" s="35"/>
      <c r="R488" s="187"/>
      <c r="S488" s="33">
        <v>0.37</v>
      </c>
      <c r="T488" s="33">
        <v>3</v>
      </c>
      <c r="U488" s="33">
        <v>3</v>
      </c>
      <c r="V488" s="70">
        <v>11.7</v>
      </c>
      <c r="W488" s="44" t="s">
        <v>856</v>
      </c>
      <c r="X488" s="33" t="s">
        <v>856</v>
      </c>
      <c r="Y488" s="33" t="s">
        <v>856</v>
      </c>
      <c r="Z488" s="70" t="s">
        <v>856</v>
      </c>
      <c r="AA488" s="44">
        <v>23</v>
      </c>
      <c r="AB488" s="33">
        <v>24.5</v>
      </c>
      <c r="AC488" s="33">
        <v>19</v>
      </c>
      <c r="AD488" s="70">
        <v>13</v>
      </c>
      <c r="AE488" s="33">
        <f t="shared" si="31"/>
        <v>3.5020254629629628</v>
      </c>
      <c r="AF488" s="18" t="s">
        <v>284</v>
      </c>
      <c r="AG488" s="18" t="s">
        <v>287</v>
      </c>
      <c r="AH488" s="85"/>
      <c r="AI488" s="85"/>
      <c r="AJ488" s="18" t="s">
        <v>283</v>
      </c>
      <c r="AN488" s="569" t="s">
        <v>394</v>
      </c>
      <c r="AO488" s="96" t="s">
        <v>521</v>
      </c>
    </row>
    <row r="489" spans="1:42" s="18" customFormat="1" ht="12" customHeight="1" x14ac:dyDescent="0.2">
      <c r="A489" s="18" t="s">
        <v>846</v>
      </c>
      <c r="B489" s="33" t="s">
        <v>184</v>
      </c>
      <c r="C489" s="33"/>
      <c r="D489" s="57" t="s">
        <v>183</v>
      </c>
      <c r="G489" s="28" t="s">
        <v>181</v>
      </c>
      <c r="H489" s="28"/>
      <c r="I489" s="28"/>
      <c r="J489" s="374" t="s">
        <v>161</v>
      </c>
      <c r="K489" s="36" t="s">
        <v>975</v>
      </c>
      <c r="L489" s="5">
        <v>4.99</v>
      </c>
      <c r="M489" s="35">
        <v>12</v>
      </c>
      <c r="N489" s="35">
        <v>144</v>
      </c>
      <c r="O489" s="345"/>
      <c r="P489" s="35"/>
      <c r="Q489" s="35"/>
      <c r="R489" s="187"/>
      <c r="S489" s="33">
        <v>7.0000000000000007E-2</v>
      </c>
      <c r="T489" s="33">
        <v>3.25</v>
      </c>
      <c r="U489" s="33">
        <v>2</v>
      </c>
      <c r="V489" s="70">
        <v>6.75</v>
      </c>
      <c r="W489" s="44">
        <v>1.05</v>
      </c>
      <c r="X489" s="33">
        <v>8</v>
      </c>
      <c r="Y489" s="33">
        <v>7.25</v>
      </c>
      <c r="Z489" s="70">
        <v>4.5</v>
      </c>
      <c r="AA489" s="44">
        <v>15</v>
      </c>
      <c r="AB489" s="33">
        <v>24.5</v>
      </c>
      <c r="AC489" s="33">
        <v>16</v>
      </c>
      <c r="AD489" s="70">
        <v>10</v>
      </c>
      <c r="AE489" s="33">
        <f t="shared" si="31"/>
        <v>2.2685185185185186</v>
      </c>
      <c r="AF489" s="18" t="s">
        <v>270</v>
      </c>
      <c r="AG489" s="18" t="s">
        <v>271</v>
      </c>
      <c r="AH489" s="85"/>
      <c r="AI489" s="85"/>
      <c r="AN489" s="569" t="s">
        <v>273</v>
      </c>
      <c r="AO489" s="96" t="s">
        <v>521</v>
      </c>
    </row>
    <row r="490" spans="1:42" s="18" customFormat="1" ht="12" customHeight="1" x14ac:dyDescent="0.2">
      <c r="A490" s="18" t="s">
        <v>846</v>
      </c>
      <c r="B490" s="33" t="s">
        <v>185</v>
      </c>
      <c r="C490" s="33"/>
      <c r="D490" s="57" t="s">
        <v>182</v>
      </c>
      <c r="G490" s="28" t="s">
        <v>180</v>
      </c>
      <c r="H490" s="28"/>
      <c r="I490" s="28"/>
      <c r="J490" s="374" t="s">
        <v>161</v>
      </c>
      <c r="K490" s="36" t="s">
        <v>975</v>
      </c>
      <c r="L490" s="5">
        <v>4.99</v>
      </c>
      <c r="M490" s="35">
        <v>12</v>
      </c>
      <c r="N490" s="35">
        <v>144</v>
      </c>
      <c r="O490" s="345"/>
      <c r="P490" s="35"/>
      <c r="Q490" s="35"/>
      <c r="R490" s="187"/>
      <c r="S490" s="33">
        <v>0.05</v>
      </c>
      <c r="T490" s="33">
        <v>3.25</v>
      </c>
      <c r="U490" s="33">
        <v>1.5</v>
      </c>
      <c r="V490" s="70">
        <v>6.25</v>
      </c>
      <c r="W490" s="44">
        <v>0.7</v>
      </c>
      <c r="X490" s="33">
        <v>7.75</v>
      </c>
      <c r="Y490" s="33">
        <v>6.75</v>
      </c>
      <c r="Z490" s="70">
        <v>3.25</v>
      </c>
      <c r="AA490" s="44">
        <v>10</v>
      </c>
      <c r="AB490" s="33">
        <v>21</v>
      </c>
      <c r="AC490" s="33">
        <v>14</v>
      </c>
      <c r="AD490" s="70">
        <v>9</v>
      </c>
      <c r="AE490" s="33">
        <f t="shared" si="31"/>
        <v>1.53125</v>
      </c>
      <c r="AF490" s="18" t="s">
        <v>270</v>
      </c>
      <c r="AG490" s="18" t="s">
        <v>271</v>
      </c>
      <c r="AH490" s="85"/>
      <c r="AI490" s="85"/>
      <c r="AN490" s="569" t="s">
        <v>269</v>
      </c>
      <c r="AO490" s="96" t="s">
        <v>521</v>
      </c>
    </row>
    <row r="491" spans="1:42" s="18" customFormat="1" ht="12" customHeight="1" x14ac:dyDescent="0.2">
      <c r="A491" s="18" t="s">
        <v>846</v>
      </c>
      <c r="B491" s="33" t="s">
        <v>741</v>
      </c>
      <c r="C491" s="33" t="s">
        <v>854</v>
      </c>
      <c r="D491" s="34" t="s">
        <v>940</v>
      </c>
      <c r="G491" s="75" t="s">
        <v>767</v>
      </c>
      <c r="H491" s="75"/>
      <c r="I491" s="75"/>
      <c r="J491" s="28" t="s">
        <v>878</v>
      </c>
      <c r="K491" s="36" t="s">
        <v>975</v>
      </c>
      <c r="L491" s="5">
        <v>39.99</v>
      </c>
      <c r="M491" s="35">
        <v>12</v>
      </c>
      <c r="N491" s="35">
        <v>60</v>
      </c>
      <c r="O491" s="345"/>
      <c r="P491" s="35"/>
      <c r="Q491" s="35"/>
      <c r="R491" s="187"/>
      <c r="S491" s="33">
        <v>0.25</v>
      </c>
      <c r="T491" s="33">
        <v>4</v>
      </c>
      <c r="U491" s="33">
        <v>0.75</v>
      </c>
      <c r="V491" s="70">
        <v>1.25</v>
      </c>
      <c r="W491" s="44">
        <v>2.4</v>
      </c>
      <c r="X491" s="33">
        <v>6</v>
      </c>
      <c r="Y491" s="33">
        <v>4</v>
      </c>
      <c r="Z491" s="70">
        <v>2.75</v>
      </c>
      <c r="AA491" s="44">
        <v>12.5</v>
      </c>
      <c r="AB491" s="33">
        <v>15</v>
      </c>
      <c r="AC491" s="33">
        <v>6.5</v>
      </c>
      <c r="AD491" s="70">
        <v>5</v>
      </c>
      <c r="AE491" s="33">
        <f t="shared" si="31"/>
        <v>0.28211805555555558</v>
      </c>
      <c r="AF491" s="78" t="s">
        <v>757</v>
      </c>
      <c r="AG491" s="570" t="s">
        <v>758</v>
      </c>
      <c r="AH491" s="570" t="s">
        <v>759</v>
      </c>
      <c r="AI491" s="570" t="s">
        <v>760</v>
      </c>
      <c r="AJ491" s="570" t="s">
        <v>761</v>
      </c>
      <c r="AK491" s="570"/>
      <c r="AL491" s="570"/>
      <c r="AM491" s="570"/>
      <c r="AN491" s="37" t="s">
        <v>762</v>
      </c>
      <c r="AO491" s="96" t="s">
        <v>521</v>
      </c>
    </row>
    <row r="492" spans="1:42" s="18" customFormat="1" ht="12" customHeight="1" x14ac:dyDescent="0.2">
      <c r="A492" s="18" t="s">
        <v>846</v>
      </c>
      <c r="B492" s="33" t="s">
        <v>741</v>
      </c>
      <c r="C492" s="33" t="s">
        <v>855</v>
      </c>
      <c r="D492" s="34" t="s">
        <v>940</v>
      </c>
      <c r="G492" s="75" t="s">
        <v>767</v>
      </c>
      <c r="H492" s="75"/>
      <c r="I492" s="75"/>
      <c r="J492" s="28" t="s">
        <v>878</v>
      </c>
      <c r="K492" s="36" t="s">
        <v>975</v>
      </c>
      <c r="L492" s="5">
        <v>39.99</v>
      </c>
      <c r="M492" s="35">
        <v>12</v>
      </c>
      <c r="N492" s="35">
        <v>60</v>
      </c>
      <c r="O492" s="345"/>
      <c r="P492" s="35"/>
      <c r="Q492" s="35"/>
      <c r="R492" s="187"/>
      <c r="S492" s="33">
        <v>0.25</v>
      </c>
      <c r="T492" s="33">
        <v>7</v>
      </c>
      <c r="U492" s="33">
        <v>1</v>
      </c>
      <c r="V492" s="70">
        <v>3.75</v>
      </c>
      <c r="W492" s="44"/>
      <c r="X492" s="33"/>
      <c r="Y492" s="33"/>
      <c r="Z492" s="70"/>
      <c r="AA492" s="44">
        <v>12.5</v>
      </c>
      <c r="AB492" s="33">
        <v>16</v>
      </c>
      <c r="AC492" s="33">
        <v>16</v>
      </c>
      <c r="AD492" s="70">
        <v>8.5</v>
      </c>
      <c r="AE492" s="33">
        <f t="shared" si="31"/>
        <v>1.2592592592592593</v>
      </c>
      <c r="AF492" s="78" t="s">
        <v>757</v>
      </c>
      <c r="AG492" s="570" t="s">
        <v>758</v>
      </c>
      <c r="AH492" s="570" t="s">
        <v>759</v>
      </c>
      <c r="AI492" s="570" t="s">
        <v>760</v>
      </c>
      <c r="AJ492" s="570" t="s">
        <v>761</v>
      </c>
      <c r="AK492" s="570"/>
      <c r="AL492" s="570"/>
      <c r="AM492" s="570"/>
      <c r="AN492" s="37" t="s">
        <v>762</v>
      </c>
      <c r="AO492" s="96" t="s">
        <v>521</v>
      </c>
    </row>
    <row r="493" spans="1:42" s="18" customFormat="1" x14ac:dyDescent="0.2">
      <c r="A493" s="18" t="s">
        <v>1452</v>
      </c>
      <c r="B493" s="19" t="s">
        <v>1456</v>
      </c>
      <c r="C493" s="19"/>
      <c r="D493" s="19" t="s">
        <v>1457</v>
      </c>
      <c r="E493" s="18" t="s">
        <v>218</v>
      </c>
      <c r="G493" s="28" t="s">
        <v>1461</v>
      </c>
      <c r="H493" s="28"/>
      <c r="I493" s="28"/>
      <c r="J493" s="37" t="s">
        <v>1502</v>
      </c>
      <c r="K493" s="36" t="s">
        <v>975</v>
      </c>
      <c r="L493" s="5">
        <v>149.99</v>
      </c>
      <c r="M493" s="35">
        <v>4</v>
      </c>
      <c r="N493" s="35">
        <v>24</v>
      </c>
      <c r="O493" s="345"/>
      <c r="P493" s="35"/>
      <c r="Q493" s="35"/>
      <c r="R493" s="187"/>
      <c r="S493" s="33">
        <v>0.92</v>
      </c>
      <c r="T493" s="33">
        <v>7.25</v>
      </c>
      <c r="U493" s="33">
        <v>4.5</v>
      </c>
      <c r="V493" s="70">
        <v>2.75</v>
      </c>
      <c r="W493" s="44">
        <v>4.95</v>
      </c>
      <c r="X493" s="33">
        <v>18</v>
      </c>
      <c r="Y493" s="33">
        <v>10.5</v>
      </c>
      <c r="Z493" s="70">
        <v>4</v>
      </c>
      <c r="AA493" s="44">
        <v>33.549999999999997</v>
      </c>
      <c r="AB493" s="33">
        <v>22.4</v>
      </c>
      <c r="AC493" s="33">
        <v>19</v>
      </c>
      <c r="AD493" s="70">
        <v>13.5</v>
      </c>
      <c r="AE493" s="33">
        <f t="shared" si="31"/>
        <v>3.3249999999999997</v>
      </c>
      <c r="AF493" s="571" t="s">
        <v>1471</v>
      </c>
      <c r="AG493" s="529" t="s">
        <v>1472</v>
      </c>
      <c r="AH493" s="572" t="s">
        <v>1473</v>
      </c>
      <c r="AI493" s="573" t="s">
        <v>1475</v>
      </c>
      <c r="AJ493" s="572" t="s">
        <v>1474</v>
      </c>
      <c r="AK493" s="572"/>
      <c r="AL493" s="572"/>
      <c r="AM493" s="572"/>
      <c r="AN493" s="573" t="s">
        <v>1470</v>
      </c>
      <c r="AP493" s="13"/>
    </row>
    <row r="494" spans="1:42" s="18" customFormat="1" x14ac:dyDescent="0.2">
      <c r="A494" s="18" t="s">
        <v>1452</v>
      </c>
      <c r="B494" s="19" t="s">
        <v>1453</v>
      </c>
      <c r="C494" s="19"/>
      <c r="D494" s="19" t="s">
        <v>1454</v>
      </c>
      <c r="E494" s="18" t="s">
        <v>218</v>
      </c>
      <c r="G494" s="28" t="s">
        <v>1455</v>
      </c>
      <c r="H494" s="28"/>
      <c r="I494" s="28"/>
      <c r="J494" s="37" t="s">
        <v>1502</v>
      </c>
      <c r="K494" s="36" t="s">
        <v>975</v>
      </c>
      <c r="L494" s="5"/>
      <c r="M494" s="35">
        <v>1</v>
      </c>
      <c r="N494" s="35"/>
      <c r="O494" s="345"/>
      <c r="P494" s="35"/>
      <c r="Q494" s="35"/>
      <c r="R494" s="187"/>
      <c r="S494" s="33">
        <v>1.66</v>
      </c>
      <c r="T494" s="33">
        <v>9.25</v>
      </c>
      <c r="U494" s="33">
        <v>5.5</v>
      </c>
      <c r="V494" s="70">
        <v>5.5</v>
      </c>
      <c r="W494" s="44" t="s">
        <v>856</v>
      </c>
      <c r="X494" s="33" t="s">
        <v>856</v>
      </c>
      <c r="Y494" s="33" t="s">
        <v>856</v>
      </c>
      <c r="Z494" s="70" t="s">
        <v>856</v>
      </c>
      <c r="AA494" s="44" t="s">
        <v>856</v>
      </c>
      <c r="AB494" s="33" t="s">
        <v>856</v>
      </c>
      <c r="AC494" s="33" t="s">
        <v>856</v>
      </c>
      <c r="AD494" s="70" t="s">
        <v>856</v>
      </c>
      <c r="AE494" s="33"/>
      <c r="AF494" s="571" t="s">
        <v>1471</v>
      </c>
      <c r="AG494" s="529" t="s">
        <v>1472</v>
      </c>
      <c r="AH494" s="572" t="s">
        <v>1473</v>
      </c>
      <c r="AI494" s="573" t="s">
        <v>1475</v>
      </c>
      <c r="AJ494" s="572" t="s">
        <v>1474</v>
      </c>
      <c r="AK494" s="572"/>
      <c r="AL494" s="572"/>
      <c r="AM494" s="572"/>
      <c r="AN494" s="573" t="s">
        <v>1470</v>
      </c>
      <c r="AP494" s="13"/>
    </row>
    <row r="495" spans="1:42" s="18" customFormat="1" x14ac:dyDescent="0.2">
      <c r="A495" s="18" t="s">
        <v>1452</v>
      </c>
      <c r="B495" s="19" t="s">
        <v>1458</v>
      </c>
      <c r="C495" s="19"/>
      <c r="D495" s="19" t="s">
        <v>1459</v>
      </c>
      <c r="G495" s="28" t="s">
        <v>1460</v>
      </c>
      <c r="H495" s="28"/>
      <c r="I495" s="28"/>
      <c r="J495" s="37" t="s">
        <v>1501</v>
      </c>
      <c r="K495" s="36" t="s">
        <v>976</v>
      </c>
      <c r="L495" s="5">
        <v>12.99</v>
      </c>
      <c r="M495" s="35">
        <v>1</v>
      </c>
      <c r="N495" s="35">
        <v>25</v>
      </c>
      <c r="O495" s="345"/>
      <c r="P495" s="35"/>
      <c r="Q495" s="35"/>
      <c r="R495" s="187"/>
      <c r="S495" s="33">
        <v>0.23</v>
      </c>
      <c r="T495" s="33">
        <v>2.5</v>
      </c>
      <c r="U495" s="33">
        <v>2</v>
      </c>
      <c r="V495" s="70">
        <v>2</v>
      </c>
      <c r="W495" s="44" t="s">
        <v>856</v>
      </c>
      <c r="X495" s="33" t="s">
        <v>856</v>
      </c>
      <c r="Y495" s="33" t="s">
        <v>856</v>
      </c>
      <c r="Z495" s="70" t="s">
        <v>856</v>
      </c>
      <c r="AA495" s="44">
        <v>6.25</v>
      </c>
      <c r="AB495" s="33">
        <v>7</v>
      </c>
      <c r="AC495" s="33">
        <v>7</v>
      </c>
      <c r="AD495" s="70">
        <v>12</v>
      </c>
      <c r="AE495" s="33">
        <f>AB495*AC495*AD495/(12^3)</f>
        <v>0.34027777777777779</v>
      </c>
      <c r="AF495" s="572" t="s">
        <v>1478</v>
      </c>
      <c r="AG495" s="37" t="s">
        <v>1479</v>
      </c>
      <c r="AH495" s="85"/>
      <c r="AI495" s="85"/>
      <c r="AJ495" s="572" t="s">
        <v>1477</v>
      </c>
      <c r="AK495" s="572"/>
      <c r="AL495" s="572"/>
      <c r="AM495" s="572"/>
      <c r="AN495" s="573" t="s">
        <v>1476</v>
      </c>
      <c r="AP495" s="13"/>
    </row>
  </sheetData>
  <mergeCells count="13">
    <mergeCell ref="AO271:AO274"/>
    <mergeCell ref="B271:B274"/>
    <mergeCell ref="C271:C274"/>
    <mergeCell ref="AQ271:AQ274"/>
    <mergeCell ref="AP271:AP274"/>
    <mergeCell ref="AN271:AN274"/>
    <mergeCell ref="AG271:AG274"/>
    <mergeCell ref="AH271:AH274"/>
    <mergeCell ref="AI271:AI274"/>
    <mergeCell ref="AJ271:AJ274"/>
    <mergeCell ref="AK271:AK274"/>
    <mergeCell ref="AL271:AL274"/>
    <mergeCell ref="AM271:AM274"/>
  </mergeCells>
  <dataValidations count="7">
    <dataValidation allowBlank="1" showInputMessage="1" showErrorMessage="1" promptTitle="MSRP" prompt="No Dollar Signs_x000a__x000a_eg:_x000a_14.99_x000a_19.99_x000a__x000a_Published list price, or ticket price.  _x000a__x000a_If no list/ticket price is available, the average high non-promoted retail is used." sqref="L419:M419 L408:L411" xr:uid="{00000000-0002-0000-0600-000000000000}"/>
    <dataValidation type="textLength" operator="lessThanOrEqual" allowBlank="1" showInputMessage="1" showErrorMessage="1" errorTitle="Exceeded Data Limit" error="Please double check and ensure that product description is less than 150 characters." promptTitle="Product Descrption" prompt="Product titles must include, as applicable:_x000a_brand_x000a_model/style number_x000a_product description_x000a_units_x000a_color_x000a_size_x000a__x000a_Please do not use abbreviations.  _x000a_Begin each word with a capital letter (except &quot;with&quot;, &quot;the&quot;, &quot;and&quot;, etc.)_x000a_150 character limit" sqref="D408:D411 D413 D419" xr:uid="{00000000-0002-0000-0600-000001000000}">
      <formula1>150</formula1>
    </dataValidation>
    <dataValidation type="textLength" operator="equal" allowBlank="1" showInputMessage="1" showErrorMessage="1" errorTitle="Invalid Entry" error="please use the following format:_x000a__x000a_####.##.####" promptTitle="Harmonized Code" prompt="Amazon can ship to FPO/APO addresses if harmonized shipping codes are present.  Please include if available.  This is mandatory for all container orders._x000a__x000a_format:_x000a_####.##.####" sqref="K419 J407:K411 J413:K413" xr:uid="{00000000-0002-0000-0600-000002000000}">
      <formula1>12</formula1>
    </dataValidation>
    <dataValidation type="textLength" operator="lessThan" allowBlank="1" showInputMessage="1" showErrorMessage="1" errorTitle="Text too long" error="Limit data to 2000 characters" promptTitle="Describe the Product" prompt="This is your merchandising space. _x000a_Enter in Paragraph form_x000a__x000a_Include: _x000a_product details_x000a_product specfications_x000a_other information as it applies.  _x000a__x000a_2000 character limit_x000a_Do not use All Caps" sqref="AN408 AK409:AK411 AP419" xr:uid="{00000000-0002-0000-0600-000003000000}">
      <formula1>2000</formula1>
    </dataValidation>
    <dataValidation type="textLength" operator="lessThan" allowBlank="1" showInputMessage="1" showErrorMessage="1" errorTitle="Text too long" error="256 character limit" promptTitle="Bullet Feature 1" prompt="Include key features and benefits.  _x000a_Format should be sentence fragment_x000a__x000a_No punctuation, with first letter and proper nouns capitalized.   _x000a__x000a_256 character limit. _x000a_Do not use all caps_x000a__x000a_eg:_x000a_Set of high quality graphite irons (#3 through #9) for male golfers" sqref="AF407 AH407 AF408:AM408 AJ410:AJ411 AF409:AI411 AK419:AO419" xr:uid="{00000000-0002-0000-0600-000004000000}">
      <formula1>256</formula1>
    </dataValidation>
    <dataValidation type="textLength" allowBlank="1" showInputMessage="1" showErrorMessage="1" errorTitle="Not Valid UPC" error="Please ensure UPC is 12 digits." promptTitle="UPC" prompt="Must be 12 digits.  No spaces or punctuation._x000a__x000a_The adjacent UPC check column will report &quot;bad UPC&quot;  if an invalid UPC style has been submitted.  Please verify &amp; re-enter_x000a__x000a_Correct:_x000a_044936006538_x000a__x000a_Incorrect:_x000a_044936 006538_x000a_044936-006538_x000a__x000a_Input EAN, if no UPC." sqref="G312:I312 G408:I408 G410:I411 J419" xr:uid="{00000000-0002-0000-0600-000005000000}">
      <formula1>12</formula1>
      <formula2>13</formula2>
    </dataValidation>
    <dataValidation allowBlank="1" showErrorMessage="1" sqref="A414:XFD418 A412:XFD412" xr:uid="{00000000-0002-0000-0600-000006000000}"/>
  </dataValidations>
  <pageMargins left="0.7" right="0.7" top="0.75" bottom="0.75" header="0.3" footer="0.3"/>
  <ignoredErrors>
    <ignoredError sqref="O221:O224 AE219:AE224 S225 O226:AE229 AE7:AE216 O230:AE231 O232:AE232 O225 AE225" unlockedFormula="1"/>
    <ignoredError sqref="G137:G148 G204:G205 G288:G295 G221:G225 G286" numberStoredAsText="1"/>
  </ignoredErrors>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9"/>
  <sheetViews>
    <sheetView workbookViewId="0">
      <selection activeCell="G26" sqref="G26"/>
    </sheetView>
  </sheetViews>
  <sheetFormatPr defaultColWidth="9.28515625" defaultRowHeight="12.75" x14ac:dyDescent="0.2"/>
  <cols>
    <col min="1" max="1" width="16.42578125" style="20" bestFit="1" customWidth="1"/>
    <col min="2" max="2" width="59.7109375" style="20" customWidth="1"/>
    <col min="3" max="3" width="14.28515625" style="20" customWidth="1"/>
    <col min="4" max="16384" width="9.28515625" style="20"/>
  </cols>
  <sheetData>
    <row r="1" spans="1:3" x14ac:dyDescent="0.2">
      <c r="A1" s="116" t="s">
        <v>280</v>
      </c>
      <c r="B1" s="116" t="s">
        <v>281</v>
      </c>
      <c r="C1" s="116" t="s">
        <v>282</v>
      </c>
    </row>
    <row r="2" spans="1:3" x14ac:dyDescent="0.2">
      <c r="A2" s="19" t="s">
        <v>147</v>
      </c>
      <c r="B2" s="19" t="s">
        <v>215</v>
      </c>
      <c r="C2" s="28" t="s">
        <v>261</v>
      </c>
    </row>
    <row r="3" spans="1:3" x14ac:dyDescent="0.2">
      <c r="A3" s="19" t="s">
        <v>148</v>
      </c>
      <c r="B3" s="19" t="s">
        <v>216</v>
      </c>
      <c r="C3" s="28" t="s">
        <v>261</v>
      </c>
    </row>
    <row r="4" spans="1:3" x14ac:dyDescent="0.2">
      <c r="A4" s="22" t="s">
        <v>491</v>
      </c>
      <c r="B4" s="19" t="s">
        <v>493</v>
      </c>
      <c r="C4" s="29">
        <v>7326.19</v>
      </c>
    </row>
    <row r="5" spans="1:3" x14ac:dyDescent="0.2">
      <c r="A5" s="22" t="s">
        <v>395</v>
      </c>
      <c r="B5" s="19" t="s">
        <v>396</v>
      </c>
      <c r="C5" s="28" t="s">
        <v>261</v>
      </c>
    </row>
    <row r="6" spans="1:3" x14ac:dyDescent="0.2">
      <c r="A6" s="15" t="s">
        <v>231</v>
      </c>
      <c r="B6" s="16" t="s">
        <v>222</v>
      </c>
      <c r="C6" s="27" t="s">
        <v>139</v>
      </c>
    </row>
    <row r="7" spans="1:3" x14ac:dyDescent="0.2">
      <c r="A7" s="22" t="s">
        <v>473</v>
      </c>
      <c r="B7" s="19" t="s">
        <v>472</v>
      </c>
      <c r="C7" s="28" t="s">
        <v>261</v>
      </c>
    </row>
    <row r="8" spans="1:3" x14ac:dyDescent="0.2">
      <c r="A8" s="15" t="s">
        <v>228</v>
      </c>
      <c r="B8" s="16" t="s">
        <v>484</v>
      </c>
      <c r="C8" s="27" t="s">
        <v>568</v>
      </c>
    </row>
    <row r="9" spans="1:3" x14ac:dyDescent="0.2">
      <c r="A9" s="33" t="s">
        <v>143</v>
      </c>
      <c r="B9" s="34" t="s">
        <v>229</v>
      </c>
      <c r="C9" s="36" t="s">
        <v>568</v>
      </c>
    </row>
    <row r="10" spans="1:3" x14ac:dyDescent="0.2">
      <c r="A10" s="15" t="s">
        <v>462</v>
      </c>
      <c r="B10" s="16" t="s">
        <v>566</v>
      </c>
      <c r="C10" s="27" t="s">
        <v>140</v>
      </c>
    </row>
    <row r="11" spans="1:3" x14ac:dyDescent="0.2">
      <c r="A11" s="15" t="s">
        <v>358</v>
      </c>
      <c r="B11" s="15" t="s">
        <v>222</v>
      </c>
      <c r="C11" s="28" t="s">
        <v>261</v>
      </c>
    </row>
    <row r="12" spans="1:3" x14ac:dyDescent="0.2">
      <c r="A12" s="22" t="s">
        <v>489</v>
      </c>
      <c r="B12" s="19" t="s">
        <v>602</v>
      </c>
      <c r="C12" s="29" t="s">
        <v>262</v>
      </c>
    </row>
    <row r="13" spans="1:3" x14ac:dyDescent="0.2">
      <c r="A13" s="22" t="s">
        <v>593</v>
      </c>
      <c r="B13" s="19" t="s">
        <v>225</v>
      </c>
      <c r="C13" s="29" t="s">
        <v>263</v>
      </c>
    </row>
    <row r="14" spans="1:3" x14ac:dyDescent="0.2">
      <c r="A14" s="15" t="s">
        <v>130</v>
      </c>
      <c r="B14" s="16" t="s">
        <v>14</v>
      </c>
      <c r="C14" s="30" t="s">
        <v>457</v>
      </c>
    </row>
    <row r="15" spans="1:3" x14ac:dyDescent="0.2">
      <c r="A15" s="19" t="s">
        <v>569</v>
      </c>
      <c r="B15" s="19" t="s">
        <v>570</v>
      </c>
      <c r="C15" s="31" t="s">
        <v>265</v>
      </c>
    </row>
    <row r="16" spans="1:3" x14ac:dyDescent="0.2">
      <c r="A16" s="15" t="s">
        <v>193</v>
      </c>
      <c r="B16" s="26" t="s">
        <v>195</v>
      </c>
      <c r="C16" s="31" t="s">
        <v>264</v>
      </c>
    </row>
    <row r="17" spans="1:3" x14ac:dyDescent="0.2">
      <c r="A17" s="22" t="s">
        <v>487</v>
      </c>
      <c r="B17" s="19" t="s">
        <v>120</v>
      </c>
      <c r="C17" s="29">
        <v>7321.13</v>
      </c>
    </row>
    <row r="18" spans="1:3" x14ac:dyDescent="0.2">
      <c r="A18" s="22" t="s">
        <v>488</v>
      </c>
      <c r="B18" s="19" t="s">
        <v>121</v>
      </c>
      <c r="C18" s="29">
        <v>7321.13</v>
      </c>
    </row>
    <row r="19" spans="1:3" x14ac:dyDescent="0.2">
      <c r="A19" s="15" t="s">
        <v>141</v>
      </c>
      <c r="B19" s="16" t="s">
        <v>226</v>
      </c>
      <c r="C19" s="27" t="s">
        <v>458</v>
      </c>
    </row>
    <row r="20" spans="1:3" x14ac:dyDescent="0.2">
      <c r="A20" s="15" t="s">
        <v>142</v>
      </c>
      <c r="B20" s="16" t="s">
        <v>227</v>
      </c>
      <c r="C20" s="27" t="s">
        <v>458</v>
      </c>
    </row>
    <row r="21" spans="1:3" x14ac:dyDescent="0.2">
      <c r="A21" s="15" t="s">
        <v>571</v>
      </c>
      <c r="B21" s="16" t="s">
        <v>117</v>
      </c>
      <c r="C21" s="28" t="s">
        <v>261</v>
      </c>
    </row>
    <row r="22" spans="1:3" x14ac:dyDescent="0.2">
      <c r="A22" s="15" t="s">
        <v>572</v>
      </c>
      <c r="B22" s="16" t="s">
        <v>516</v>
      </c>
      <c r="C22" s="28" t="s">
        <v>261</v>
      </c>
    </row>
    <row r="23" spans="1:3" x14ac:dyDescent="0.2">
      <c r="A23" s="15" t="s">
        <v>573</v>
      </c>
      <c r="B23" s="16" t="s">
        <v>517</v>
      </c>
      <c r="C23" s="28" t="s">
        <v>261</v>
      </c>
    </row>
    <row r="24" spans="1:3" x14ac:dyDescent="0.2">
      <c r="A24" s="15" t="s">
        <v>574</v>
      </c>
      <c r="B24" s="16" t="s">
        <v>518</v>
      </c>
      <c r="C24" s="28" t="s">
        <v>261</v>
      </c>
    </row>
    <row r="25" spans="1:3" x14ac:dyDescent="0.2">
      <c r="A25" s="15" t="s">
        <v>575</v>
      </c>
      <c r="B25" s="16" t="s">
        <v>519</v>
      </c>
      <c r="C25" s="28" t="s">
        <v>261</v>
      </c>
    </row>
    <row r="26" spans="1:3" x14ac:dyDescent="0.2">
      <c r="A26" s="33" t="s">
        <v>278</v>
      </c>
      <c r="B26" s="34" t="s">
        <v>279</v>
      </c>
      <c r="C26" s="27" t="s">
        <v>261</v>
      </c>
    </row>
    <row r="27" spans="1:3" x14ac:dyDescent="0.2">
      <c r="A27" s="33" t="s">
        <v>234</v>
      </c>
      <c r="B27" s="34" t="s">
        <v>235</v>
      </c>
      <c r="C27" s="47" t="s">
        <v>113</v>
      </c>
    </row>
    <row r="28" spans="1:3" x14ac:dyDescent="0.2">
      <c r="A28" s="33" t="s">
        <v>236</v>
      </c>
      <c r="B28" s="34" t="s">
        <v>237</v>
      </c>
      <c r="C28" s="50" t="s">
        <v>190</v>
      </c>
    </row>
    <row r="29" spans="1:3" x14ac:dyDescent="0.2">
      <c r="A29" s="33" t="s">
        <v>276</v>
      </c>
      <c r="B29" s="34" t="s">
        <v>238</v>
      </c>
      <c r="C29" s="30">
        <v>39241040</v>
      </c>
    </row>
  </sheetData>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9"/>
  <sheetViews>
    <sheetView workbookViewId="0">
      <selection activeCell="A3" sqref="A3"/>
    </sheetView>
  </sheetViews>
  <sheetFormatPr defaultRowHeight="12.75" x14ac:dyDescent="0.2"/>
  <cols>
    <col min="1" max="1" width="159.28515625" style="231" customWidth="1"/>
  </cols>
  <sheetData>
    <row r="1" spans="1:1" s="310" customFormat="1" x14ac:dyDescent="0.2">
      <c r="A1" s="309" t="s">
        <v>2734</v>
      </c>
    </row>
    <row r="2" spans="1:1" x14ac:dyDescent="0.2">
      <c r="A2" s="361" t="s">
        <v>2732</v>
      </c>
    </row>
    <row r="3" spans="1:1" x14ac:dyDescent="0.2">
      <c r="A3" s="362" t="s">
        <v>2733</v>
      </c>
    </row>
    <row r="4" spans="1:1" x14ac:dyDescent="0.2">
      <c r="A4" s="314" t="s">
        <v>2740</v>
      </c>
    </row>
    <row r="5" spans="1:1" x14ac:dyDescent="0.2">
      <c r="A5" s="315" t="s">
        <v>2741</v>
      </c>
    </row>
    <row r="8" spans="1:1" x14ac:dyDescent="0.2">
      <c r="A8" s="231" t="s">
        <v>2485</v>
      </c>
    </row>
    <row r="9" spans="1:1" x14ac:dyDescent="0.2">
      <c r="A9" s="231" t="s">
        <v>2513</v>
      </c>
    </row>
  </sheetData>
  <pageMargins left="0.25" right="0.25" top="0.75" bottom="0.75" header="0.3" footer="0.3"/>
  <pageSetup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UCO</vt:lpstr>
      <vt:lpstr>Light My Fire</vt:lpstr>
      <vt:lpstr>Morakniv</vt:lpstr>
      <vt:lpstr>Esbit</vt:lpstr>
      <vt:lpstr>Intova</vt:lpstr>
      <vt:lpstr>YayLabs!</vt:lpstr>
      <vt:lpstr>Disco.</vt:lpstr>
      <vt:lpstr>Tariff Code condensed</vt:lpstr>
      <vt:lpstr>Proposed changes</vt:lpstr>
      <vt:lpstr>2017 Pricelist</vt:lpstr>
      <vt:lpstr>Esbit!Print_Titles</vt:lpstr>
      <vt:lpstr>Intova!Print_Titles</vt:lpstr>
      <vt:lpstr>'Light My Fire'!Print_Titles</vt:lpstr>
      <vt:lpstr>Morakniv!Print_Titles</vt:lpstr>
      <vt:lpstr>UCO!Print_Titles</vt:lpstr>
      <vt:lpstr>'YayLabs!'!Print_Titles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Pentium</dc:creator>
  <cp:lastModifiedBy>Joe Ebsworth</cp:lastModifiedBy>
  <cp:lastPrinted>2016-02-01T17:34:01Z</cp:lastPrinted>
  <dcterms:created xsi:type="dcterms:W3CDTF">2001-08-09T20:30:21Z</dcterms:created>
  <dcterms:modified xsi:type="dcterms:W3CDTF">2018-01-22T18:33:46Z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eedsREVERT">
    <vt:lpwstr>FALSE</vt:lpwstr>
  </property>
  <property fmtid="{D5CDD505-2E9C-101B-9397-08002B2CF9AE}" pid="3" name="Jet Reports Drill Button Active">
    <vt:bool>false</vt:bool>
  </property>
</Properties>
</file>